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5. Work DataSheet\"/>
    </mc:Choice>
  </mc:AlternateContent>
  <bookViews>
    <workbookView xWindow="0" yWindow="0" windowWidth="28800" windowHeight="12975" activeTab="1"/>
  </bookViews>
  <sheets>
    <sheet name="Mission" sheetId="1" r:id="rId1"/>
    <sheet name="Achievement" sheetId="4" r:id="rId2"/>
    <sheet name="TextAchievementName" sheetId="6" r:id="rId3"/>
    <sheet name="TextAchievementDesc" sheetId="5" r:id="rId4"/>
    <sheet name="Achievement Reward Base" sheetId="7" r:id="rId5"/>
    <sheet name="Achievement Reward List" sheetId="8" r:id="rId6"/>
  </sheets>
  <calcPr calcId="171027"/>
</workbook>
</file>

<file path=xl/calcChain.xml><?xml version="1.0" encoding="utf-8"?>
<calcChain xmlns="http://schemas.openxmlformats.org/spreadsheetml/2006/main">
  <c r="I3" i="7" l="1"/>
  <c r="E21" i="5" l="1"/>
  <c r="E20" i="5"/>
  <c r="E19" i="5"/>
  <c r="E18" i="5"/>
  <c r="E17" i="5"/>
  <c r="E16" i="5"/>
  <c r="E14" i="5"/>
  <c r="E12" i="5"/>
  <c r="E11" i="5"/>
  <c r="E10" i="5"/>
  <c r="E9" i="5"/>
  <c r="E8" i="5"/>
  <c r="E7" i="5"/>
  <c r="N7" i="4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D100" i="7"/>
  <c r="B105" i="7"/>
  <c r="B106" i="7" s="1"/>
  <c r="B107" i="7" s="1"/>
  <c r="B108" i="7" s="1"/>
  <c r="B109" i="7" s="1"/>
  <c r="B110" i="7" s="1"/>
  <c r="B111" i="7" s="1"/>
  <c r="B90" i="7"/>
  <c r="J61" i="4" s="1"/>
  <c r="J383" i="4"/>
  <c r="J382" i="4"/>
  <c r="J381" i="4"/>
  <c r="J372" i="4"/>
  <c r="J371" i="4"/>
  <c r="J370" i="4"/>
  <c r="J369" i="4"/>
  <c r="J368" i="4"/>
  <c r="J367" i="4"/>
  <c r="J348" i="4"/>
  <c r="J347" i="4"/>
  <c r="J346" i="4"/>
  <c r="J345" i="4"/>
  <c r="J344" i="4"/>
  <c r="J343" i="4"/>
  <c r="J324" i="4"/>
  <c r="J323" i="4"/>
  <c r="J322" i="4"/>
  <c r="J321" i="4"/>
  <c r="J320" i="4"/>
  <c r="J319" i="4"/>
  <c r="J303" i="4"/>
  <c r="J302" i="4"/>
  <c r="J279" i="4"/>
  <c r="J278" i="4"/>
  <c r="J269" i="4"/>
  <c r="J268" i="4"/>
  <c r="J267" i="4"/>
  <c r="J266" i="4"/>
  <c r="J265" i="4"/>
  <c r="J264" i="4"/>
  <c r="J255" i="4"/>
  <c r="J254" i="4"/>
  <c r="J253" i="4"/>
  <c r="J252" i="4"/>
  <c r="J251" i="4"/>
  <c r="J250" i="4"/>
  <c r="J241" i="4"/>
  <c r="J240" i="4"/>
  <c r="J239" i="4"/>
  <c r="J238" i="4"/>
  <c r="J237" i="4"/>
  <c r="J236" i="4"/>
  <c r="J213" i="4"/>
  <c r="J204" i="4"/>
  <c r="J203" i="4"/>
  <c r="J202" i="4"/>
  <c r="J201" i="4"/>
  <c r="J200" i="4"/>
  <c r="J199" i="4"/>
  <c r="J190" i="4"/>
  <c r="J189" i="4"/>
  <c r="J188" i="4"/>
  <c r="J187" i="4"/>
  <c r="J186" i="4"/>
  <c r="J185" i="4"/>
  <c r="J184" i="4"/>
  <c r="J183" i="4"/>
  <c r="J182" i="4"/>
  <c r="J181" i="4"/>
  <c r="J180" i="4"/>
  <c r="J154" i="4"/>
  <c r="J114" i="4"/>
  <c r="J94" i="4"/>
  <c r="J93" i="4"/>
  <c r="J92" i="4"/>
  <c r="J91" i="4"/>
  <c r="J90" i="4"/>
  <c r="J89" i="4"/>
  <c r="J88" i="4"/>
  <c r="J87" i="4"/>
  <c r="J86" i="4"/>
  <c r="J85" i="4"/>
  <c r="J84" i="4"/>
  <c r="J83" i="4"/>
  <c r="J75" i="4"/>
  <c r="J74" i="4"/>
  <c r="J73" i="4"/>
  <c r="J72" i="4"/>
  <c r="J71" i="4"/>
  <c r="J70" i="4"/>
  <c r="J69" i="4"/>
  <c r="J68" i="4"/>
  <c r="J60" i="4"/>
  <c r="J21" i="4"/>
  <c r="J20" i="4"/>
  <c r="J19" i="4"/>
  <c r="J18" i="4"/>
  <c r="J17" i="4"/>
  <c r="J16" i="4"/>
  <c r="J6" i="4"/>
  <c r="D89" i="7"/>
  <c r="Q21" i="1"/>
  <c r="Q20" i="1"/>
  <c r="Q19" i="1"/>
  <c r="Q18" i="1"/>
  <c r="Q17" i="1"/>
  <c r="Q16" i="1"/>
  <c r="Q15" i="1"/>
  <c r="Q14" i="1"/>
  <c r="Q30" i="1"/>
  <c r="Q29" i="1"/>
  <c r="Q28" i="1"/>
  <c r="Q27" i="1"/>
  <c r="Q26" i="1"/>
  <c r="Q25" i="1"/>
  <c r="Q24" i="1"/>
  <c r="Q23" i="1"/>
  <c r="Q22" i="1"/>
  <c r="D101" i="7" l="1"/>
  <c r="D102" i="7" s="1"/>
  <c r="D103" i="7" s="1"/>
  <c r="D104" i="7" s="1"/>
  <c r="D105" i="7" s="1"/>
  <c r="D106" i="7" s="1"/>
  <c r="D107" i="7" s="1"/>
  <c r="D108" i="7" s="1"/>
  <c r="D109" i="7" s="1"/>
  <c r="D110" i="7" s="1"/>
  <c r="D111" i="7" s="1"/>
  <c r="B243" i="7"/>
  <c r="I99" i="7" l="1"/>
  <c r="B244" i="7"/>
  <c r="J214" i="4"/>
  <c r="G99" i="7"/>
  <c r="B10" i="1"/>
  <c r="B245" i="7" l="1"/>
  <c r="J215" i="4"/>
  <c r="D183" i="7"/>
  <c r="D184" i="7" s="1"/>
  <c r="D185" i="7" s="1"/>
  <c r="D186" i="7" s="1"/>
  <c r="D187" i="7" s="1"/>
  <c r="D188" i="7" s="1"/>
  <c r="D189" i="7" s="1"/>
  <c r="D190" i="7" s="1"/>
  <c r="D191" i="7" s="1"/>
  <c r="D192" i="7" s="1"/>
  <c r="D193" i="7" s="1"/>
  <c r="D194" i="7" s="1"/>
  <c r="D195" i="7" s="1"/>
  <c r="D196" i="7" s="1"/>
  <c r="B246" i="7" l="1"/>
  <c r="J216" i="4"/>
  <c r="B69" i="4"/>
  <c r="L277" i="4"/>
  <c r="L276" i="4"/>
  <c r="L275" i="4"/>
  <c r="L274" i="4"/>
  <c r="L273" i="4"/>
  <c r="L272" i="4"/>
  <c r="L271" i="4"/>
  <c r="L270" i="4"/>
  <c r="L269" i="4"/>
  <c r="L268" i="4"/>
  <c r="L254" i="4"/>
  <c r="L253" i="4"/>
  <c r="L238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91" i="4"/>
  <c r="L90" i="4"/>
  <c r="L89" i="4"/>
  <c r="L88" i="4"/>
  <c r="L87" i="4"/>
  <c r="L86" i="4"/>
  <c r="L84" i="4"/>
  <c r="L69" i="4"/>
  <c r="D409" i="7"/>
  <c r="L380" i="4" s="1"/>
  <c r="D408" i="7"/>
  <c r="L379" i="4" s="1"/>
  <c r="D407" i="7"/>
  <c r="L378" i="4" s="1"/>
  <c r="D406" i="7"/>
  <c r="L377" i="4" s="1"/>
  <c r="D405" i="7"/>
  <c r="L376" i="4" s="1"/>
  <c r="D404" i="7"/>
  <c r="L375" i="4" s="1"/>
  <c r="D403" i="7"/>
  <c r="L374" i="4" s="1"/>
  <c r="D402" i="7"/>
  <c r="L373" i="4" s="1"/>
  <c r="D401" i="7"/>
  <c r="L372" i="4" s="1"/>
  <c r="D400" i="7"/>
  <c r="L371" i="4" s="1"/>
  <c r="D376" i="7"/>
  <c r="L347" i="4" s="1"/>
  <c r="D375" i="7"/>
  <c r="L346" i="4" s="1"/>
  <c r="D350" i="7"/>
  <c r="L321" i="4" s="1"/>
  <c r="D296" i="7"/>
  <c r="L267" i="4" s="1"/>
  <c r="D284" i="7"/>
  <c r="L255" i="4" s="1"/>
  <c r="D268" i="7"/>
  <c r="L239" i="4" s="1"/>
  <c r="D25" i="8"/>
  <c r="F25" i="8" s="1"/>
  <c r="D24" i="8"/>
  <c r="F24" i="8" s="1"/>
  <c r="D23" i="8"/>
  <c r="F23" i="8" s="1"/>
  <c r="D22" i="8"/>
  <c r="F22" i="8" s="1"/>
  <c r="D348" i="7" s="1"/>
  <c r="L319" i="4" s="1"/>
  <c r="D21" i="8"/>
  <c r="F21" i="8" s="1"/>
  <c r="D331" i="7" s="1"/>
  <c r="L302" i="4" s="1"/>
  <c r="D20" i="8"/>
  <c r="F20" i="8" s="1"/>
  <c r="D307" i="7" s="1"/>
  <c r="D19" i="8"/>
  <c r="F19" i="8" s="1"/>
  <c r="D18" i="8"/>
  <c r="F18" i="8" s="1"/>
  <c r="D17" i="8"/>
  <c r="F17" i="8" s="1"/>
  <c r="D16" i="8"/>
  <c r="F16" i="8" s="1"/>
  <c r="D15" i="8"/>
  <c r="F15" i="8" s="1"/>
  <c r="D14" i="8"/>
  <c r="F14" i="8" s="1"/>
  <c r="D214" i="7" s="1"/>
  <c r="D13" i="8"/>
  <c r="F13" i="8" s="1"/>
  <c r="D12" i="8"/>
  <c r="F12" i="8" s="1"/>
  <c r="D11" i="8"/>
  <c r="F11" i="8" s="1"/>
  <c r="D10" i="8"/>
  <c r="F10" i="8" s="1"/>
  <c r="D121" i="7" s="1"/>
  <c r="D9" i="8"/>
  <c r="F9" i="8" s="1"/>
  <c r="D114" i="7" s="1"/>
  <c r="L85" i="4" s="1"/>
  <c r="D8" i="8"/>
  <c r="D112" i="7" s="1"/>
  <c r="L83" i="4" s="1"/>
  <c r="D7" i="8"/>
  <c r="F7" i="8" s="1"/>
  <c r="D6" i="8"/>
  <c r="D97" i="7" s="1"/>
  <c r="L68" i="4" s="1"/>
  <c r="D5" i="8"/>
  <c r="F5" i="8" s="1"/>
  <c r="D4" i="8"/>
  <c r="F4" i="8" s="1"/>
  <c r="D3" i="8"/>
  <c r="F3" i="8" s="1"/>
  <c r="A24" i="8"/>
  <c r="A23" i="8"/>
  <c r="A22" i="8"/>
  <c r="A21" i="8"/>
  <c r="A20" i="8"/>
  <c r="A19" i="8"/>
  <c r="A18" i="8"/>
  <c r="A17" i="8"/>
  <c r="A16" i="8"/>
  <c r="A15" i="8"/>
  <c r="A14" i="8"/>
  <c r="A12" i="8"/>
  <c r="A10" i="8"/>
  <c r="A9" i="8"/>
  <c r="A8" i="8"/>
  <c r="A7" i="8"/>
  <c r="A6" i="8"/>
  <c r="A5" i="8"/>
  <c r="A4" i="8"/>
  <c r="A3" i="8"/>
  <c r="B413" i="7"/>
  <c r="C411" i="7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B402" i="7"/>
  <c r="J373" i="4" s="1"/>
  <c r="A401" i="7"/>
  <c r="A400" i="7"/>
  <c r="A399" i="7"/>
  <c r="A398" i="7"/>
  <c r="C397" i="7"/>
  <c r="C398" i="7" s="1"/>
  <c r="C399" i="7" s="1"/>
  <c r="C400" i="7" s="1"/>
  <c r="C401" i="7" s="1"/>
  <c r="C402" i="7" s="1"/>
  <c r="C403" i="7" s="1"/>
  <c r="C404" i="7" s="1"/>
  <c r="C405" i="7" s="1"/>
  <c r="C406" i="7" s="1"/>
  <c r="C407" i="7" s="1"/>
  <c r="C408" i="7" s="1"/>
  <c r="C409" i="7" s="1"/>
  <c r="A397" i="7"/>
  <c r="A396" i="7"/>
  <c r="B378" i="7"/>
  <c r="A377" i="7"/>
  <c r="A376" i="7"/>
  <c r="A375" i="7"/>
  <c r="A374" i="7"/>
  <c r="C373" i="7"/>
  <c r="C374" i="7" s="1"/>
  <c r="C375" i="7" s="1"/>
  <c r="C376" i="7" s="1"/>
  <c r="C377" i="7" s="1"/>
  <c r="C378" i="7" s="1"/>
  <c r="C379" i="7" s="1"/>
  <c r="C380" i="7" s="1"/>
  <c r="C381" i="7" s="1"/>
  <c r="C382" i="7" s="1"/>
  <c r="C383" i="7" s="1"/>
  <c r="C384" i="7" s="1"/>
  <c r="C385" i="7" s="1"/>
  <c r="C386" i="7" s="1"/>
  <c r="C387" i="7" s="1"/>
  <c r="C388" i="7" s="1"/>
  <c r="C389" i="7" s="1"/>
  <c r="C390" i="7" s="1"/>
  <c r="C391" i="7" s="1"/>
  <c r="C392" i="7" s="1"/>
  <c r="C393" i="7" s="1"/>
  <c r="C394" i="7" s="1"/>
  <c r="C395" i="7" s="1"/>
  <c r="A373" i="7"/>
  <c r="A372" i="7"/>
  <c r="B354" i="7"/>
  <c r="J325" i="4" s="1"/>
  <c r="A353" i="7"/>
  <c r="A352" i="7"/>
  <c r="A351" i="7"/>
  <c r="A350" i="7"/>
  <c r="C349" i="7"/>
  <c r="C350" i="7" s="1"/>
  <c r="C351" i="7" s="1"/>
  <c r="C352" i="7" s="1"/>
  <c r="C353" i="7" s="1"/>
  <c r="C354" i="7" s="1"/>
  <c r="C355" i="7" s="1"/>
  <c r="C356" i="7" s="1"/>
  <c r="C357" i="7" s="1"/>
  <c r="C358" i="7" s="1"/>
  <c r="C359" i="7" s="1"/>
  <c r="C360" i="7" s="1"/>
  <c r="C361" i="7" s="1"/>
  <c r="C362" i="7" s="1"/>
  <c r="C363" i="7" s="1"/>
  <c r="C364" i="7" s="1"/>
  <c r="C365" i="7" s="1"/>
  <c r="C366" i="7" s="1"/>
  <c r="C367" i="7" s="1"/>
  <c r="C368" i="7" s="1"/>
  <c r="C369" i="7" s="1"/>
  <c r="C370" i="7" s="1"/>
  <c r="C371" i="7" s="1"/>
  <c r="A349" i="7"/>
  <c r="A348" i="7"/>
  <c r="B333" i="7"/>
  <c r="J304" i="4" s="1"/>
  <c r="C332" i="7"/>
  <c r="C333" i="7" s="1"/>
  <c r="C334" i="7" s="1"/>
  <c r="C335" i="7" s="1"/>
  <c r="C336" i="7" s="1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A332" i="7"/>
  <c r="A331" i="7"/>
  <c r="C309" i="7"/>
  <c r="C310" i="7" s="1"/>
  <c r="B309" i="7"/>
  <c r="J280" i="4" s="1"/>
  <c r="A308" i="7"/>
  <c r="A307" i="7"/>
  <c r="B299" i="7"/>
  <c r="J270" i="4" s="1"/>
  <c r="A298" i="7"/>
  <c r="A297" i="7"/>
  <c r="A296" i="7"/>
  <c r="A295" i="7"/>
  <c r="C294" i="7"/>
  <c r="C295" i="7" s="1"/>
  <c r="C296" i="7" s="1"/>
  <c r="C297" i="7" s="1"/>
  <c r="C298" i="7" s="1"/>
  <c r="C299" i="7" s="1"/>
  <c r="C300" i="7" s="1"/>
  <c r="C301" i="7" s="1"/>
  <c r="C302" i="7" s="1"/>
  <c r="C303" i="7" s="1"/>
  <c r="C304" i="7" s="1"/>
  <c r="C305" i="7" s="1"/>
  <c r="C306" i="7" s="1"/>
  <c r="A294" i="7"/>
  <c r="A293" i="7"/>
  <c r="B285" i="7"/>
  <c r="A284" i="7"/>
  <c r="A283" i="7"/>
  <c r="A282" i="7"/>
  <c r="A281" i="7"/>
  <c r="C280" i="7"/>
  <c r="C281" i="7" s="1"/>
  <c r="C282" i="7" s="1"/>
  <c r="C283" i="7" s="1"/>
  <c r="C284" i="7" s="1"/>
  <c r="C285" i="7" s="1"/>
  <c r="C286" i="7" s="1"/>
  <c r="C287" i="7" s="1"/>
  <c r="C288" i="7" s="1"/>
  <c r="C289" i="7" s="1"/>
  <c r="C290" i="7" s="1"/>
  <c r="C291" i="7" s="1"/>
  <c r="C292" i="7" s="1"/>
  <c r="A280" i="7"/>
  <c r="A279" i="7"/>
  <c r="B271" i="7"/>
  <c r="A270" i="7"/>
  <c r="A269" i="7"/>
  <c r="A268" i="7"/>
  <c r="A267" i="7"/>
  <c r="C266" i="7"/>
  <c r="C267" i="7" s="1"/>
  <c r="C268" i="7" s="1"/>
  <c r="C269" i="7" s="1"/>
  <c r="C270" i="7" s="1"/>
  <c r="C271" i="7" s="1"/>
  <c r="C272" i="7" s="1"/>
  <c r="C273" i="7" s="1"/>
  <c r="C274" i="7" s="1"/>
  <c r="C275" i="7" s="1"/>
  <c r="C276" i="7" s="1"/>
  <c r="C277" i="7" s="1"/>
  <c r="C278" i="7" s="1"/>
  <c r="A266" i="7"/>
  <c r="A265" i="7"/>
  <c r="C243" i="7"/>
  <c r="C244" i="7" s="1"/>
  <c r="C245" i="7" s="1"/>
  <c r="C246" i="7" s="1"/>
  <c r="C247" i="7" s="1"/>
  <c r="C248" i="7" s="1"/>
  <c r="C249" i="7" s="1"/>
  <c r="C250" i="7" s="1"/>
  <c r="C251" i="7" s="1"/>
  <c r="C252" i="7" s="1"/>
  <c r="C253" i="7" s="1"/>
  <c r="C254" i="7" s="1"/>
  <c r="C255" i="7" s="1"/>
  <c r="C256" i="7" s="1"/>
  <c r="C257" i="7" s="1"/>
  <c r="C258" i="7" s="1"/>
  <c r="C259" i="7" s="1"/>
  <c r="C260" i="7" s="1"/>
  <c r="C261" i="7" s="1"/>
  <c r="C262" i="7" s="1"/>
  <c r="C263" i="7" s="1"/>
  <c r="C264" i="7" s="1"/>
  <c r="A242" i="7"/>
  <c r="B234" i="7"/>
  <c r="A233" i="7"/>
  <c r="A232" i="7"/>
  <c r="A231" i="7"/>
  <c r="A230" i="7"/>
  <c r="A229" i="7"/>
  <c r="A228" i="7"/>
  <c r="B220" i="7"/>
  <c r="A219" i="7"/>
  <c r="A218" i="7"/>
  <c r="A217" i="7"/>
  <c r="A216" i="7"/>
  <c r="C215" i="7"/>
  <c r="C216" i="7" s="1"/>
  <c r="C217" i="7" s="1"/>
  <c r="C218" i="7" s="1"/>
  <c r="C219" i="7" s="1"/>
  <c r="C220" i="7" s="1"/>
  <c r="C221" i="7" s="1"/>
  <c r="C222" i="7" s="1"/>
  <c r="C223" i="7" s="1"/>
  <c r="C224" i="7" s="1"/>
  <c r="C225" i="7" s="1"/>
  <c r="C226" i="7" s="1"/>
  <c r="C227" i="7" s="1"/>
  <c r="A215" i="7"/>
  <c r="A214" i="7"/>
  <c r="A213" i="7"/>
  <c r="A212" i="7"/>
  <c r="A211" i="7"/>
  <c r="A210" i="7"/>
  <c r="A209" i="7"/>
  <c r="C184" i="7"/>
  <c r="C185" i="7" s="1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01" i="7" s="1"/>
  <c r="C202" i="7" s="1"/>
  <c r="C203" i="7" s="1"/>
  <c r="C204" i="7" s="1"/>
  <c r="C205" i="7" s="1"/>
  <c r="C206" i="7" s="1"/>
  <c r="C207" i="7" s="1"/>
  <c r="C208" i="7" s="1"/>
  <c r="C209" i="7" s="1"/>
  <c r="C210" i="7" s="1"/>
  <c r="C211" i="7" s="1"/>
  <c r="C212" i="7" s="1"/>
  <c r="C213" i="7" s="1"/>
  <c r="B184" i="7"/>
  <c r="J155" i="4" s="1"/>
  <c r="A183" i="7"/>
  <c r="C144" i="7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B144" i="7"/>
  <c r="B124" i="7"/>
  <c r="A123" i="7"/>
  <c r="C122" i="7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A122" i="7"/>
  <c r="A121" i="7"/>
  <c r="A120" i="7"/>
  <c r="A119" i="7"/>
  <c r="A118" i="7"/>
  <c r="A117" i="7"/>
  <c r="A116" i="7"/>
  <c r="A115" i="7"/>
  <c r="A114" i="7"/>
  <c r="C113" i="7"/>
  <c r="A113" i="7"/>
  <c r="A112" i="7"/>
  <c r="J76" i="4"/>
  <c r="A104" i="7"/>
  <c r="A103" i="7"/>
  <c r="A102" i="7"/>
  <c r="A101" i="7"/>
  <c r="C100" i="7"/>
  <c r="C101" i="7" s="1"/>
  <c r="C102" i="7" s="1"/>
  <c r="C103" i="7" s="1"/>
  <c r="C104" i="7" s="1"/>
  <c r="C105" i="7" s="1"/>
  <c r="C106" i="7" s="1"/>
  <c r="C107" i="7" s="1"/>
  <c r="C108" i="7" s="1"/>
  <c r="C109" i="7" s="1"/>
  <c r="C110" i="7" s="1"/>
  <c r="C111" i="7" s="1"/>
  <c r="A100" i="7"/>
  <c r="A99" i="7"/>
  <c r="C98" i="7"/>
  <c r="A98" i="7"/>
  <c r="A97" i="7"/>
  <c r="C90" i="7"/>
  <c r="C91" i="7" s="1"/>
  <c r="C92" i="7" s="1"/>
  <c r="C93" i="7" s="1"/>
  <c r="C94" i="7" s="1"/>
  <c r="C95" i="7" s="1"/>
  <c r="C96" i="7" s="1"/>
  <c r="B91" i="7"/>
  <c r="A89" i="7"/>
  <c r="B51" i="7"/>
  <c r="A50" i="7"/>
  <c r="A49" i="7"/>
  <c r="A48" i="7"/>
  <c r="A47" i="7"/>
  <c r="C46" i="7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A46" i="7"/>
  <c r="A45" i="7"/>
  <c r="B36" i="7"/>
  <c r="B37" i="7" s="1"/>
  <c r="B38" i="7" s="1"/>
  <c r="A35" i="7"/>
  <c r="B26" i="7"/>
  <c r="B27" i="7" s="1"/>
  <c r="B28" i="7" s="1"/>
  <c r="A25" i="7"/>
  <c r="B16" i="7"/>
  <c r="B17" i="7" s="1"/>
  <c r="B18" i="7" s="1"/>
  <c r="C15" i="7"/>
  <c r="C25" i="7" s="1"/>
  <c r="C35" i="7" s="1"/>
  <c r="A15" i="7"/>
  <c r="C6" i="7"/>
  <c r="B6" i="7"/>
  <c r="A5" i="7"/>
  <c r="B145" i="7" l="1"/>
  <c r="J115" i="4"/>
  <c r="B92" i="7"/>
  <c r="J62" i="4"/>
  <c r="B7" i="7"/>
  <c r="A7" i="7" s="1"/>
  <c r="J7" i="4"/>
  <c r="B52" i="7"/>
  <c r="A52" i="7" s="1"/>
  <c r="J22" i="4"/>
  <c r="B272" i="7"/>
  <c r="A272" i="7" s="1"/>
  <c r="J242" i="4"/>
  <c r="A285" i="7"/>
  <c r="J256" i="4"/>
  <c r="B379" i="7"/>
  <c r="J350" i="4" s="1"/>
  <c r="J349" i="4"/>
  <c r="B221" i="7"/>
  <c r="J191" i="4"/>
  <c r="A124" i="7"/>
  <c r="J95" i="4"/>
  <c r="B235" i="7"/>
  <c r="J206" i="4" s="1"/>
  <c r="J205" i="4"/>
  <c r="B414" i="7"/>
  <c r="J384" i="4"/>
  <c r="B247" i="7"/>
  <c r="J217" i="4"/>
  <c r="C16" i="7"/>
  <c r="C26" i="7" s="1"/>
  <c r="C36" i="7" s="1"/>
  <c r="D351" i="7"/>
  <c r="L322" i="4" s="1"/>
  <c r="A244" i="7"/>
  <c r="L70" i="4"/>
  <c r="L278" i="4"/>
  <c r="D308" i="7"/>
  <c r="L279" i="4" s="1"/>
  <c r="L92" i="4"/>
  <c r="L185" i="4"/>
  <c r="D215" i="7"/>
  <c r="D269" i="7"/>
  <c r="D377" i="7"/>
  <c r="L348" i="4" s="1"/>
  <c r="D285" i="7"/>
  <c r="D399" i="7"/>
  <c r="L370" i="4" s="1"/>
  <c r="G331" i="7"/>
  <c r="G21" i="8" s="1"/>
  <c r="F26" i="8"/>
  <c r="D332" i="7"/>
  <c r="F27" i="8"/>
  <c r="G112" i="7"/>
  <c r="H114" i="7"/>
  <c r="H97" i="7"/>
  <c r="G114" i="7"/>
  <c r="G9" i="8" s="1"/>
  <c r="I97" i="7"/>
  <c r="D122" i="7"/>
  <c r="L93" i="4" s="1"/>
  <c r="H112" i="7"/>
  <c r="I114" i="7"/>
  <c r="G97" i="7"/>
  <c r="I112" i="7"/>
  <c r="D5" i="7"/>
  <c r="L6" i="4" s="1"/>
  <c r="D396" i="7"/>
  <c r="L367" i="4" s="1"/>
  <c r="D279" i="7"/>
  <c r="D410" i="7"/>
  <c r="D372" i="7"/>
  <c r="L343" i="4" s="1"/>
  <c r="D293" i="7"/>
  <c r="L264" i="4" s="1"/>
  <c r="D265" i="7"/>
  <c r="D228" i="7"/>
  <c r="L199" i="4" s="1"/>
  <c r="D45" i="7"/>
  <c r="A6" i="7"/>
  <c r="A378" i="7"/>
  <c r="A90" i="7"/>
  <c r="B222" i="7"/>
  <c r="A243" i="7"/>
  <c r="C7" i="7"/>
  <c r="A16" i="7"/>
  <c r="B286" i="7"/>
  <c r="A26" i="7"/>
  <c r="B125" i="7"/>
  <c r="A36" i="7"/>
  <c r="A234" i="7"/>
  <c r="A271" i="7"/>
  <c r="A51" i="7"/>
  <c r="B39" i="7"/>
  <c r="A38" i="7"/>
  <c r="B19" i="7"/>
  <c r="A18" i="7"/>
  <c r="A28" i="7"/>
  <c r="B29" i="7"/>
  <c r="A17" i="7"/>
  <c r="A37" i="7"/>
  <c r="J77" i="4"/>
  <c r="A105" i="7"/>
  <c r="A91" i="7"/>
  <c r="A27" i="7"/>
  <c r="B185" i="7"/>
  <c r="J156" i="4" s="1"/>
  <c r="A184" i="7"/>
  <c r="B300" i="7"/>
  <c r="J271" i="4" s="1"/>
  <c r="A299" i="7"/>
  <c r="A220" i="7"/>
  <c r="B310" i="7"/>
  <c r="J281" i="4" s="1"/>
  <c r="A309" i="7"/>
  <c r="C311" i="7"/>
  <c r="C312" i="7" s="1"/>
  <c r="C313" i="7" s="1"/>
  <c r="C314" i="7" s="1"/>
  <c r="C315" i="7" s="1"/>
  <c r="C316" i="7" s="1"/>
  <c r="C317" i="7" s="1"/>
  <c r="C318" i="7" s="1"/>
  <c r="C319" i="7" s="1"/>
  <c r="C320" i="7" s="1"/>
  <c r="C321" i="7" s="1"/>
  <c r="C322" i="7" s="1"/>
  <c r="C323" i="7" s="1"/>
  <c r="C324" i="7" s="1"/>
  <c r="C325" i="7" s="1"/>
  <c r="C326" i="7" s="1"/>
  <c r="C327" i="7" s="1"/>
  <c r="C328" i="7" s="1"/>
  <c r="C329" i="7" s="1"/>
  <c r="C330" i="7" s="1"/>
  <c r="B355" i="7"/>
  <c r="J326" i="4" s="1"/>
  <c r="A354" i="7"/>
  <c r="B334" i="7"/>
  <c r="J305" i="4" s="1"/>
  <c r="A333" i="7"/>
  <c r="B403" i="7"/>
  <c r="J374" i="4" s="1"/>
  <c r="A402" i="7"/>
  <c r="B236" i="7" l="1"/>
  <c r="J207" i="4" s="1"/>
  <c r="B380" i="7"/>
  <c r="J351" i="4" s="1"/>
  <c r="A379" i="7"/>
  <c r="A235" i="7"/>
  <c r="B223" i="7"/>
  <c r="J194" i="4" s="1"/>
  <c r="J193" i="4"/>
  <c r="B126" i="7"/>
  <c r="J96" i="4"/>
  <c r="B248" i="7"/>
  <c r="J218" i="4"/>
  <c r="A221" i="7"/>
  <c r="J192" i="4"/>
  <c r="B53" i="7"/>
  <c r="J23" i="4"/>
  <c r="B93" i="7"/>
  <c r="J63" i="4"/>
  <c r="B287" i="7"/>
  <c r="J258" i="4" s="1"/>
  <c r="J257" i="4"/>
  <c r="D309" i="7"/>
  <c r="L280" i="4" s="1"/>
  <c r="B415" i="7"/>
  <c r="J385" i="4"/>
  <c r="B273" i="7"/>
  <c r="J243" i="4"/>
  <c r="B8" i="7"/>
  <c r="J8" i="4"/>
  <c r="B146" i="7"/>
  <c r="J116" i="4"/>
  <c r="L71" i="4"/>
  <c r="C17" i="7"/>
  <c r="C27" i="7" s="1"/>
  <c r="C37" i="7" s="1"/>
  <c r="A245" i="7"/>
  <c r="A125" i="7"/>
  <c r="L154" i="4"/>
  <c r="D266" i="7"/>
  <c r="L237" i="4" s="1"/>
  <c r="L236" i="4"/>
  <c r="D280" i="7"/>
  <c r="D373" i="7" s="1"/>
  <c r="L250" i="4"/>
  <c r="D270" i="7"/>
  <c r="L240" i="4"/>
  <c r="D352" i="7"/>
  <c r="L323" i="4" s="1"/>
  <c r="L16" i="4"/>
  <c r="L60" i="4"/>
  <c r="A286" i="7"/>
  <c r="B127" i="7"/>
  <c r="J98" i="4" s="1"/>
  <c r="L213" i="4"/>
  <c r="D243" i="7"/>
  <c r="L303" i="4"/>
  <c r="D333" i="7"/>
  <c r="D286" i="7"/>
  <c r="L256" i="4"/>
  <c r="D378" i="7"/>
  <c r="L349" i="4" s="1"/>
  <c r="D216" i="7"/>
  <c r="L186" i="4"/>
  <c r="L114" i="4"/>
  <c r="D144" i="7"/>
  <c r="D411" i="7"/>
  <c r="L382" i="4" s="1"/>
  <c r="L381" i="4"/>
  <c r="D310" i="7"/>
  <c r="L281" i="4" s="1"/>
  <c r="H13" i="8"/>
  <c r="I13" i="8"/>
  <c r="D90" i="7"/>
  <c r="D123" i="7"/>
  <c r="L94" i="4" s="1"/>
  <c r="H228" i="7"/>
  <c r="H15" i="8" s="1"/>
  <c r="I228" i="7"/>
  <c r="I15" i="8" s="1"/>
  <c r="G396" i="7"/>
  <c r="G24" i="8" s="1"/>
  <c r="L72" i="4"/>
  <c r="D15" i="7"/>
  <c r="D6" i="7"/>
  <c r="L7" i="4" s="1"/>
  <c r="G293" i="7"/>
  <c r="G19" i="8" s="1"/>
  <c r="G279" i="7"/>
  <c r="G18" i="8" s="1"/>
  <c r="D46" i="7"/>
  <c r="L17" i="4" s="1"/>
  <c r="C8" i="7"/>
  <c r="C18" i="7" s="1"/>
  <c r="C28" i="7" s="1"/>
  <c r="C38" i="7" s="1"/>
  <c r="A222" i="7"/>
  <c r="B20" i="7"/>
  <c r="A19" i="7"/>
  <c r="B381" i="7"/>
  <c r="J352" i="4" s="1"/>
  <c r="A380" i="7"/>
  <c r="B356" i="7"/>
  <c r="J327" i="4" s="1"/>
  <c r="A355" i="7"/>
  <c r="A236" i="7"/>
  <c r="B237" i="7"/>
  <c r="J208" i="4" s="1"/>
  <c r="A92" i="7"/>
  <c r="B335" i="7"/>
  <c r="J306" i="4" s="1"/>
  <c r="A334" i="7"/>
  <c r="B301" i="7"/>
  <c r="J272" i="4" s="1"/>
  <c r="A300" i="7"/>
  <c r="A403" i="7"/>
  <c r="B404" i="7"/>
  <c r="J375" i="4" s="1"/>
  <c r="B311" i="7"/>
  <c r="J282" i="4" s="1"/>
  <c r="A310" i="7"/>
  <c r="A185" i="7"/>
  <c r="B186" i="7"/>
  <c r="J157" i="4" s="1"/>
  <c r="A127" i="7"/>
  <c r="J78" i="4"/>
  <c r="A106" i="7"/>
  <c r="C9" i="7"/>
  <c r="B30" i="7"/>
  <c r="A29" i="7"/>
  <c r="B40" i="7"/>
  <c r="A39" i="7"/>
  <c r="A223" i="7" l="1"/>
  <c r="B288" i="7"/>
  <c r="J259" i="4" s="1"/>
  <c r="G265" i="7"/>
  <c r="G17" i="8" s="1"/>
  <c r="B128" i="7"/>
  <c r="J99" i="4" s="1"/>
  <c r="D294" i="7"/>
  <c r="L265" i="4" s="1"/>
  <c r="B224" i="7"/>
  <c r="J195" i="4" s="1"/>
  <c r="H265" i="7"/>
  <c r="H17" i="8" s="1"/>
  <c r="J9" i="4"/>
  <c r="A8" i="7"/>
  <c r="B9" i="7"/>
  <c r="B416" i="7"/>
  <c r="J386" i="4"/>
  <c r="B249" i="7"/>
  <c r="J219" i="4"/>
  <c r="D349" i="7"/>
  <c r="L320" i="4" s="1"/>
  <c r="J64" i="4"/>
  <c r="B94" i="7"/>
  <c r="B95" i="7" s="1"/>
  <c r="B96" i="7" s="1"/>
  <c r="A126" i="7"/>
  <c r="J97" i="4"/>
  <c r="J24" i="4"/>
  <c r="B54" i="7"/>
  <c r="A53" i="7"/>
  <c r="A287" i="7"/>
  <c r="L61" i="4"/>
  <c r="B147" i="7"/>
  <c r="J117" i="4"/>
  <c r="B274" i="7"/>
  <c r="J244" i="4"/>
  <c r="A273" i="7"/>
  <c r="L344" i="4"/>
  <c r="G372" i="7"/>
  <c r="G23" i="8" s="1"/>
  <c r="D412" i="7"/>
  <c r="L383" i="4" s="1"/>
  <c r="D287" i="7"/>
  <c r="L257" i="4"/>
  <c r="D379" i="7"/>
  <c r="L350" i="4" s="1"/>
  <c r="D334" i="7"/>
  <c r="L304" i="4"/>
  <c r="L251" i="4"/>
  <c r="D281" i="7"/>
  <c r="H279" i="7" s="1"/>
  <c r="H18" i="8" s="1"/>
  <c r="L115" i="4"/>
  <c r="D145" i="7"/>
  <c r="H331" i="7"/>
  <c r="H21" i="8" s="1"/>
  <c r="L155" i="4"/>
  <c r="D217" i="7"/>
  <c r="L187" i="4"/>
  <c r="D244" i="7"/>
  <c r="L214" i="4"/>
  <c r="D271" i="7"/>
  <c r="L241" i="4"/>
  <c r="D353" i="7"/>
  <c r="L324" i="4" s="1"/>
  <c r="D311" i="7"/>
  <c r="G307" i="7"/>
  <c r="G20" i="8" s="1"/>
  <c r="D47" i="7"/>
  <c r="D16" i="7"/>
  <c r="D7" i="7"/>
  <c r="L8" i="4" s="1"/>
  <c r="D25" i="7"/>
  <c r="D124" i="7"/>
  <c r="L95" i="4" s="1"/>
  <c r="D91" i="7"/>
  <c r="L62" i="4" s="1"/>
  <c r="A246" i="7"/>
  <c r="B31" i="7"/>
  <c r="A30" i="7"/>
  <c r="B187" i="7"/>
  <c r="J158" i="4" s="1"/>
  <c r="A186" i="7"/>
  <c r="A93" i="7"/>
  <c r="B357" i="7"/>
  <c r="J328" i="4" s="1"/>
  <c r="A356" i="7"/>
  <c r="C10" i="7"/>
  <c r="C19" i="7"/>
  <c r="C29" i="7" s="1"/>
  <c r="C39" i="7" s="1"/>
  <c r="B312" i="7"/>
  <c r="J283" i="4" s="1"/>
  <c r="A311" i="7"/>
  <c r="A237" i="7"/>
  <c r="B238" i="7"/>
  <c r="J209" i="4" s="1"/>
  <c r="J79" i="4"/>
  <c r="A107" i="7"/>
  <c r="B336" i="7"/>
  <c r="J307" i="4" s="1"/>
  <c r="A335" i="7"/>
  <c r="A40" i="7"/>
  <c r="B41" i="7"/>
  <c r="A128" i="7"/>
  <c r="B405" i="7"/>
  <c r="J376" i="4" s="1"/>
  <c r="A404" i="7"/>
  <c r="B302" i="7"/>
  <c r="J273" i="4" s="1"/>
  <c r="A301" i="7"/>
  <c r="A381" i="7"/>
  <c r="B382" i="7"/>
  <c r="J353" i="4" s="1"/>
  <c r="B21" i="7"/>
  <c r="A20" i="7"/>
  <c r="B17" i="1"/>
  <c r="C17" i="1"/>
  <c r="D397" i="7" l="1"/>
  <c r="L368" i="4" s="1"/>
  <c r="A288" i="7"/>
  <c r="B129" i="7"/>
  <c r="J100" i="4" s="1"/>
  <c r="B289" i="7"/>
  <c r="J260" i="4" s="1"/>
  <c r="J65" i="4"/>
  <c r="G348" i="7"/>
  <c r="G22" i="8" s="1"/>
  <c r="D413" i="7"/>
  <c r="L384" i="4" s="1"/>
  <c r="H293" i="7"/>
  <c r="H19" i="8" s="1"/>
  <c r="J245" i="4"/>
  <c r="A274" i="7"/>
  <c r="B275" i="7"/>
  <c r="J10" i="4"/>
  <c r="A9" i="7"/>
  <c r="B10" i="7"/>
  <c r="A224" i="7"/>
  <c r="J25" i="4"/>
  <c r="B55" i="7"/>
  <c r="A54" i="7"/>
  <c r="B250" i="7"/>
  <c r="J220" i="4"/>
  <c r="B225" i="7"/>
  <c r="J196" i="4" s="1"/>
  <c r="B148" i="7"/>
  <c r="J118" i="4"/>
  <c r="H348" i="7"/>
  <c r="H22" i="8" s="1"/>
  <c r="B417" i="7"/>
  <c r="J387" i="4"/>
  <c r="L18" i="4"/>
  <c r="D146" i="7"/>
  <c r="L116" i="4"/>
  <c r="L73" i="4"/>
  <c r="L252" i="4"/>
  <c r="D295" i="7"/>
  <c r="D374" i="7"/>
  <c r="D335" i="7"/>
  <c r="L305" i="4"/>
  <c r="L282" i="4"/>
  <c r="D218" i="7"/>
  <c r="L188" i="4"/>
  <c r="D288" i="7"/>
  <c r="D380" i="7"/>
  <c r="L351" i="4" s="1"/>
  <c r="L258" i="4"/>
  <c r="D272" i="7"/>
  <c r="L242" i="4"/>
  <c r="D354" i="7"/>
  <c r="L325" i="4" s="1"/>
  <c r="L215" i="4"/>
  <c r="D245" i="7"/>
  <c r="L156" i="4"/>
  <c r="I279" i="7"/>
  <c r="I18" i="8" s="1"/>
  <c r="D312" i="7"/>
  <c r="L283" i="4" s="1"/>
  <c r="D414" i="7"/>
  <c r="H396" i="7"/>
  <c r="H24" i="8" s="1"/>
  <c r="D125" i="7"/>
  <c r="L96" i="4" s="1"/>
  <c r="L74" i="4"/>
  <c r="D17" i="7"/>
  <c r="D8" i="7"/>
  <c r="L9" i="4" s="1"/>
  <c r="D48" i="7"/>
  <c r="D92" i="7"/>
  <c r="L63" i="4" s="1"/>
  <c r="D35" i="7"/>
  <c r="D26" i="7"/>
  <c r="J80" i="4"/>
  <c r="A108" i="7"/>
  <c r="A94" i="7"/>
  <c r="J66" i="4"/>
  <c r="A247" i="7"/>
  <c r="B42" i="7"/>
  <c r="A41" i="7"/>
  <c r="A312" i="7"/>
  <c r="B313" i="7"/>
  <c r="J284" i="4" s="1"/>
  <c r="A187" i="7"/>
  <c r="B188" i="7"/>
  <c r="J159" i="4" s="1"/>
  <c r="B22" i="7"/>
  <c r="A21" i="7"/>
  <c r="B383" i="7"/>
  <c r="J354" i="4" s="1"/>
  <c r="A382" i="7"/>
  <c r="B303" i="7"/>
  <c r="J274" i="4" s="1"/>
  <c r="A302" i="7"/>
  <c r="B337" i="7"/>
  <c r="J308" i="4" s="1"/>
  <c r="A336" i="7"/>
  <c r="A238" i="7"/>
  <c r="B239" i="7"/>
  <c r="J210" i="4" s="1"/>
  <c r="C20" i="7"/>
  <c r="C30" i="7" s="1"/>
  <c r="C40" i="7" s="1"/>
  <c r="C11" i="7"/>
  <c r="B32" i="7"/>
  <c r="A31" i="7"/>
  <c r="A405" i="7"/>
  <c r="B406" i="7"/>
  <c r="J377" i="4" s="1"/>
  <c r="B226" i="7"/>
  <c r="J197" i="4" s="1"/>
  <c r="B358" i="7"/>
  <c r="J329" i="4" s="1"/>
  <c r="A357" i="7"/>
  <c r="B290" i="7"/>
  <c r="J261" i="4" s="1"/>
  <c r="F13" i="5"/>
  <c r="F6" i="5"/>
  <c r="C32" i="5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0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3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C253" i="5" s="1"/>
  <c r="C254" i="5" s="1"/>
  <c r="C255" i="5" s="1"/>
  <c r="C256" i="5" s="1"/>
  <c r="C257" i="5" s="1"/>
  <c r="C258" i="5" s="1"/>
  <c r="C259" i="5" s="1"/>
  <c r="C260" i="5" s="1"/>
  <c r="C261" i="5" s="1"/>
  <c r="C262" i="5" s="1"/>
  <c r="C263" i="5" s="1"/>
  <c r="C264" i="5" s="1"/>
  <c r="C265" i="5" s="1"/>
  <c r="C266" i="5" s="1"/>
  <c r="C267" i="5" s="1"/>
  <c r="C268" i="5" s="1"/>
  <c r="C269" i="5" s="1"/>
  <c r="C270" i="5" s="1"/>
  <c r="C271" i="5" s="1"/>
  <c r="C272" i="5" s="1"/>
  <c r="C273" i="5" s="1"/>
  <c r="C274" i="5" s="1"/>
  <c r="C275" i="5" s="1"/>
  <c r="C276" i="5" s="1"/>
  <c r="C277" i="5" s="1"/>
  <c r="C278" i="5" s="1"/>
  <c r="C279" i="5" s="1"/>
  <c r="C280" i="5" s="1"/>
  <c r="C281" i="5" s="1"/>
  <c r="C282" i="5" s="1"/>
  <c r="C283" i="5" s="1"/>
  <c r="C284" i="5" s="1"/>
  <c r="C285" i="5" s="1"/>
  <c r="C286" i="5" s="1"/>
  <c r="C287" i="5" s="1"/>
  <c r="C288" i="5" s="1"/>
  <c r="C289" i="5" s="1"/>
  <c r="C290" i="5" s="1"/>
  <c r="C291" i="5" s="1"/>
  <c r="C292" i="5" s="1"/>
  <c r="C293" i="5" s="1"/>
  <c r="C294" i="5" s="1"/>
  <c r="C295" i="5" s="1"/>
  <c r="C296" i="5" s="1"/>
  <c r="C297" i="5" s="1"/>
  <c r="C298" i="5" s="1"/>
  <c r="C299" i="5" s="1"/>
  <c r="C300" i="5" s="1"/>
  <c r="C301" i="5" s="1"/>
  <c r="C302" i="5" s="1"/>
  <c r="C303" i="5" s="1"/>
  <c r="C304" i="5" s="1"/>
  <c r="C305" i="5" s="1"/>
  <c r="C306" i="5" s="1"/>
  <c r="C307" i="5" s="1"/>
  <c r="C308" i="5" s="1"/>
  <c r="C309" i="5" s="1"/>
  <c r="C310" i="5" s="1"/>
  <c r="C311" i="5" s="1"/>
  <c r="C312" i="5" s="1"/>
  <c r="C313" i="5" s="1"/>
  <c r="C314" i="5" s="1"/>
  <c r="C315" i="5" s="1"/>
  <c r="C316" i="5" s="1"/>
  <c r="C317" i="5" s="1"/>
  <c r="C318" i="5" s="1"/>
  <c r="C319" i="5" s="1"/>
  <c r="C320" i="5" s="1"/>
  <c r="C321" i="5" s="1"/>
  <c r="C322" i="5" s="1"/>
  <c r="C323" i="5" s="1"/>
  <c r="C324" i="5" s="1"/>
  <c r="C325" i="5" s="1"/>
  <c r="C326" i="5" s="1"/>
  <c r="C327" i="5" s="1"/>
  <c r="C328" i="5" s="1"/>
  <c r="C329" i="5" s="1"/>
  <c r="C330" i="5" s="1"/>
  <c r="C331" i="5" s="1"/>
  <c r="C332" i="5" s="1"/>
  <c r="C333" i="5" s="1"/>
  <c r="C334" i="5" s="1"/>
  <c r="C335" i="5" s="1"/>
  <c r="C336" i="5" s="1"/>
  <c r="C337" i="5" s="1"/>
  <c r="C338" i="5" s="1"/>
  <c r="C339" i="5" s="1"/>
  <c r="C340" i="5" s="1"/>
  <c r="C341" i="5" s="1"/>
  <c r="C342" i="5" s="1"/>
  <c r="C343" i="5" s="1"/>
  <c r="C344" i="5" s="1"/>
  <c r="C345" i="5" s="1"/>
  <c r="C346" i="5" s="1"/>
  <c r="C347" i="5" s="1"/>
  <c r="C348" i="5" s="1"/>
  <c r="C349" i="5" s="1"/>
  <c r="C350" i="5" s="1"/>
  <c r="C351" i="5" s="1"/>
  <c r="C352" i="5" s="1"/>
  <c r="C353" i="5" s="1"/>
  <c r="C354" i="5" s="1"/>
  <c r="C355" i="5" s="1"/>
  <c r="C356" i="5" s="1"/>
  <c r="C357" i="5" s="1"/>
  <c r="C358" i="5" s="1"/>
  <c r="C359" i="5" s="1"/>
  <c r="C360" i="5" s="1"/>
  <c r="C361" i="5" s="1"/>
  <c r="C362" i="5" s="1"/>
  <c r="C363" i="5" s="1"/>
  <c r="C364" i="5" s="1"/>
  <c r="C365" i="5" s="1"/>
  <c r="C366" i="5" s="1"/>
  <c r="C367" i="5" s="1"/>
  <c r="C368" i="5" s="1"/>
  <c r="C369" i="5" s="1"/>
  <c r="C370" i="5" s="1"/>
  <c r="C371" i="5" s="1"/>
  <c r="C372" i="5" s="1"/>
  <c r="C373" i="5" s="1"/>
  <c r="C374" i="5" s="1"/>
  <c r="C375" i="5" s="1"/>
  <c r="C376" i="5" s="1"/>
  <c r="C377" i="5" s="1"/>
  <c r="C378" i="5" s="1"/>
  <c r="C379" i="5" s="1"/>
  <c r="C380" i="5" s="1"/>
  <c r="C381" i="5" s="1"/>
  <c r="C382" i="5" s="1"/>
  <c r="C383" i="5" s="1"/>
  <c r="C384" i="5" s="1"/>
  <c r="C385" i="5" s="1"/>
  <c r="C386" i="5" s="1"/>
  <c r="C387" i="5" s="1"/>
  <c r="C388" i="5" s="1"/>
  <c r="C389" i="5" s="1"/>
  <c r="C390" i="5" s="1"/>
  <c r="C391" i="5" s="1"/>
  <c r="C392" i="5" s="1"/>
  <c r="C393" i="5" s="1"/>
  <c r="C394" i="5" s="1"/>
  <c r="C395" i="5" s="1"/>
  <c r="C396" i="5" s="1"/>
  <c r="C397" i="5" s="1"/>
  <c r="C398" i="5" s="1"/>
  <c r="C399" i="5" s="1"/>
  <c r="C400" i="5" s="1"/>
  <c r="C401" i="5" s="1"/>
  <c r="C402" i="5" s="1"/>
  <c r="C403" i="5" s="1"/>
  <c r="C404" i="5" s="1"/>
  <c r="C405" i="5" s="1"/>
  <c r="C406" i="5" s="1"/>
  <c r="C407" i="5" s="1"/>
  <c r="C408" i="5" s="1"/>
  <c r="C409" i="5" s="1"/>
  <c r="C410" i="5" s="1"/>
  <c r="C411" i="5" s="1"/>
  <c r="C412" i="5" s="1"/>
  <c r="C413" i="5" s="1"/>
  <c r="C414" i="5" s="1"/>
  <c r="C415" i="5" s="1"/>
  <c r="C416" i="5" s="1"/>
  <c r="C417" i="5" s="1"/>
  <c r="C418" i="5" s="1"/>
  <c r="C419" i="5" s="1"/>
  <c r="C420" i="5" s="1"/>
  <c r="C421" i="5" s="1"/>
  <c r="C422" i="5" s="1"/>
  <c r="C423" i="5" s="1"/>
  <c r="C424" i="5" s="1"/>
  <c r="C425" i="5" s="1"/>
  <c r="C426" i="5" s="1"/>
  <c r="C427" i="5" s="1"/>
  <c r="C428" i="5" s="1"/>
  <c r="C429" i="5" s="1"/>
  <c r="C430" i="5" s="1"/>
  <c r="C431" i="5" s="1"/>
  <c r="C432" i="5" s="1"/>
  <c r="C433" i="5" s="1"/>
  <c r="C434" i="5" s="1"/>
  <c r="C435" i="5" s="1"/>
  <c r="C436" i="5" s="1"/>
  <c r="C437" i="5" s="1"/>
  <c r="C438" i="5" s="1"/>
  <c r="C439" i="5" s="1"/>
  <c r="C440" i="5" s="1"/>
  <c r="C441" i="5" s="1"/>
  <c r="C442" i="5" s="1"/>
  <c r="C443" i="5" s="1"/>
  <c r="C444" i="5" s="1"/>
  <c r="C23" i="5"/>
  <c r="C24" i="5" s="1"/>
  <c r="C25" i="5" s="1"/>
  <c r="C26" i="5" s="1"/>
  <c r="C27" i="5" s="1"/>
  <c r="C28" i="5" s="1"/>
  <c r="C29" i="5" s="1"/>
  <c r="C30" i="5" s="1"/>
  <c r="C14" i="5"/>
  <c r="C15" i="5" s="1"/>
  <c r="C16" i="5" s="1"/>
  <c r="C17" i="5" s="1"/>
  <c r="C18" i="5" s="1"/>
  <c r="C19" i="5" s="1"/>
  <c r="C20" i="5" s="1"/>
  <c r="C21" i="5" s="1"/>
  <c r="C7" i="5"/>
  <c r="C8" i="5" s="1"/>
  <c r="C9" i="5" s="1"/>
  <c r="C10" i="5" s="1"/>
  <c r="C11" i="5" s="1"/>
  <c r="C12" i="5" s="1"/>
  <c r="C13" i="6"/>
  <c r="C22" i="6" s="1"/>
  <c r="C7" i="6"/>
  <c r="C8" i="6" s="1"/>
  <c r="C9" i="6" s="1"/>
  <c r="C10" i="6" s="1"/>
  <c r="C11" i="6" s="1"/>
  <c r="C12" i="6" s="1"/>
  <c r="H31" i="5"/>
  <c r="D31" i="5" s="1"/>
  <c r="F31" i="5" s="1"/>
  <c r="B428" i="6"/>
  <c r="B429" i="6"/>
  <c r="B430" i="6"/>
  <c r="B431" i="6"/>
  <c r="B432" i="6"/>
  <c r="B433" i="6"/>
  <c r="B434" i="6"/>
  <c r="B435" i="6"/>
  <c r="B436" i="6"/>
  <c r="B437" i="6"/>
  <c r="B438" i="6"/>
  <c r="B439" i="6"/>
  <c r="B424" i="6"/>
  <c r="B425" i="6"/>
  <c r="B426" i="6"/>
  <c r="B427" i="6"/>
  <c r="B440" i="6"/>
  <c r="B441" i="6"/>
  <c r="B442" i="6"/>
  <c r="B443" i="6"/>
  <c r="B444" i="6"/>
  <c r="A129" i="7" l="1"/>
  <c r="B130" i="7"/>
  <c r="J101" i="4" s="1"/>
  <c r="A289" i="7"/>
  <c r="A225" i="7"/>
  <c r="B418" i="7"/>
  <c r="J388" i="4"/>
  <c r="B149" i="7"/>
  <c r="J119" i="4"/>
  <c r="B251" i="7"/>
  <c r="J221" i="4"/>
  <c r="J26" i="4"/>
  <c r="A55" i="7"/>
  <c r="B56" i="7"/>
  <c r="J11" i="4"/>
  <c r="A10" i="7"/>
  <c r="B11" i="7"/>
  <c r="J246" i="4"/>
  <c r="B276" i="7"/>
  <c r="A275" i="7"/>
  <c r="L19" i="4"/>
  <c r="G121" i="7"/>
  <c r="G10" i="8" s="1"/>
  <c r="A248" i="7"/>
  <c r="D289" i="7"/>
  <c r="L259" i="4"/>
  <c r="D381" i="7"/>
  <c r="L352" i="4" s="1"/>
  <c r="L157" i="4"/>
  <c r="L216" i="4"/>
  <c r="D246" i="7"/>
  <c r="D273" i="7"/>
  <c r="L243" i="4"/>
  <c r="D355" i="7"/>
  <c r="L326" i="4" s="1"/>
  <c r="D219" i="7"/>
  <c r="H214" i="7" s="1"/>
  <c r="H14" i="8" s="1"/>
  <c r="L189" i="4"/>
  <c r="D336" i="7"/>
  <c r="L306" i="4"/>
  <c r="C14" i="6"/>
  <c r="C15" i="6" s="1"/>
  <c r="C16" i="6" s="1"/>
  <c r="C17" i="6" s="1"/>
  <c r="C18" i="6" s="1"/>
  <c r="C19" i="6" s="1"/>
  <c r="C20" i="6" s="1"/>
  <c r="C21" i="6" s="1"/>
  <c r="I265" i="7"/>
  <c r="I17" i="8" s="1"/>
  <c r="L385" i="4"/>
  <c r="I331" i="7"/>
  <c r="I21" i="8" s="1"/>
  <c r="L345" i="4"/>
  <c r="I372" i="7"/>
  <c r="I23" i="8" s="1"/>
  <c r="H372" i="7"/>
  <c r="H23" i="8" s="1"/>
  <c r="L266" i="4"/>
  <c r="I293" i="7"/>
  <c r="I19" i="8" s="1"/>
  <c r="D398" i="7"/>
  <c r="L117" i="4"/>
  <c r="D147" i="7"/>
  <c r="C23" i="6"/>
  <c r="C24" i="6" s="1"/>
  <c r="C25" i="6" s="1"/>
  <c r="C26" i="6" s="1"/>
  <c r="C27" i="6" s="1"/>
  <c r="C28" i="6" s="1"/>
  <c r="C29" i="6" s="1"/>
  <c r="C30" i="6" s="1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C222" i="6" s="1"/>
  <c r="C223" i="6" s="1"/>
  <c r="C224" i="6" s="1"/>
  <c r="C225" i="6" s="1"/>
  <c r="C226" i="6" s="1"/>
  <c r="C227" i="6" s="1"/>
  <c r="C228" i="6" s="1"/>
  <c r="C229" i="6" s="1"/>
  <c r="C230" i="6" s="1"/>
  <c r="C231" i="6" s="1"/>
  <c r="C232" i="6" s="1"/>
  <c r="C233" i="6" s="1"/>
  <c r="C234" i="6" s="1"/>
  <c r="C235" i="6" s="1"/>
  <c r="C236" i="6" s="1"/>
  <c r="C237" i="6" s="1"/>
  <c r="C238" i="6" s="1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3" i="6" s="1"/>
  <c r="C264" i="6" s="1"/>
  <c r="C265" i="6" s="1"/>
  <c r="C266" i="6" s="1"/>
  <c r="C267" i="6" s="1"/>
  <c r="C268" i="6" s="1"/>
  <c r="C269" i="6" s="1"/>
  <c r="C270" i="6" s="1"/>
  <c r="C271" i="6" s="1"/>
  <c r="C272" i="6" s="1"/>
  <c r="C273" i="6" s="1"/>
  <c r="C274" i="6" s="1"/>
  <c r="C275" i="6" s="1"/>
  <c r="C276" i="6" s="1"/>
  <c r="C277" i="6" s="1"/>
  <c r="C278" i="6" s="1"/>
  <c r="C279" i="6" s="1"/>
  <c r="C280" i="6" s="1"/>
  <c r="C281" i="6" s="1"/>
  <c r="C282" i="6" s="1"/>
  <c r="C283" i="6" s="1"/>
  <c r="C284" i="6" s="1"/>
  <c r="C285" i="6" s="1"/>
  <c r="C286" i="6" s="1"/>
  <c r="C287" i="6" s="1"/>
  <c r="C288" i="6" s="1"/>
  <c r="C289" i="6" s="1"/>
  <c r="C290" i="6" s="1"/>
  <c r="C291" i="6" s="1"/>
  <c r="C292" i="6" s="1"/>
  <c r="C293" i="6" s="1"/>
  <c r="C294" i="6" s="1"/>
  <c r="C295" i="6" s="1"/>
  <c r="C296" i="6" s="1"/>
  <c r="C297" i="6" s="1"/>
  <c r="C298" i="6" s="1"/>
  <c r="C299" i="6" s="1"/>
  <c r="C300" i="6" s="1"/>
  <c r="C301" i="6" s="1"/>
  <c r="C302" i="6" s="1"/>
  <c r="C303" i="6" s="1"/>
  <c r="C304" i="6" s="1"/>
  <c r="C305" i="6" s="1"/>
  <c r="C306" i="6" s="1"/>
  <c r="C307" i="6" s="1"/>
  <c r="C308" i="6" s="1"/>
  <c r="C309" i="6" s="1"/>
  <c r="C310" i="6" s="1"/>
  <c r="C311" i="6" s="1"/>
  <c r="C312" i="6" s="1"/>
  <c r="C313" i="6" s="1"/>
  <c r="C314" i="6" s="1"/>
  <c r="C315" i="6" s="1"/>
  <c r="C316" i="6" s="1"/>
  <c r="C317" i="6" s="1"/>
  <c r="C318" i="6" s="1"/>
  <c r="C319" i="6" s="1"/>
  <c r="C320" i="6" s="1"/>
  <c r="C321" i="6" s="1"/>
  <c r="C322" i="6" s="1"/>
  <c r="C323" i="6" s="1"/>
  <c r="C324" i="6" s="1"/>
  <c r="C325" i="6" s="1"/>
  <c r="C326" i="6" s="1"/>
  <c r="C327" i="6" s="1"/>
  <c r="C328" i="6" s="1"/>
  <c r="C329" i="6" s="1"/>
  <c r="C330" i="6" s="1"/>
  <c r="C331" i="6" s="1"/>
  <c r="C332" i="6" s="1"/>
  <c r="C333" i="6" s="1"/>
  <c r="C334" i="6" s="1"/>
  <c r="C335" i="6" s="1"/>
  <c r="C336" i="6" s="1"/>
  <c r="C337" i="6" s="1"/>
  <c r="C338" i="6" s="1"/>
  <c r="C339" i="6" s="1"/>
  <c r="C340" i="6" s="1"/>
  <c r="C341" i="6" s="1"/>
  <c r="C342" i="6" s="1"/>
  <c r="C343" i="6" s="1"/>
  <c r="C344" i="6" s="1"/>
  <c r="C345" i="6" s="1"/>
  <c r="C346" i="6" s="1"/>
  <c r="C347" i="6" s="1"/>
  <c r="C348" i="6" s="1"/>
  <c r="C349" i="6" s="1"/>
  <c r="C350" i="6" s="1"/>
  <c r="C351" i="6" s="1"/>
  <c r="C352" i="6" s="1"/>
  <c r="C353" i="6" s="1"/>
  <c r="C354" i="6" s="1"/>
  <c r="C355" i="6" s="1"/>
  <c r="C356" i="6" s="1"/>
  <c r="C357" i="6" s="1"/>
  <c r="C358" i="6" s="1"/>
  <c r="C359" i="6" s="1"/>
  <c r="C360" i="6" s="1"/>
  <c r="C361" i="6" s="1"/>
  <c r="C362" i="6" s="1"/>
  <c r="C363" i="6" s="1"/>
  <c r="C364" i="6" s="1"/>
  <c r="C365" i="6" s="1"/>
  <c r="C366" i="6" s="1"/>
  <c r="C367" i="6" s="1"/>
  <c r="C368" i="6" s="1"/>
  <c r="C369" i="6" s="1"/>
  <c r="C370" i="6" s="1"/>
  <c r="C371" i="6" s="1"/>
  <c r="C372" i="6" s="1"/>
  <c r="C373" i="6" s="1"/>
  <c r="C374" i="6" s="1"/>
  <c r="C375" i="6" s="1"/>
  <c r="C376" i="6" s="1"/>
  <c r="C377" i="6" s="1"/>
  <c r="C378" i="6" s="1"/>
  <c r="C379" i="6" s="1"/>
  <c r="C380" i="6" s="1"/>
  <c r="C381" i="6" s="1"/>
  <c r="C382" i="6" s="1"/>
  <c r="C383" i="6" s="1"/>
  <c r="C384" i="6" s="1"/>
  <c r="C385" i="6" s="1"/>
  <c r="C386" i="6" s="1"/>
  <c r="C387" i="6" s="1"/>
  <c r="C388" i="6" s="1"/>
  <c r="C389" i="6" s="1"/>
  <c r="C390" i="6" s="1"/>
  <c r="C391" i="6" s="1"/>
  <c r="C392" i="6" s="1"/>
  <c r="C393" i="6" s="1"/>
  <c r="C394" i="6" s="1"/>
  <c r="C395" i="6" s="1"/>
  <c r="C396" i="6" s="1"/>
  <c r="C397" i="6" s="1"/>
  <c r="C398" i="6" s="1"/>
  <c r="C399" i="6" s="1"/>
  <c r="C400" i="6" s="1"/>
  <c r="C401" i="6" s="1"/>
  <c r="C402" i="6" s="1"/>
  <c r="C403" i="6" s="1"/>
  <c r="C404" i="6" s="1"/>
  <c r="C405" i="6" s="1"/>
  <c r="C406" i="6" s="1"/>
  <c r="C407" i="6" s="1"/>
  <c r="C408" i="6" s="1"/>
  <c r="C409" i="6" s="1"/>
  <c r="C410" i="6" s="1"/>
  <c r="C411" i="6" s="1"/>
  <c r="C412" i="6" s="1"/>
  <c r="C413" i="6" s="1"/>
  <c r="C414" i="6" s="1"/>
  <c r="C415" i="6" s="1"/>
  <c r="C416" i="6" s="1"/>
  <c r="C417" i="6" s="1"/>
  <c r="C418" i="6" s="1"/>
  <c r="C419" i="6" s="1"/>
  <c r="C420" i="6" s="1"/>
  <c r="C421" i="6" s="1"/>
  <c r="C422" i="6" s="1"/>
  <c r="C423" i="6" s="1"/>
  <c r="C424" i="6" s="1"/>
  <c r="C425" i="6" s="1"/>
  <c r="C426" i="6" s="1"/>
  <c r="C427" i="6" s="1"/>
  <c r="C428" i="6" s="1"/>
  <c r="C429" i="6" s="1"/>
  <c r="C430" i="6" s="1"/>
  <c r="C431" i="6" s="1"/>
  <c r="C432" i="6" s="1"/>
  <c r="C433" i="6" s="1"/>
  <c r="C434" i="6" s="1"/>
  <c r="C435" i="6" s="1"/>
  <c r="C436" i="6" s="1"/>
  <c r="C437" i="6" s="1"/>
  <c r="C438" i="6" s="1"/>
  <c r="C439" i="6" s="1"/>
  <c r="C440" i="6" s="1"/>
  <c r="C441" i="6" s="1"/>
  <c r="C442" i="6" s="1"/>
  <c r="C443" i="6" s="1"/>
  <c r="C444" i="6" s="1"/>
  <c r="D313" i="7"/>
  <c r="L284" i="4" s="1"/>
  <c r="D415" i="7"/>
  <c r="D93" i="7"/>
  <c r="D27" i="7"/>
  <c r="D36" i="7"/>
  <c r="D49" i="7"/>
  <c r="L20" i="4" s="1"/>
  <c r="D18" i="7"/>
  <c r="D9" i="7"/>
  <c r="L10" i="4" s="1"/>
  <c r="D126" i="7"/>
  <c r="L97" i="4" s="1"/>
  <c r="B359" i="7"/>
  <c r="J330" i="4" s="1"/>
  <c r="A358" i="7"/>
  <c r="A226" i="7"/>
  <c r="B227" i="7"/>
  <c r="B33" i="7"/>
  <c r="A32" i="7"/>
  <c r="J81" i="4"/>
  <c r="A109" i="7"/>
  <c r="C21" i="7"/>
  <c r="C31" i="7" s="1"/>
  <c r="C41" i="7" s="1"/>
  <c r="C12" i="7"/>
  <c r="B338" i="7"/>
  <c r="J309" i="4" s="1"/>
  <c r="A337" i="7"/>
  <c r="B23" i="7"/>
  <c r="A22" i="7"/>
  <c r="B43" i="7"/>
  <c r="A42" i="7"/>
  <c r="B407" i="7"/>
  <c r="J378" i="4" s="1"/>
  <c r="A406" i="7"/>
  <c r="B304" i="7"/>
  <c r="J275" i="4" s="1"/>
  <c r="A303" i="7"/>
  <c r="B314" i="7"/>
  <c r="J285" i="4" s="1"/>
  <c r="A313" i="7"/>
  <c r="B189" i="7"/>
  <c r="J160" i="4" s="1"/>
  <c r="A188" i="7"/>
  <c r="B291" i="7"/>
  <c r="J262" i="4" s="1"/>
  <c r="A290" i="7"/>
  <c r="A239" i="7"/>
  <c r="B240" i="7"/>
  <c r="J211" i="4" s="1"/>
  <c r="B384" i="7"/>
  <c r="J355" i="4" s="1"/>
  <c r="A383" i="7"/>
  <c r="A130" i="7"/>
  <c r="J67" i="4"/>
  <c r="A95" i="7"/>
  <c r="B31" i="5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13" i="5"/>
  <c r="B6" i="5"/>
  <c r="D178" i="5"/>
  <c r="F178" i="5" s="1"/>
  <c r="D177" i="5"/>
  <c r="F177" i="5" s="1"/>
  <c r="D176" i="5"/>
  <c r="F176" i="5" s="1"/>
  <c r="D175" i="5"/>
  <c r="F175" i="5" s="1"/>
  <c r="D174" i="5"/>
  <c r="F174" i="5" s="1"/>
  <c r="D173" i="5"/>
  <c r="F173" i="5" s="1"/>
  <c r="D172" i="5"/>
  <c r="F172" i="5" s="1"/>
  <c r="D171" i="5"/>
  <c r="F171" i="5" s="1"/>
  <c r="D170" i="5"/>
  <c r="F170" i="5" s="1"/>
  <c r="D169" i="5"/>
  <c r="F169" i="5" s="1"/>
  <c r="D168" i="5"/>
  <c r="F168" i="5" s="1"/>
  <c r="D167" i="5"/>
  <c r="F167" i="5" s="1"/>
  <c r="D166" i="5"/>
  <c r="F166" i="5" s="1"/>
  <c r="D165" i="5"/>
  <c r="F165" i="5" s="1"/>
  <c r="D164" i="5"/>
  <c r="F164" i="5" s="1"/>
  <c r="D163" i="5"/>
  <c r="F163" i="5" s="1"/>
  <c r="D162" i="5"/>
  <c r="F162" i="5" s="1"/>
  <c r="D161" i="5"/>
  <c r="F161" i="5" s="1"/>
  <c r="D160" i="5"/>
  <c r="F160" i="5" s="1"/>
  <c r="D159" i="5"/>
  <c r="F159" i="5" s="1"/>
  <c r="D158" i="5"/>
  <c r="F158" i="5" s="1"/>
  <c r="D157" i="5"/>
  <c r="F157" i="5" s="1"/>
  <c r="D156" i="5"/>
  <c r="F156" i="5" s="1"/>
  <c r="D155" i="5"/>
  <c r="F155" i="5" s="1"/>
  <c r="D154" i="5"/>
  <c r="F154" i="5" s="1"/>
  <c r="D153" i="5"/>
  <c r="F153" i="5" s="1"/>
  <c r="D152" i="5"/>
  <c r="F152" i="5" s="1"/>
  <c r="D151" i="5"/>
  <c r="F151" i="5" s="1"/>
  <c r="D150" i="5"/>
  <c r="F150" i="5" s="1"/>
  <c r="D149" i="5"/>
  <c r="F149" i="5" s="1"/>
  <c r="D148" i="5"/>
  <c r="F148" i="5" s="1"/>
  <c r="D147" i="5"/>
  <c r="F147" i="5" s="1"/>
  <c r="D146" i="5"/>
  <c r="F146" i="5" s="1"/>
  <c r="D145" i="5"/>
  <c r="F145" i="5" s="1"/>
  <c r="D144" i="5"/>
  <c r="F144" i="5" s="1"/>
  <c r="D143" i="5"/>
  <c r="F143" i="5" s="1"/>
  <c r="D142" i="5"/>
  <c r="F142" i="5" s="1"/>
  <c r="D141" i="5"/>
  <c r="F141" i="5" s="1"/>
  <c r="D140" i="5"/>
  <c r="F140" i="5" s="1"/>
  <c r="D139" i="5"/>
  <c r="F139" i="5" s="1"/>
  <c r="H30" i="5"/>
  <c r="H29" i="5"/>
  <c r="H28" i="5"/>
  <c r="H27" i="5"/>
  <c r="H26" i="5"/>
  <c r="H25" i="5"/>
  <c r="H24" i="5"/>
  <c r="H23" i="5"/>
  <c r="H22" i="5"/>
  <c r="D22" i="5" s="1"/>
  <c r="F22" i="5" s="1"/>
  <c r="H21" i="5"/>
  <c r="D21" i="5" s="1"/>
  <c r="F21" i="5" s="1"/>
  <c r="H20" i="5"/>
  <c r="D20" i="5" s="1"/>
  <c r="F20" i="5" s="1"/>
  <c r="H19" i="5"/>
  <c r="D19" i="5" s="1"/>
  <c r="F19" i="5" s="1"/>
  <c r="H18" i="5"/>
  <c r="D18" i="5" s="1"/>
  <c r="F18" i="5" s="1"/>
  <c r="H17" i="5"/>
  <c r="D17" i="5" s="1"/>
  <c r="F17" i="5" s="1"/>
  <c r="H16" i="5"/>
  <c r="D16" i="5" s="1"/>
  <c r="F16" i="5" s="1"/>
  <c r="H15" i="5"/>
  <c r="H14" i="5"/>
  <c r="D14" i="5" s="1"/>
  <c r="F14" i="5" s="1"/>
  <c r="H13" i="5"/>
  <c r="H12" i="5"/>
  <c r="D12" i="5" s="1"/>
  <c r="F12" i="5" s="1"/>
  <c r="H11" i="5"/>
  <c r="D11" i="5" s="1"/>
  <c r="H10" i="5"/>
  <c r="D10" i="5" s="1"/>
  <c r="F10" i="5" s="1"/>
  <c r="H9" i="5"/>
  <c r="D9" i="5" s="1"/>
  <c r="F9" i="5" s="1"/>
  <c r="H8" i="5"/>
  <c r="D8" i="5" s="1"/>
  <c r="F8" i="5" s="1"/>
  <c r="H7" i="5"/>
  <c r="D7" i="5" s="1"/>
  <c r="H6" i="5"/>
  <c r="H408" i="5"/>
  <c r="H407" i="5"/>
  <c r="H406" i="5"/>
  <c r="H397" i="5"/>
  <c r="H396" i="5"/>
  <c r="H395" i="5"/>
  <c r="H394" i="5"/>
  <c r="H393" i="5"/>
  <c r="H392" i="5"/>
  <c r="H373" i="5"/>
  <c r="H372" i="5"/>
  <c r="H371" i="5"/>
  <c r="H370" i="5"/>
  <c r="H369" i="5"/>
  <c r="H368" i="5"/>
  <c r="H349" i="5"/>
  <c r="H348" i="5"/>
  <c r="H347" i="5"/>
  <c r="H346" i="5"/>
  <c r="H345" i="5"/>
  <c r="H344" i="5"/>
  <c r="H328" i="5"/>
  <c r="H327" i="5"/>
  <c r="H304" i="5"/>
  <c r="H303" i="5"/>
  <c r="H294" i="5"/>
  <c r="H293" i="5"/>
  <c r="H292" i="5"/>
  <c r="H291" i="5"/>
  <c r="H290" i="5"/>
  <c r="H289" i="5"/>
  <c r="H280" i="5"/>
  <c r="H279" i="5"/>
  <c r="H278" i="5"/>
  <c r="H277" i="5"/>
  <c r="H276" i="5"/>
  <c r="H275" i="5"/>
  <c r="H266" i="5"/>
  <c r="H265" i="5"/>
  <c r="H264" i="5"/>
  <c r="H263" i="5"/>
  <c r="H262" i="5"/>
  <c r="H261" i="5"/>
  <c r="H238" i="5"/>
  <c r="E238" i="5" s="1"/>
  <c r="H229" i="5"/>
  <c r="H228" i="5"/>
  <c r="H227" i="5"/>
  <c r="H226" i="5"/>
  <c r="H225" i="5"/>
  <c r="H224" i="5"/>
  <c r="H215" i="5"/>
  <c r="H214" i="5"/>
  <c r="H213" i="5"/>
  <c r="H212" i="5"/>
  <c r="H211" i="5"/>
  <c r="H210" i="5"/>
  <c r="H209" i="5"/>
  <c r="H208" i="5"/>
  <c r="H207" i="5"/>
  <c r="H206" i="5"/>
  <c r="H205" i="5"/>
  <c r="H179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0" i="5"/>
  <c r="H99" i="5"/>
  <c r="H98" i="5"/>
  <c r="H97" i="5"/>
  <c r="H96" i="5"/>
  <c r="H95" i="5"/>
  <c r="H94" i="5"/>
  <c r="H93" i="5"/>
  <c r="H85" i="5"/>
  <c r="H46" i="5"/>
  <c r="H45" i="5"/>
  <c r="H44" i="5"/>
  <c r="H43" i="5"/>
  <c r="H42" i="5"/>
  <c r="H41" i="5"/>
  <c r="L386" i="4" l="1"/>
  <c r="B131" i="7"/>
  <c r="J102" i="4" s="1"/>
  <c r="D43" i="5"/>
  <c r="F43" i="5" s="1"/>
  <c r="E43" i="5"/>
  <c r="D44" i="5"/>
  <c r="B44" i="5" s="1"/>
  <c r="E44" i="5"/>
  <c r="D93" i="5"/>
  <c r="F93" i="5" s="1"/>
  <c r="E93" i="5"/>
  <c r="D97" i="5"/>
  <c r="B97" i="5" s="1"/>
  <c r="E97" i="5"/>
  <c r="D108" i="5"/>
  <c r="B108" i="5" s="1"/>
  <c r="E108" i="5"/>
  <c r="D112" i="5"/>
  <c r="F112" i="5" s="1"/>
  <c r="E112" i="5"/>
  <c r="D116" i="5"/>
  <c r="F116" i="5" s="1"/>
  <c r="E116" i="5"/>
  <c r="D179" i="5"/>
  <c r="B179" i="5" s="1"/>
  <c r="E179" i="5"/>
  <c r="D208" i="5"/>
  <c r="F208" i="5" s="1"/>
  <c r="E208" i="5"/>
  <c r="D212" i="5"/>
  <c r="F212" i="5" s="1"/>
  <c r="E212" i="5"/>
  <c r="D224" i="5"/>
  <c r="F224" i="5" s="1"/>
  <c r="E224" i="5"/>
  <c r="D228" i="5"/>
  <c r="F228" i="5" s="1"/>
  <c r="E228" i="5"/>
  <c r="D262" i="5"/>
  <c r="F262" i="5" s="1"/>
  <c r="E262" i="5"/>
  <c r="D266" i="5"/>
  <c r="F266" i="5" s="1"/>
  <c r="E266" i="5"/>
  <c r="D278" i="5"/>
  <c r="F278" i="5" s="1"/>
  <c r="E278" i="5"/>
  <c r="D290" i="5"/>
  <c r="F290" i="5" s="1"/>
  <c r="E290" i="5"/>
  <c r="D294" i="5"/>
  <c r="F294" i="5" s="1"/>
  <c r="E294" i="5"/>
  <c r="D328" i="5"/>
  <c r="F328" i="5" s="1"/>
  <c r="E328" i="5"/>
  <c r="D347" i="5"/>
  <c r="B347" i="5" s="1"/>
  <c r="E347" i="5"/>
  <c r="D369" i="5"/>
  <c r="B369" i="5" s="1"/>
  <c r="E369" i="5"/>
  <c r="D373" i="5"/>
  <c r="F373" i="5" s="1"/>
  <c r="E373" i="5"/>
  <c r="D395" i="5"/>
  <c r="B395" i="5" s="1"/>
  <c r="E395" i="5"/>
  <c r="D407" i="5"/>
  <c r="F407" i="5" s="1"/>
  <c r="E407" i="5"/>
  <c r="D41" i="5"/>
  <c r="F41" i="5" s="1"/>
  <c r="E41" i="5"/>
  <c r="D94" i="5"/>
  <c r="F94" i="5" s="1"/>
  <c r="E94" i="5"/>
  <c r="D109" i="5"/>
  <c r="B109" i="5" s="1"/>
  <c r="E109" i="5"/>
  <c r="D42" i="5"/>
  <c r="F42" i="5" s="1"/>
  <c r="E42" i="5"/>
  <c r="D46" i="5"/>
  <c r="F46" i="5" s="1"/>
  <c r="E46" i="5"/>
  <c r="D95" i="5"/>
  <c r="F95" i="5" s="1"/>
  <c r="E95" i="5"/>
  <c r="D99" i="5"/>
  <c r="F99" i="5" s="1"/>
  <c r="E99" i="5"/>
  <c r="D110" i="5"/>
  <c r="F110" i="5" s="1"/>
  <c r="E110" i="5"/>
  <c r="D114" i="5"/>
  <c r="F114" i="5" s="1"/>
  <c r="E114" i="5"/>
  <c r="D118" i="5"/>
  <c r="F118" i="5" s="1"/>
  <c r="E118" i="5"/>
  <c r="D206" i="5"/>
  <c r="F206" i="5" s="1"/>
  <c r="E206" i="5"/>
  <c r="D210" i="5"/>
  <c r="B210" i="5" s="1"/>
  <c r="E210" i="5"/>
  <c r="D214" i="5"/>
  <c r="B214" i="5" s="1"/>
  <c r="E214" i="5"/>
  <c r="D226" i="5"/>
  <c r="B226" i="5" s="1"/>
  <c r="E226" i="5"/>
  <c r="D264" i="5"/>
  <c r="F264" i="5" s="1"/>
  <c r="E264" i="5"/>
  <c r="D276" i="5"/>
  <c r="B276" i="5" s="1"/>
  <c r="E276" i="5"/>
  <c r="D280" i="5"/>
  <c r="F280" i="5" s="1"/>
  <c r="E280" i="5"/>
  <c r="D292" i="5"/>
  <c r="B292" i="5" s="1"/>
  <c r="E292" i="5"/>
  <c r="D304" i="5"/>
  <c r="F304" i="5" s="1"/>
  <c r="E304" i="5"/>
  <c r="D345" i="5"/>
  <c r="F345" i="5" s="1"/>
  <c r="E345" i="5"/>
  <c r="D349" i="5"/>
  <c r="B349" i="5" s="1"/>
  <c r="E349" i="5"/>
  <c r="D371" i="5"/>
  <c r="B371" i="5" s="1"/>
  <c r="E371" i="5"/>
  <c r="D393" i="5"/>
  <c r="B393" i="5" s="1"/>
  <c r="E393" i="5"/>
  <c r="D397" i="5"/>
  <c r="B397" i="5" s="1"/>
  <c r="E397" i="5"/>
  <c r="A227" i="7"/>
  <c r="J198" i="4"/>
  <c r="J247" i="4"/>
  <c r="A276" i="7"/>
  <c r="B277" i="7"/>
  <c r="D85" i="5"/>
  <c r="F85" i="5" s="1"/>
  <c r="E85" i="5"/>
  <c r="D96" i="5"/>
  <c r="F96" i="5" s="1"/>
  <c r="E96" i="5"/>
  <c r="D100" i="5"/>
  <c r="B100" i="5" s="1"/>
  <c r="E100" i="5"/>
  <c r="D111" i="5"/>
  <c r="B111" i="5" s="1"/>
  <c r="E111" i="5"/>
  <c r="D115" i="5"/>
  <c r="B115" i="5" s="1"/>
  <c r="E115" i="5"/>
  <c r="D119" i="5"/>
  <c r="F119" i="5" s="1"/>
  <c r="E119" i="5"/>
  <c r="D207" i="5"/>
  <c r="F207" i="5" s="1"/>
  <c r="E207" i="5"/>
  <c r="D211" i="5"/>
  <c r="F211" i="5" s="1"/>
  <c r="E211" i="5"/>
  <c r="D215" i="5"/>
  <c r="F215" i="5" s="1"/>
  <c r="E215" i="5"/>
  <c r="D227" i="5"/>
  <c r="F227" i="5" s="1"/>
  <c r="E227" i="5"/>
  <c r="D261" i="5"/>
  <c r="E261" i="5"/>
  <c r="D265" i="5"/>
  <c r="B265" i="5" s="1"/>
  <c r="E265" i="5"/>
  <c r="D277" i="5"/>
  <c r="B277" i="5" s="1"/>
  <c r="E277" i="5"/>
  <c r="D289" i="5"/>
  <c r="B289" i="5" s="1"/>
  <c r="E289" i="5"/>
  <c r="D293" i="5"/>
  <c r="E293" i="5"/>
  <c r="D327" i="5"/>
  <c r="F327" i="5" s="1"/>
  <c r="E327" i="5"/>
  <c r="D346" i="5"/>
  <c r="B346" i="5" s="1"/>
  <c r="E346" i="5"/>
  <c r="D368" i="5"/>
  <c r="B368" i="5" s="1"/>
  <c r="E368" i="5"/>
  <c r="D372" i="5"/>
  <c r="E372" i="5"/>
  <c r="D394" i="5"/>
  <c r="F394" i="5" s="1"/>
  <c r="E394" i="5"/>
  <c r="D406" i="5"/>
  <c r="B406" i="5" s="1"/>
  <c r="E406" i="5"/>
  <c r="B150" i="7"/>
  <c r="J120" i="4"/>
  <c r="L64" i="4"/>
  <c r="J27" i="4"/>
  <c r="A56" i="7"/>
  <c r="B57" i="7"/>
  <c r="D45" i="5"/>
  <c r="E45" i="5"/>
  <c r="D98" i="5"/>
  <c r="F98" i="5" s="1"/>
  <c r="E98" i="5"/>
  <c r="D113" i="5"/>
  <c r="F113" i="5" s="1"/>
  <c r="E113" i="5"/>
  <c r="D117" i="5"/>
  <c r="F117" i="5" s="1"/>
  <c r="E117" i="5"/>
  <c r="D205" i="5"/>
  <c r="F205" i="5" s="1"/>
  <c r="E205" i="5"/>
  <c r="D209" i="5"/>
  <c r="F209" i="5" s="1"/>
  <c r="E209" i="5"/>
  <c r="D213" i="5"/>
  <c r="F213" i="5" s="1"/>
  <c r="E213" i="5"/>
  <c r="D225" i="5"/>
  <c r="F225" i="5" s="1"/>
  <c r="E225" i="5"/>
  <c r="D229" i="5"/>
  <c r="F229" i="5" s="1"/>
  <c r="E229" i="5"/>
  <c r="D263" i="5"/>
  <c r="F263" i="5" s="1"/>
  <c r="E263" i="5"/>
  <c r="D275" i="5"/>
  <c r="F275" i="5" s="1"/>
  <c r="E275" i="5"/>
  <c r="D279" i="5"/>
  <c r="B279" i="5" s="1"/>
  <c r="E279" i="5"/>
  <c r="D291" i="5"/>
  <c r="F291" i="5" s="1"/>
  <c r="E291" i="5"/>
  <c r="D303" i="5"/>
  <c r="F303" i="5" s="1"/>
  <c r="E303" i="5"/>
  <c r="D344" i="5"/>
  <c r="F344" i="5" s="1"/>
  <c r="E344" i="5"/>
  <c r="D348" i="5"/>
  <c r="B348" i="5" s="1"/>
  <c r="E348" i="5"/>
  <c r="D370" i="5"/>
  <c r="F370" i="5" s="1"/>
  <c r="E370" i="5"/>
  <c r="D392" i="5"/>
  <c r="B392" i="5" s="1"/>
  <c r="E392" i="5"/>
  <c r="D396" i="5"/>
  <c r="B396" i="5" s="1"/>
  <c r="E396" i="5"/>
  <c r="D408" i="5"/>
  <c r="B408" i="5" s="1"/>
  <c r="E408" i="5"/>
  <c r="J12" i="4"/>
  <c r="A11" i="7"/>
  <c r="B12" i="7"/>
  <c r="B252" i="7"/>
  <c r="J222" i="4"/>
  <c r="B419" i="7"/>
  <c r="J389" i="4"/>
  <c r="H99" i="7"/>
  <c r="L75" i="4"/>
  <c r="D23" i="5"/>
  <c r="F23" i="5" s="1"/>
  <c r="E23" i="5"/>
  <c r="D24" i="5"/>
  <c r="F24" i="5" s="1"/>
  <c r="E24" i="5"/>
  <c r="D25" i="5"/>
  <c r="F25" i="5" s="1"/>
  <c r="E25" i="5"/>
  <c r="D29" i="5"/>
  <c r="F29" i="5" s="1"/>
  <c r="E29" i="5"/>
  <c r="D28" i="5"/>
  <c r="F28" i="5" s="1"/>
  <c r="E28" i="5"/>
  <c r="D26" i="5"/>
  <c r="F26" i="5" s="1"/>
  <c r="E26" i="5"/>
  <c r="D30" i="5"/>
  <c r="F30" i="5" s="1"/>
  <c r="E30" i="5"/>
  <c r="D27" i="5"/>
  <c r="F27" i="5" s="1"/>
  <c r="E27" i="5"/>
  <c r="D238" i="5"/>
  <c r="F238" i="5" s="1"/>
  <c r="L217" i="4"/>
  <c r="D247" i="7"/>
  <c r="D290" i="7"/>
  <c r="L260" i="4"/>
  <c r="D382" i="7"/>
  <c r="L353" i="4" s="1"/>
  <c r="D15" i="5"/>
  <c r="F15" i="5" s="1"/>
  <c r="D337" i="7"/>
  <c r="L307" i="4"/>
  <c r="L369" i="4"/>
  <c r="I396" i="7"/>
  <c r="I24" i="8" s="1"/>
  <c r="L118" i="4"/>
  <c r="D148" i="7"/>
  <c r="D220" i="7"/>
  <c r="L190" i="4"/>
  <c r="D274" i="7"/>
  <c r="D356" i="7"/>
  <c r="L327" i="4" s="1"/>
  <c r="L244" i="4"/>
  <c r="L158" i="4"/>
  <c r="B141" i="5"/>
  <c r="B145" i="5"/>
  <c r="B149" i="5"/>
  <c r="B153" i="5"/>
  <c r="B157" i="5"/>
  <c r="B161" i="5"/>
  <c r="B165" i="5"/>
  <c r="B169" i="5"/>
  <c r="B173" i="5"/>
  <c r="B177" i="5"/>
  <c r="B142" i="5"/>
  <c r="B146" i="5"/>
  <c r="B150" i="5"/>
  <c r="B154" i="5"/>
  <c r="B158" i="5"/>
  <c r="B162" i="5"/>
  <c r="B166" i="5"/>
  <c r="B170" i="5"/>
  <c r="B174" i="5"/>
  <c r="B178" i="5"/>
  <c r="B7" i="5"/>
  <c r="F7" i="5"/>
  <c r="B11" i="5"/>
  <c r="F11" i="5"/>
  <c r="B139" i="5"/>
  <c r="B143" i="5"/>
  <c r="B147" i="5"/>
  <c r="B151" i="5"/>
  <c r="B155" i="5"/>
  <c r="B159" i="5"/>
  <c r="B163" i="5"/>
  <c r="B167" i="5"/>
  <c r="B171" i="5"/>
  <c r="B175" i="5"/>
  <c r="B140" i="5"/>
  <c r="B144" i="5"/>
  <c r="B148" i="5"/>
  <c r="B152" i="5"/>
  <c r="B156" i="5"/>
  <c r="B160" i="5"/>
  <c r="B164" i="5"/>
  <c r="B168" i="5"/>
  <c r="B172" i="5"/>
  <c r="B176" i="5"/>
  <c r="B261" i="5"/>
  <c r="F261" i="5"/>
  <c r="B293" i="5"/>
  <c r="F293" i="5"/>
  <c r="B372" i="5"/>
  <c r="F372" i="5"/>
  <c r="B45" i="5"/>
  <c r="F45" i="5"/>
  <c r="B117" i="5"/>
  <c r="B275" i="5"/>
  <c r="F279" i="5"/>
  <c r="F111" i="5"/>
  <c r="F289" i="5"/>
  <c r="B290" i="5"/>
  <c r="B294" i="5"/>
  <c r="F347" i="5"/>
  <c r="F108" i="5"/>
  <c r="B118" i="5"/>
  <c r="F226" i="5"/>
  <c r="F292" i="5"/>
  <c r="F371" i="5"/>
  <c r="F397" i="5"/>
  <c r="D314" i="7"/>
  <c r="D416" i="7"/>
  <c r="L387" i="4" s="1"/>
  <c r="L76" i="4"/>
  <c r="D19" i="7"/>
  <c r="D10" i="7"/>
  <c r="L11" i="4" s="1"/>
  <c r="D37" i="7"/>
  <c r="D127" i="7"/>
  <c r="L98" i="4" s="1"/>
  <c r="D28" i="7"/>
  <c r="D94" i="7"/>
  <c r="D50" i="7"/>
  <c r="A96" i="7"/>
  <c r="A291" i="7"/>
  <c r="B292" i="7"/>
  <c r="A23" i="7"/>
  <c r="B24" i="7"/>
  <c r="A24" i="7" s="1"/>
  <c r="B385" i="7"/>
  <c r="J356" i="4" s="1"/>
  <c r="A384" i="7"/>
  <c r="A43" i="7"/>
  <c r="B44" i="7"/>
  <c r="A44" i="7" s="1"/>
  <c r="A240" i="7"/>
  <c r="B241" i="7"/>
  <c r="B315" i="7"/>
  <c r="J286" i="4" s="1"/>
  <c r="A314" i="7"/>
  <c r="A249" i="7"/>
  <c r="B190" i="7"/>
  <c r="J161" i="4" s="1"/>
  <c r="A189" i="7"/>
  <c r="B339" i="7"/>
  <c r="J310" i="4" s="1"/>
  <c r="A338" i="7"/>
  <c r="B34" i="7"/>
  <c r="A34" i="7" s="1"/>
  <c r="A33" i="7"/>
  <c r="B132" i="7"/>
  <c r="J103" i="4" s="1"/>
  <c r="A131" i="7"/>
  <c r="B305" i="7"/>
  <c r="J276" i="4" s="1"/>
  <c r="A304" i="7"/>
  <c r="B408" i="7"/>
  <c r="J379" i="4" s="1"/>
  <c r="A407" i="7"/>
  <c r="C22" i="7"/>
  <c r="C32" i="7" s="1"/>
  <c r="C42" i="7" s="1"/>
  <c r="C13" i="7"/>
  <c r="J82" i="4"/>
  <c r="A110" i="7"/>
  <c r="B360" i="7"/>
  <c r="J331" i="4" s="1"/>
  <c r="A359" i="7"/>
  <c r="B19" i="5"/>
  <c r="B14" i="5"/>
  <c r="B18" i="5"/>
  <c r="B9" i="5"/>
  <c r="B17" i="5"/>
  <c r="B21" i="5"/>
  <c r="B22" i="5"/>
  <c r="B8" i="5"/>
  <c r="B12" i="5"/>
  <c r="B16" i="5"/>
  <c r="B20" i="5"/>
  <c r="B10" i="5"/>
  <c r="B213" i="5"/>
  <c r="B215" i="5"/>
  <c r="B407" i="5"/>
  <c r="B224" i="5"/>
  <c r="B264" i="5"/>
  <c r="B205" i="5"/>
  <c r="B85" i="5"/>
  <c r="B93" i="5"/>
  <c r="B207" i="5"/>
  <c r="B327" i="5"/>
  <c r="B229" i="5"/>
  <c r="B278" i="5"/>
  <c r="B370" i="5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L23" i="1"/>
  <c r="L24" i="1" s="1"/>
  <c r="L25" i="1" s="1"/>
  <c r="L26" i="1" s="1"/>
  <c r="L27" i="1" s="1"/>
  <c r="L28" i="1" s="1"/>
  <c r="L29" i="1" s="1"/>
  <c r="L30" i="1" s="1"/>
  <c r="C23" i="1"/>
  <c r="B23" i="1"/>
  <c r="M22" i="1"/>
  <c r="M23" i="1" s="1"/>
  <c r="M24" i="1" s="1"/>
  <c r="M25" i="1" s="1"/>
  <c r="M26" i="1" s="1"/>
  <c r="M27" i="1" s="1"/>
  <c r="M28" i="1" s="1"/>
  <c r="M29" i="1" s="1"/>
  <c r="M30" i="1" s="1"/>
  <c r="C22" i="1"/>
  <c r="B22" i="1"/>
  <c r="C21" i="1"/>
  <c r="B21" i="1"/>
  <c r="C20" i="1"/>
  <c r="B20" i="1"/>
  <c r="C19" i="1"/>
  <c r="B19" i="1"/>
  <c r="C18" i="1"/>
  <c r="B18" i="1"/>
  <c r="C16" i="1"/>
  <c r="B16" i="1"/>
  <c r="C15" i="1"/>
  <c r="B15" i="1"/>
  <c r="L14" i="1"/>
  <c r="L15" i="1" s="1"/>
  <c r="L16" i="1" s="1"/>
  <c r="C14" i="1"/>
  <c r="B14" i="1"/>
  <c r="M13" i="1"/>
  <c r="M14" i="1" s="1"/>
  <c r="M15" i="1" s="1"/>
  <c r="M16" i="1" s="1"/>
  <c r="C13" i="1"/>
  <c r="B13" i="1"/>
  <c r="B211" i="5" l="1"/>
  <c r="B263" i="5"/>
  <c r="F368" i="5"/>
  <c r="F265" i="5"/>
  <c r="F348" i="5"/>
  <c r="B96" i="5"/>
  <c r="B394" i="5"/>
  <c r="B225" i="5"/>
  <c r="B119" i="5"/>
  <c r="B227" i="5"/>
  <c r="B41" i="5"/>
  <c r="B114" i="5"/>
  <c r="F395" i="5"/>
  <c r="F44" i="5"/>
  <c r="B46" i="5"/>
  <c r="F109" i="5"/>
  <c r="B99" i="5"/>
  <c r="B304" i="5"/>
  <c r="F393" i="5"/>
  <c r="F214" i="5"/>
  <c r="B113" i="5"/>
  <c r="F396" i="5"/>
  <c r="B291" i="5"/>
  <c r="B262" i="5"/>
  <c r="B344" i="5"/>
  <c r="B116" i="5"/>
  <c r="F349" i="5"/>
  <c r="F210" i="5"/>
  <c r="F97" i="5"/>
  <c r="F369" i="5"/>
  <c r="F179" i="5"/>
  <c r="B266" i="5"/>
  <c r="B94" i="5"/>
  <c r="B43" i="5"/>
  <c r="B280" i="5"/>
  <c r="B212" i="5"/>
  <c r="B42" i="5"/>
  <c r="B110" i="5"/>
  <c r="B208" i="5"/>
  <c r="B206" i="5"/>
  <c r="B95" i="5"/>
  <c r="B328" i="5"/>
  <c r="B228" i="5"/>
  <c r="B112" i="5"/>
  <c r="B373" i="5"/>
  <c r="B345" i="5"/>
  <c r="B303" i="5"/>
  <c r="B98" i="5"/>
  <c r="F276" i="5"/>
  <c r="F100" i="5"/>
  <c r="F408" i="5"/>
  <c r="F392" i="5"/>
  <c r="F406" i="5"/>
  <c r="F346" i="5"/>
  <c r="F277" i="5"/>
  <c r="F115" i="5"/>
  <c r="B420" i="7"/>
  <c r="J390" i="4"/>
  <c r="J248" i="4"/>
  <c r="B278" i="7"/>
  <c r="A277" i="7"/>
  <c r="J13" i="4"/>
  <c r="B13" i="7"/>
  <c r="A12" i="7"/>
  <c r="B209" i="5"/>
  <c r="A241" i="7"/>
  <c r="J212" i="4"/>
  <c r="A292" i="7"/>
  <c r="J263" i="4"/>
  <c r="B151" i="7"/>
  <c r="J121" i="4"/>
  <c r="B253" i="7"/>
  <c r="J223" i="4"/>
  <c r="J28" i="4"/>
  <c r="B58" i="7"/>
  <c r="A57" i="7"/>
  <c r="B23" i="5"/>
  <c r="B27" i="5"/>
  <c r="B26" i="5"/>
  <c r="B28" i="5"/>
  <c r="B25" i="5"/>
  <c r="B30" i="5"/>
  <c r="B238" i="5"/>
  <c r="B24" i="5"/>
  <c r="B29" i="5"/>
  <c r="B15" i="5"/>
  <c r="D275" i="7"/>
  <c r="L245" i="4"/>
  <c r="D357" i="7"/>
  <c r="L18" i="1"/>
  <c r="L19" i="1" s="1"/>
  <c r="L20" i="1" s="1"/>
  <c r="L21" i="1" s="1"/>
  <c r="L17" i="1"/>
  <c r="D221" i="7"/>
  <c r="L191" i="4"/>
  <c r="D291" i="7"/>
  <c r="L261" i="4"/>
  <c r="D383" i="7"/>
  <c r="L354" i="4" s="1"/>
  <c r="L65" i="4"/>
  <c r="L285" i="4"/>
  <c r="L119" i="4"/>
  <c r="D149" i="7"/>
  <c r="M17" i="1"/>
  <c r="M18" i="1" s="1"/>
  <c r="M19" i="1" s="1"/>
  <c r="M20" i="1" s="1"/>
  <c r="M21" i="1" s="1"/>
  <c r="L21" i="4"/>
  <c r="D338" i="7"/>
  <c r="L308" i="4"/>
  <c r="D248" i="7"/>
  <c r="L218" i="4"/>
  <c r="L159" i="4"/>
  <c r="D315" i="7"/>
  <c r="L286" i="4" s="1"/>
  <c r="D417" i="7"/>
  <c r="L388" i="4" s="1"/>
  <c r="G410" i="7"/>
  <c r="G25" i="8" s="1"/>
  <c r="D128" i="7"/>
  <c r="L99" i="4" s="1"/>
  <c r="D38" i="7"/>
  <c r="D29" i="7"/>
  <c r="D95" i="7"/>
  <c r="D20" i="7"/>
  <c r="D11" i="7"/>
  <c r="L12" i="4" s="1"/>
  <c r="D51" i="7"/>
  <c r="L22" i="4" s="1"/>
  <c r="L77" i="4"/>
  <c r="B361" i="7"/>
  <c r="J332" i="4" s="1"/>
  <c r="A360" i="7"/>
  <c r="B340" i="7"/>
  <c r="J311" i="4" s="1"/>
  <c r="A339" i="7"/>
  <c r="A408" i="7"/>
  <c r="B409" i="7"/>
  <c r="B133" i="7"/>
  <c r="J104" i="4" s="1"/>
  <c r="A132" i="7"/>
  <c r="B191" i="7"/>
  <c r="J162" i="4" s="1"/>
  <c r="A190" i="7"/>
  <c r="B386" i="7"/>
  <c r="J357" i="4" s="1"/>
  <c r="A385" i="7"/>
  <c r="C14" i="7"/>
  <c r="C23" i="7"/>
  <c r="C33" i="7" s="1"/>
  <c r="C43" i="7" s="1"/>
  <c r="B306" i="7"/>
  <c r="A305" i="7"/>
  <c r="A250" i="7"/>
  <c r="A111" i="7"/>
  <c r="B316" i="7"/>
  <c r="J287" i="4" s="1"/>
  <c r="A315" i="7"/>
  <c r="K381" i="4"/>
  <c r="K382" i="4" s="1"/>
  <c r="K383" i="4" s="1"/>
  <c r="K384" i="4" s="1"/>
  <c r="K385" i="4" s="1"/>
  <c r="K386" i="4" s="1"/>
  <c r="K387" i="4" s="1"/>
  <c r="K388" i="4" s="1"/>
  <c r="K389" i="4" s="1"/>
  <c r="K390" i="4" s="1"/>
  <c r="K391" i="4" s="1"/>
  <c r="K392" i="4" s="1"/>
  <c r="K393" i="4" s="1"/>
  <c r="K394" i="4" s="1"/>
  <c r="K395" i="4" s="1"/>
  <c r="K396" i="4" s="1"/>
  <c r="K397" i="4" s="1"/>
  <c r="K398" i="4" s="1"/>
  <c r="K399" i="4" s="1"/>
  <c r="K400" i="4" s="1"/>
  <c r="K401" i="4" s="1"/>
  <c r="K402" i="4" s="1"/>
  <c r="K403" i="4" s="1"/>
  <c r="K404" i="4" s="1"/>
  <c r="K405" i="4" s="1"/>
  <c r="K406" i="4" s="1"/>
  <c r="K407" i="4" s="1"/>
  <c r="K408" i="4" s="1"/>
  <c r="K409" i="4" s="1"/>
  <c r="K410" i="4" s="1"/>
  <c r="K411" i="4" s="1"/>
  <c r="K412" i="4" s="1"/>
  <c r="K413" i="4" s="1"/>
  <c r="K414" i="4" s="1"/>
  <c r="K415" i="4" s="1"/>
  <c r="K416" i="4" s="1"/>
  <c r="K417" i="4" s="1"/>
  <c r="K418" i="4" s="1"/>
  <c r="K419" i="4" s="1"/>
  <c r="K367" i="4"/>
  <c r="K368" i="4" s="1"/>
  <c r="K369" i="4" s="1"/>
  <c r="K370" i="4" s="1"/>
  <c r="K371" i="4" s="1"/>
  <c r="K372" i="4" s="1"/>
  <c r="K373" i="4" s="1"/>
  <c r="K374" i="4" s="1"/>
  <c r="K375" i="4" s="1"/>
  <c r="K376" i="4" s="1"/>
  <c r="K377" i="4" s="1"/>
  <c r="K378" i="4" s="1"/>
  <c r="K379" i="4" s="1"/>
  <c r="K380" i="4" s="1"/>
  <c r="K343" i="4"/>
  <c r="K344" i="4" s="1"/>
  <c r="K345" i="4" s="1"/>
  <c r="K346" i="4" s="1"/>
  <c r="K347" i="4" s="1"/>
  <c r="K348" i="4" s="1"/>
  <c r="K349" i="4" s="1"/>
  <c r="K350" i="4" s="1"/>
  <c r="K351" i="4" s="1"/>
  <c r="K352" i="4" s="1"/>
  <c r="K353" i="4" s="1"/>
  <c r="K354" i="4" s="1"/>
  <c r="K355" i="4" s="1"/>
  <c r="K356" i="4" s="1"/>
  <c r="K357" i="4" s="1"/>
  <c r="K358" i="4" s="1"/>
  <c r="K359" i="4" s="1"/>
  <c r="K360" i="4" s="1"/>
  <c r="K361" i="4" s="1"/>
  <c r="K362" i="4" s="1"/>
  <c r="K363" i="4" s="1"/>
  <c r="K364" i="4" s="1"/>
  <c r="K365" i="4" s="1"/>
  <c r="K366" i="4" s="1"/>
  <c r="K319" i="4"/>
  <c r="K320" i="4" s="1"/>
  <c r="K321" i="4" s="1"/>
  <c r="K322" i="4" s="1"/>
  <c r="K323" i="4" s="1"/>
  <c r="K324" i="4" s="1"/>
  <c r="K325" i="4" s="1"/>
  <c r="K326" i="4" s="1"/>
  <c r="K327" i="4" s="1"/>
  <c r="K328" i="4" s="1"/>
  <c r="K329" i="4" s="1"/>
  <c r="K330" i="4" s="1"/>
  <c r="K331" i="4" s="1"/>
  <c r="K332" i="4" s="1"/>
  <c r="K333" i="4" s="1"/>
  <c r="K334" i="4" s="1"/>
  <c r="K335" i="4" s="1"/>
  <c r="K336" i="4" s="1"/>
  <c r="K337" i="4" s="1"/>
  <c r="K338" i="4" s="1"/>
  <c r="K339" i="4" s="1"/>
  <c r="K340" i="4" s="1"/>
  <c r="K341" i="4" s="1"/>
  <c r="K342" i="4" s="1"/>
  <c r="K302" i="4"/>
  <c r="K303" i="4" s="1"/>
  <c r="K304" i="4" s="1"/>
  <c r="K305" i="4" s="1"/>
  <c r="K306" i="4" s="1"/>
  <c r="K307" i="4" s="1"/>
  <c r="K308" i="4" s="1"/>
  <c r="K309" i="4" s="1"/>
  <c r="K310" i="4" s="1"/>
  <c r="K311" i="4" s="1"/>
  <c r="K312" i="4" s="1"/>
  <c r="K313" i="4" s="1"/>
  <c r="K314" i="4" s="1"/>
  <c r="K315" i="4" s="1"/>
  <c r="K316" i="4" s="1"/>
  <c r="K317" i="4" s="1"/>
  <c r="K318" i="4" s="1"/>
  <c r="K278" i="4"/>
  <c r="K279" i="4" s="1"/>
  <c r="K280" i="4" s="1"/>
  <c r="K281" i="4" s="1"/>
  <c r="K282" i="4" s="1"/>
  <c r="K283" i="4" s="1"/>
  <c r="K284" i="4" s="1"/>
  <c r="K285" i="4" s="1"/>
  <c r="K286" i="4" s="1"/>
  <c r="K287" i="4" s="1"/>
  <c r="K288" i="4" s="1"/>
  <c r="K289" i="4" s="1"/>
  <c r="K290" i="4" s="1"/>
  <c r="K291" i="4" s="1"/>
  <c r="K292" i="4" s="1"/>
  <c r="K293" i="4" s="1"/>
  <c r="K294" i="4" s="1"/>
  <c r="K295" i="4" s="1"/>
  <c r="K296" i="4" s="1"/>
  <c r="K297" i="4" s="1"/>
  <c r="K298" i="4" s="1"/>
  <c r="K299" i="4" s="1"/>
  <c r="K300" i="4" s="1"/>
  <c r="K301" i="4" s="1"/>
  <c r="K264" i="4"/>
  <c r="K265" i="4" s="1"/>
  <c r="K266" i="4" s="1"/>
  <c r="K267" i="4" s="1"/>
  <c r="K268" i="4" s="1"/>
  <c r="K269" i="4" s="1"/>
  <c r="K270" i="4" s="1"/>
  <c r="K271" i="4" s="1"/>
  <c r="K272" i="4" s="1"/>
  <c r="K273" i="4" s="1"/>
  <c r="K274" i="4" s="1"/>
  <c r="K275" i="4" s="1"/>
  <c r="K276" i="4" s="1"/>
  <c r="K277" i="4" s="1"/>
  <c r="K250" i="4"/>
  <c r="K251" i="4" s="1"/>
  <c r="K252" i="4" s="1"/>
  <c r="K253" i="4" s="1"/>
  <c r="K254" i="4" s="1"/>
  <c r="K255" i="4" s="1"/>
  <c r="K256" i="4" s="1"/>
  <c r="K257" i="4" s="1"/>
  <c r="K258" i="4" s="1"/>
  <c r="K259" i="4" s="1"/>
  <c r="K260" i="4" s="1"/>
  <c r="K261" i="4" s="1"/>
  <c r="K262" i="4" s="1"/>
  <c r="K263" i="4" s="1"/>
  <c r="K236" i="4"/>
  <c r="K237" i="4" s="1"/>
  <c r="K238" i="4" s="1"/>
  <c r="K239" i="4" s="1"/>
  <c r="K240" i="4" s="1"/>
  <c r="K241" i="4" s="1"/>
  <c r="K242" i="4" s="1"/>
  <c r="K243" i="4" s="1"/>
  <c r="K244" i="4" s="1"/>
  <c r="K245" i="4" s="1"/>
  <c r="K246" i="4" s="1"/>
  <c r="K247" i="4" s="1"/>
  <c r="K248" i="4" s="1"/>
  <c r="K249" i="4" s="1"/>
  <c r="K213" i="4"/>
  <c r="K214" i="4" s="1"/>
  <c r="K215" i="4" s="1"/>
  <c r="K216" i="4" s="1"/>
  <c r="K217" i="4" s="1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199" i="4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185" i="4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54" i="4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92" i="4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85" i="4"/>
  <c r="K86" i="4" s="1"/>
  <c r="K87" i="4" s="1"/>
  <c r="K88" i="4" s="1"/>
  <c r="K89" i="4" s="1"/>
  <c r="K90" i="4" s="1"/>
  <c r="K91" i="4" s="1"/>
  <c r="K83" i="4"/>
  <c r="K84" i="4" s="1"/>
  <c r="K70" i="4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68" i="4"/>
  <c r="K69" i="4" s="1"/>
  <c r="K60" i="4"/>
  <c r="K61" i="4" s="1"/>
  <c r="K62" i="4" s="1"/>
  <c r="K63" i="4" s="1"/>
  <c r="K64" i="4" s="1"/>
  <c r="K65" i="4" s="1"/>
  <c r="K66" i="4" s="1"/>
  <c r="K67" i="4" s="1"/>
  <c r="K16" i="4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" i="4"/>
  <c r="A306" i="7" l="1"/>
  <c r="J277" i="4"/>
  <c r="B421" i="7"/>
  <c r="J391" i="4"/>
  <c r="A409" i="7"/>
  <c r="J380" i="4"/>
  <c r="B254" i="7"/>
  <c r="J224" i="4"/>
  <c r="A278" i="7"/>
  <c r="J249" i="4"/>
  <c r="J29" i="4"/>
  <c r="B59" i="7"/>
  <c r="A58" i="7"/>
  <c r="J14" i="4"/>
  <c r="B14" i="7"/>
  <c r="A13" i="7"/>
  <c r="L66" i="4"/>
  <c r="B152" i="7"/>
  <c r="J122" i="4"/>
  <c r="C24" i="7"/>
  <c r="C34" i="7" s="1"/>
  <c r="C44" i="7" s="1"/>
  <c r="A251" i="7"/>
  <c r="L160" i="4"/>
  <c r="L120" i="4"/>
  <c r="D150" i="7"/>
  <c r="D292" i="7"/>
  <c r="D384" i="7"/>
  <c r="L355" i="4" s="1"/>
  <c r="L262" i="4"/>
  <c r="D339" i="7"/>
  <c r="L309" i="4"/>
  <c r="L328" i="4"/>
  <c r="I348" i="7"/>
  <c r="I22" i="8" s="1"/>
  <c r="D222" i="7"/>
  <c r="L192" i="4"/>
  <c r="L219" i="4"/>
  <c r="D249" i="7"/>
  <c r="D276" i="7"/>
  <c r="L246" i="4"/>
  <c r="D358" i="7"/>
  <c r="L329" i="4" s="1"/>
  <c r="D316" i="7"/>
  <c r="L287" i="4" s="1"/>
  <c r="D418" i="7"/>
  <c r="L389" i="4" s="1"/>
  <c r="D96" i="7"/>
  <c r="L78" i="4"/>
  <c r="D129" i="7"/>
  <c r="L100" i="4" s="1"/>
  <c r="D21" i="7"/>
  <c r="D12" i="7"/>
  <c r="L13" i="4" s="1"/>
  <c r="D52" i="7"/>
  <c r="L23" i="4" s="1"/>
  <c r="D30" i="7"/>
  <c r="D39" i="7"/>
  <c r="B317" i="7"/>
  <c r="J288" i="4" s="1"/>
  <c r="A316" i="7"/>
  <c r="B192" i="7"/>
  <c r="J163" i="4" s="1"/>
  <c r="A191" i="7"/>
  <c r="A386" i="7"/>
  <c r="B387" i="7"/>
  <c r="J358" i="4" s="1"/>
  <c r="B341" i="7"/>
  <c r="J312" i="4" s="1"/>
  <c r="A340" i="7"/>
  <c r="B134" i="7"/>
  <c r="J105" i="4" s="1"/>
  <c r="A133" i="7"/>
  <c r="B362" i="7"/>
  <c r="J333" i="4" s="1"/>
  <c r="A361" i="7"/>
  <c r="P368" i="4"/>
  <c r="P369" i="4" s="1"/>
  <c r="P370" i="4" s="1"/>
  <c r="P371" i="4" s="1"/>
  <c r="P372" i="4" s="1"/>
  <c r="P373" i="4" s="1"/>
  <c r="P374" i="4" s="1"/>
  <c r="P375" i="4" s="1"/>
  <c r="P376" i="4" s="1"/>
  <c r="P377" i="4" s="1"/>
  <c r="P378" i="4" s="1"/>
  <c r="P379" i="4" s="1"/>
  <c r="P380" i="4" s="1"/>
  <c r="P344" i="4"/>
  <c r="P345" i="4" s="1"/>
  <c r="P346" i="4" s="1"/>
  <c r="P347" i="4" s="1"/>
  <c r="P348" i="4" s="1"/>
  <c r="P349" i="4" s="1"/>
  <c r="P350" i="4" s="1"/>
  <c r="P351" i="4" s="1"/>
  <c r="P352" i="4" s="1"/>
  <c r="P353" i="4" s="1"/>
  <c r="P354" i="4" s="1"/>
  <c r="P355" i="4" s="1"/>
  <c r="P356" i="4" s="1"/>
  <c r="P357" i="4" s="1"/>
  <c r="P358" i="4" s="1"/>
  <c r="P359" i="4" s="1"/>
  <c r="P360" i="4" s="1"/>
  <c r="P361" i="4" s="1"/>
  <c r="P362" i="4" s="1"/>
  <c r="P363" i="4" s="1"/>
  <c r="P364" i="4" s="1"/>
  <c r="P365" i="4" s="1"/>
  <c r="P366" i="4" s="1"/>
  <c r="P320" i="4"/>
  <c r="P321" i="4" s="1"/>
  <c r="P322" i="4" s="1"/>
  <c r="P323" i="4" s="1"/>
  <c r="P324" i="4" s="1"/>
  <c r="P325" i="4" s="1"/>
  <c r="P326" i="4" s="1"/>
  <c r="P327" i="4" s="1"/>
  <c r="P328" i="4" s="1"/>
  <c r="P329" i="4" s="1"/>
  <c r="P330" i="4" s="1"/>
  <c r="P331" i="4" s="1"/>
  <c r="P332" i="4" s="1"/>
  <c r="P333" i="4" s="1"/>
  <c r="P334" i="4" s="1"/>
  <c r="P335" i="4" s="1"/>
  <c r="P336" i="4" s="1"/>
  <c r="P337" i="4" s="1"/>
  <c r="P338" i="4" s="1"/>
  <c r="P339" i="4" s="1"/>
  <c r="P340" i="4" s="1"/>
  <c r="P341" i="4" s="1"/>
  <c r="P342" i="4" s="1"/>
  <c r="P303" i="4"/>
  <c r="P304" i="4" s="1"/>
  <c r="P305" i="4" s="1"/>
  <c r="P306" i="4" s="1"/>
  <c r="P307" i="4" s="1"/>
  <c r="P308" i="4" s="1"/>
  <c r="P309" i="4" s="1"/>
  <c r="P310" i="4" s="1"/>
  <c r="P311" i="4" s="1"/>
  <c r="P312" i="4" s="1"/>
  <c r="P313" i="4" s="1"/>
  <c r="P314" i="4" s="1"/>
  <c r="P315" i="4" s="1"/>
  <c r="P316" i="4" s="1"/>
  <c r="P317" i="4" s="1"/>
  <c r="P318" i="4" s="1"/>
  <c r="P279" i="4"/>
  <c r="P280" i="4" s="1"/>
  <c r="P281" i="4" s="1"/>
  <c r="P282" i="4" s="1"/>
  <c r="P283" i="4" s="1"/>
  <c r="P284" i="4" s="1"/>
  <c r="P285" i="4" s="1"/>
  <c r="P286" i="4" s="1"/>
  <c r="P287" i="4" s="1"/>
  <c r="P288" i="4" s="1"/>
  <c r="P289" i="4" s="1"/>
  <c r="P290" i="4" s="1"/>
  <c r="P291" i="4" s="1"/>
  <c r="P292" i="4" s="1"/>
  <c r="P293" i="4" s="1"/>
  <c r="P294" i="4" s="1"/>
  <c r="P295" i="4" s="1"/>
  <c r="P296" i="4" s="1"/>
  <c r="P297" i="4" s="1"/>
  <c r="P298" i="4" s="1"/>
  <c r="P299" i="4" s="1"/>
  <c r="P300" i="4" s="1"/>
  <c r="P301" i="4" s="1"/>
  <c r="P265" i="4"/>
  <c r="P266" i="4" s="1"/>
  <c r="P267" i="4" s="1"/>
  <c r="P268" i="4" s="1"/>
  <c r="P269" i="4" s="1"/>
  <c r="P270" i="4" s="1"/>
  <c r="P271" i="4" s="1"/>
  <c r="P272" i="4" s="1"/>
  <c r="P273" i="4" s="1"/>
  <c r="P274" i="4" s="1"/>
  <c r="P275" i="4" s="1"/>
  <c r="P276" i="4" s="1"/>
  <c r="P277" i="4" s="1"/>
  <c r="P251" i="4"/>
  <c r="P252" i="4" s="1"/>
  <c r="P253" i="4" s="1"/>
  <c r="P254" i="4" s="1"/>
  <c r="P255" i="4" s="1"/>
  <c r="P256" i="4" s="1"/>
  <c r="P257" i="4" s="1"/>
  <c r="P258" i="4" s="1"/>
  <c r="P259" i="4" s="1"/>
  <c r="P260" i="4" s="1"/>
  <c r="P261" i="4" s="1"/>
  <c r="P262" i="4" s="1"/>
  <c r="P263" i="4" s="1"/>
  <c r="P237" i="4"/>
  <c r="P238" i="4" s="1"/>
  <c r="P239" i="4" s="1"/>
  <c r="P240" i="4" s="1"/>
  <c r="P241" i="4" s="1"/>
  <c r="P242" i="4" s="1"/>
  <c r="P243" i="4" s="1"/>
  <c r="P244" i="4" s="1"/>
  <c r="P245" i="4" s="1"/>
  <c r="P246" i="4" s="1"/>
  <c r="P247" i="4" s="1"/>
  <c r="P248" i="4" s="1"/>
  <c r="P249" i="4" s="1"/>
  <c r="P214" i="4"/>
  <c r="P215" i="4" s="1"/>
  <c r="P216" i="4" s="1"/>
  <c r="P217" i="4" s="1"/>
  <c r="P218" i="4" s="1"/>
  <c r="P219" i="4" s="1"/>
  <c r="P220" i="4" s="1"/>
  <c r="P221" i="4" s="1"/>
  <c r="P222" i="4" s="1"/>
  <c r="P223" i="4" s="1"/>
  <c r="P224" i="4" s="1"/>
  <c r="P225" i="4" s="1"/>
  <c r="P226" i="4" s="1"/>
  <c r="P227" i="4" s="1"/>
  <c r="P228" i="4" s="1"/>
  <c r="P229" i="4" s="1"/>
  <c r="P230" i="4" s="1"/>
  <c r="P231" i="4" s="1"/>
  <c r="P232" i="4" s="1"/>
  <c r="P233" i="4" s="1"/>
  <c r="P234" i="4" s="1"/>
  <c r="P235" i="4" s="1"/>
  <c r="P200" i="4"/>
  <c r="P201" i="4" s="1"/>
  <c r="P202" i="4" s="1"/>
  <c r="P203" i="4" s="1"/>
  <c r="P204" i="4" s="1"/>
  <c r="P205" i="4" s="1"/>
  <c r="P206" i="4" s="1"/>
  <c r="P207" i="4" s="1"/>
  <c r="P208" i="4" s="1"/>
  <c r="P209" i="4" s="1"/>
  <c r="P210" i="4" s="1"/>
  <c r="P211" i="4" s="1"/>
  <c r="P212" i="4" s="1"/>
  <c r="P186" i="4"/>
  <c r="P187" i="4" s="1"/>
  <c r="P188" i="4" s="1"/>
  <c r="P189" i="4" s="1"/>
  <c r="P190" i="4" s="1"/>
  <c r="P191" i="4" s="1"/>
  <c r="P192" i="4" s="1"/>
  <c r="P193" i="4" s="1"/>
  <c r="P194" i="4" s="1"/>
  <c r="P195" i="4" s="1"/>
  <c r="P196" i="4" s="1"/>
  <c r="P197" i="4" s="1"/>
  <c r="P198" i="4" s="1"/>
  <c r="P155" i="4"/>
  <c r="P156" i="4" s="1"/>
  <c r="P157" i="4" s="1"/>
  <c r="P158" i="4" s="1"/>
  <c r="P159" i="4" s="1"/>
  <c r="P160" i="4" s="1"/>
  <c r="P161" i="4" s="1"/>
  <c r="P162" i="4" s="1"/>
  <c r="P163" i="4" s="1"/>
  <c r="P164" i="4" s="1"/>
  <c r="P165" i="4" s="1"/>
  <c r="P166" i="4" s="1"/>
  <c r="P167" i="4" s="1"/>
  <c r="P168" i="4" s="1"/>
  <c r="P169" i="4" s="1"/>
  <c r="P170" i="4" s="1"/>
  <c r="P171" i="4" s="1"/>
  <c r="P172" i="4" s="1"/>
  <c r="P173" i="4" s="1"/>
  <c r="P174" i="4" s="1"/>
  <c r="P175" i="4" s="1"/>
  <c r="P176" i="4" s="1"/>
  <c r="P177" i="4" s="1"/>
  <c r="P178" i="4" s="1"/>
  <c r="P179" i="4" s="1"/>
  <c r="P180" i="4" s="1"/>
  <c r="P181" i="4" s="1"/>
  <c r="P182" i="4" s="1"/>
  <c r="P183" i="4" s="1"/>
  <c r="P184" i="4" s="1"/>
  <c r="P115" i="4"/>
  <c r="P116" i="4" s="1"/>
  <c r="P117" i="4" s="1"/>
  <c r="P118" i="4" s="1"/>
  <c r="P119" i="4" s="1"/>
  <c r="P120" i="4" s="1"/>
  <c r="P121" i="4" s="1"/>
  <c r="P122" i="4" s="1"/>
  <c r="P123" i="4" s="1"/>
  <c r="P124" i="4" s="1"/>
  <c r="P125" i="4" s="1"/>
  <c r="P126" i="4" s="1"/>
  <c r="P127" i="4" s="1"/>
  <c r="P128" i="4" s="1"/>
  <c r="P129" i="4" s="1"/>
  <c r="P130" i="4" s="1"/>
  <c r="P131" i="4" s="1"/>
  <c r="P132" i="4" s="1"/>
  <c r="P133" i="4" s="1"/>
  <c r="P134" i="4" s="1"/>
  <c r="P135" i="4" s="1"/>
  <c r="P136" i="4" s="1"/>
  <c r="P137" i="4" s="1"/>
  <c r="P138" i="4" s="1"/>
  <c r="P139" i="4" s="1"/>
  <c r="P140" i="4" s="1"/>
  <c r="P141" i="4" s="1"/>
  <c r="P142" i="4" s="1"/>
  <c r="P143" i="4" s="1"/>
  <c r="P144" i="4" s="1"/>
  <c r="P145" i="4" s="1"/>
  <c r="P146" i="4" s="1"/>
  <c r="P147" i="4" s="1"/>
  <c r="P148" i="4" s="1"/>
  <c r="P149" i="4" s="1"/>
  <c r="P150" i="4" s="1"/>
  <c r="P151" i="4" s="1"/>
  <c r="P152" i="4" s="1"/>
  <c r="P153" i="4" s="1"/>
  <c r="P93" i="4"/>
  <c r="P94" i="4" s="1"/>
  <c r="P95" i="4" s="1"/>
  <c r="P96" i="4" s="1"/>
  <c r="P97" i="4" s="1"/>
  <c r="P98" i="4" s="1"/>
  <c r="P99" i="4" s="1"/>
  <c r="P100" i="4" s="1"/>
  <c r="P101" i="4" s="1"/>
  <c r="P102" i="4" s="1"/>
  <c r="P103" i="4" s="1"/>
  <c r="P104" i="4" s="1"/>
  <c r="P105" i="4" s="1"/>
  <c r="P106" i="4" s="1"/>
  <c r="P107" i="4" s="1"/>
  <c r="P108" i="4" s="1"/>
  <c r="P109" i="4" s="1"/>
  <c r="P110" i="4" s="1"/>
  <c r="P111" i="4" s="1"/>
  <c r="P112" i="4" s="1"/>
  <c r="P113" i="4" s="1"/>
  <c r="P86" i="4"/>
  <c r="P87" i="4" s="1"/>
  <c r="P88" i="4" s="1"/>
  <c r="P89" i="4" s="1"/>
  <c r="P90" i="4" s="1"/>
  <c r="P91" i="4" s="1"/>
  <c r="P71" i="4"/>
  <c r="P72" i="4" s="1"/>
  <c r="P73" i="4" s="1"/>
  <c r="P74" i="4" s="1"/>
  <c r="P75" i="4" s="1"/>
  <c r="P76" i="4" s="1"/>
  <c r="P77" i="4" s="1"/>
  <c r="P78" i="4" s="1"/>
  <c r="P79" i="4" s="1"/>
  <c r="P80" i="4" s="1"/>
  <c r="P81" i="4" s="1"/>
  <c r="P82" i="4" s="1"/>
  <c r="P69" i="4"/>
  <c r="P61" i="4"/>
  <c r="P62" i="4" s="1"/>
  <c r="P63" i="4" s="1"/>
  <c r="P64" i="4" s="1"/>
  <c r="P65" i="4" s="1"/>
  <c r="P66" i="4" s="1"/>
  <c r="P67" i="4" s="1"/>
  <c r="P382" i="4"/>
  <c r="P383" i="4" s="1"/>
  <c r="P384" i="4" s="1"/>
  <c r="P385" i="4" s="1"/>
  <c r="P386" i="4" s="1"/>
  <c r="P387" i="4" s="1"/>
  <c r="P388" i="4" s="1"/>
  <c r="P389" i="4" s="1"/>
  <c r="P390" i="4" s="1"/>
  <c r="P391" i="4" s="1"/>
  <c r="P392" i="4" s="1"/>
  <c r="P393" i="4" s="1"/>
  <c r="P394" i="4" s="1"/>
  <c r="P395" i="4" s="1"/>
  <c r="P396" i="4" s="1"/>
  <c r="P397" i="4" s="1"/>
  <c r="P398" i="4" s="1"/>
  <c r="P399" i="4" s="1"/>
  <c r="P400" i="4" s="1"/>
  <c r="P401" i="4" s="1"/>
  <c r="P402" i="4" s="1"/>
  <c r="P403" i="4" s="1"/>
  <c r="P404" i="4" s="1"/>
  <c r="P405" i="4" s="1"/>
  <c r="P406" i="4" s="1"/>
  <c r="P407" i="4" s="1"/>
  <c r="P408" i="4" s="1"/>
  <c r="P409" i="4" s="1"/>
  <c r="P410" i="4" s="1"/>
  <c r="P411" i="4" s="1"/>
  <c r="P412" i="4" s="1"/>
  <c r="P413" i="4" s="1"/>
  <c r="P414" i="4" s="1"/>
  <c r="P415" i="4" s="1"/>
  <c r="P416" i="4" s="1"/>
  <c r="P417" i="4" s="1"/>
  <c r="P418" i="4" s="1"/>
  <c r="P419" i="4" s="1"/>
  <c r="P84" i="4"/>
  <c r="P17" i="4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59" i="4" s="1"/>
  <c r="P7" i="4"/>
  <c r="P8" i="4" s="1"/>
  <c r="P9" i="4" s="1"/>
  <c r="P10" i="4" s="1"/>
  <c r="P11" i="4" s="1"/>
  <c r="P12" i="4" s="1"/>
  <c r="P13" i="4" s="1"/>
  <c r="P14" i="4" s="1"/>
  <c r="P15" i="4" s="1"/>
  <c r="B153" i="7" l="1"/>
  <c r="J123" i="4"/>
  <c r="B422" i="7"/>
  <c r="J392" i="4"/>
  <c r="L67" i="4"/>
  <c r="H89" i="7"/>
  <c r="G89" i="7"/>
  <c r="J30" i="4"/>
  <c r="B60" i="7"/>
  <c r="A59" i="7"/>
  <c r="A14" i="7"/>
  <c r="J15" i="4"/>
  <c r="I89" i="7"/>
  <c r="B255" i="7"/>
  <c r="J225" i="4"/>
  <c r="A252" i="7"/>
  <c r="D223" i="7"/>
  <c r="L193" i="4"/>
  <c r="D340" i="7"/>
  <c r="L310" i="4"/>
  <c r="L121" i="4"/>
  <c r="D151" i="7"/>
  <c r="D250" i="7"/>
  <c r="L220" i="4"/>
  <c r="D277" i="7"/>
  <c r="L247" i="4"/>
  <c r="D359" i="7"/>
  <c r="L330" i="4" s="1"/>
  <c r="L263" i="4"/>
  <c r="D385" i="7"/>
  <c r="L161" i="4"/>
  <c r="D317" i="7"/>
  <c r="L288" i="4" s="1"/>
  <c r="D419" i="7"/>
  <c r="L390" i="4" s="1"/>
  <c r="D22" i="7"/>
  <c r="D13" i="7"/>
  <c r="L14" i="4" s="1"/>
  <c r="L79" i="4"/>
  <c r="D130" i="7"/>
  <c r="L101" i="4" s="1"/>
  <c r="H121" i="7"/>
  <c r="H10" i="8" s="1"/>
  <c r="D40" i="7"/>
  <c r="D53" i="7"/>
  <c r="L24" i="4" s="1"/>
  <c r="D31" i="7"/>
  <c r="B363" i="7"/>
  <c r="J334" i="4" s="1"/>
  <c r="A362" i="7"/>
  <c r="B388" i="7"/>
  <c r="J359" i="4" s="1"/>
  <c r="A387" i="7"/>
  <c r="B193" i="7"/>
  <c r="J164" i="4" s="1"/>
  <c r="A192" i="7"/>
  <c r="B318" i="7"/>
  <c r="J289" i="4" s="1"/>
  <c r="A317" i="7"/>
  <c r="B135" i="7"/>
  <c r="J106" i="4" s="1"/>
  <c r="A134" i="7"/>
  <c r="B342" i="7"/>
  <c r="J313" i="4" s="1"/>
  <c r="A341" i="7"/>
  <c r="H305" i="5"/>
  <c r="B181" i="4"/>
  <c r="B180" i="4"/>
  <c r="B423" i="7" l="1"/>
  <c r="J393" i="4"/>
  <c r="B256" i="7"/>
  <c r="J226" i="4"/>
  <c r="D305" i="5"/>
  <c r="F305" i="5" s="1"/>
  <c r="E305" i="5"/>
  <c r="J31" i="4"/>
  <c r="A60" i="7"/>
  <c r="B61" i="7"/>
  <c r="B154" i="7"/>
  <c r="J124" i="4"/>
  <c r="A253" i="7"/>
  <c r="L221" i="4"/>
  <c r="D251" i="7"/>
  <c r="D341" i="7"/>
  <c r="L311" i="4"/>
  <c r="L162" i="4"/>
  <c r="L122" i="4"/>
  <c r="D152" i="7"/>
  <c r="L356" i="4"/>
  <c r="D386" i="7"/>
  <c r="D278" i="7"/>
  <c r="L248" i="4"/>
  <c r="D360" i="7"/>
  <c r="L331" i="4" s="1"/>
  <c r="D224" i="7"/>
  <c r="L194" i="4"/>
  <c r="D318" i="7"/>
  <c r="L289" i="4" s="1"/>
  <c r="H307" i="7"/>
  <c r="H20" i="8" s="1"/>
  <c r="D420" i="7"/>
  <c r="L391" i="4" s="1"/>
  <c r="D41" i="7"/>
  <c r="D23" i="7"/>
  <c r="D14" i="7"/>
  <c r="L15" i="4" s="1"/>
  <c r="D131" i="7"/>
  <c r="L102" i="4" s="1"/>
  <c r="D54" i="7"/>
  <c r="D32" i="7"/>
  <c r="B319" i="7"/>
  <c r="J290" i="4" s="1"/>
  <c r="A318" i="7"/>
  <c r="B194" i="7"/>
  <c r="J165" i="4" s="1"/>
  <c r="A193" i="7"/>
  <c r="B389" i="7"/>
  <c r="J360" i="4" s="1"/>
  <c r="A388" i="7"/>
  <c r="B343" i="7"/>
  <c r="J314" i="4" s="1"/>
  <c r="A342" i="7"/>
  <c r="B136" i="7"/>
  <c r="J107" i="4" s="1"/>
  <c r="A135" i="7"/>
  <c r="B364" i="7"/>
  <c r="J335" i="4" s="1"/>
  <c r="A363" i="7"/>
  <c r="H306" i="5"/>
  <c r="B182" i="4"/>
  <c r="C12" i="1"/>
  <c r="B12" i="1"/>
  <c r="C11" i="1"/>
  <c r="B11" i="1"/>
  <c r="C10" i="1"/>
  <c r="C9" i="1"/>
  <c r="B9" i="1"/>
  <c r="C8" i="1"/>
  <c r="B8" i="1"/>
  <c r="L7" i="1"/>
  <c r="L8" i="1" s="1"/>
  <c r="L9" i="1" s="1"/>
  <c r="L10" i="1" s="1"/>
  <c r="L11" i="1" s="1"/>
  <c r="L12" i="1" s="1"/>
  <c r="C7" i="1"/>
  <c r="B7" i="1"/>
  <c r="M6" i="1"/>
  <c r="M7" i="1" s="1"/>
  <c r="M8" i="1" s="1"/>
  <c r="M9" i="1" s="1"/>
  <c r="M10" i="1" s="1"/>
  <c r="M11" i="1" s="1"/>
  <c r="M12" i="1" s="1"/>
  <c r="C6" i="1"/>
  <c r="B6" i="1"/>
  <c r="I382" i="4"/>
  <c r="I383" i="4" s="1"/>
  <c r="H382" i="4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G382" i="4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C381" i="4"/>
  <c r="C382" i="4" s="1"/>
  <c r="E381" i="4" s="1"/>
  <c r="H398" i="5"/>
  <c r="B372" i="4"/>
  <c r="B371" i="4"/>
  <c r="B370" i="4"/>
  <c r="B369" i="4"/>
  <c r="I368" i="4"/>
  <c r="H368" i="4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G368" i="4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B368" i="4"/>
  <c r="C367" i="4"/>
  <c r="D368" i="4" s="1"/>
  <c r="B367" i="4"/>
  <c r="H374" i="5"/>
  <c r="B348" i="4"/>
  <c r="B347" i="4"/>
  <c r="B346" i="4"/>
  <c r="B345" i="4"/>
  <c r="I344" i="4"/>
  <c r="H344" i="4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G344" i="4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B344" i="4"/>
  <c r="C343" i="4"/>
  <c r="B343" i="4"/>
  <c r="H350" i="5"/>
  <c r="B324" i="4"/>
  <c r="B323" i="4"/>
  <c r="B322" i="4"/>
  <c r="B321" i="4"/>
  <c r="I320" i="4"/>
  <c r="I321" i="4" s="1"/>
  <c r="H320" i="4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G320" i="4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B320" i="4"/>
  <c r="C319" i="4"/>
  <c r="D320" i="4" s="1"/>
  <c r="B319" i="4"/>
  <c r="I303" i="4"/>
  <c r="H303" i="4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G303" i="4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B303" i="4"/>
  <c r="C302" i="4"/>
  <c r="B302" i="4"/>
  <c r="I279" i="4"/>
  <c r="H279" i="4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G279" i="4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B279" i="4"/>
  <c r="C278" i="4"/>
  <c r="D279" i="4" s="1"/>
  <c r="B278" i="4"/>
  <c r="B269" i="4"/>
  <c r="B268" i="4"/>
  <c r="B267" i="4"/>
  <c r="B266" i="4"/>
  <c r="I265" i="4"/>
  <c r="H265" i="4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G265" i="4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B265" i="4"/>
  <c r="C264" i="4"/>
  <c r="B264" i="4"/>
  <c r="B255" i="4"/>
  <c r="B254" i="4"/>
  <c r="B253" i="4"/>
  <c r="B252" i="4"/>
  <c r="I251" i="4"/>
  <c r="H251" i="4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G251" i="4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B251" i="4"/>
  <c r="C250" i="4"/>
  <c r="D251" i="4" s="1"/>
  <c r="B250" i="4"/>
  <c r="B241" i="4"/>
  <c r="B240" i="4"/>
  <c r="B239" i="4"/>
  <c r="B238" i="4"/>
  <c r="I237" i="4"/>
  <c r="H237" i="4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G237" i="4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B237" i="4"/>
  <c r="C236" i="4"/>
  <c r="D237" i="4" s="1"/>
  <c r="B236" i="4"/>
  <c r="I214" i="4"/>
  <c r="H214" i="4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G214" i="4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B214" i="4"/>
  <c r="C213" i="4"/>
  <c r="C214" i="4" s="1"/>
  <c r="C215" i="4" s="1"/>
  <c r="D216" i="4" s="1"/>
  <c r="B213" i="4"/>
  <c r="B204" i="4"/>
  <c r="B203" i="4"/>
  <c r="B202" i="4"/>
  <c r="B201" i="4"/>
  <c r="I200" i="4"/>
  <c r="H200" i="4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G200" i="4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B200" i="4"/>
  <c r="C199" i="4"/>
  <c r="C200" i="4" s="1"/>
  <c r="D201" i="4" s="1"/>
  <c r="B199" i="4"/>
  <c r="B190" i="4"/>
  <c r="B189" i="4"/>
  <c r="B188" i="4"/>
  <c r="B187" i="4"/>
  <c r="I186" i="4"/>
  <c r="H186" i="4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G186" i="4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B186" i="4"/>
  <c r="C185" i="4"/>
  <c r="C186" i="4" s="1"/>
  <c r="B185" i="4"/>
  <c r="H180" i="5"/>
  <c r="I155" i="4"/>
  <c r="H155" i="4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G155" i="4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C154" i="4"/>
  <c r="B154" i="4"/>
  <c r="I115" i="4"/>
  <c r="H115" i="4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G115" i="4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C114" i="4"/>
  <c r="C115" i="4" s="1"/>
  <c r="D116" i="4" s="1"/>
  <c r="B94" i="4"/>
  <c r="I93" i="4"/>
  <c r="H93" i="4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G93" i="4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B93" i="4"/>
  <c r="C92" i="4"/>
  <c r="C93" i="4" s="1"/>
  <c r="D94" i="4" s="1"/>
  <c r="B92" i="4"/>
  <c r="B91" i="4"/>
  <c r="B90" i="4"/>
  <c r="B89" i="4"/>
  <c r="B88" i="4"/>
  <c r="B87" i="4"/>
  <c r="I86" i="4"/>
  <c r="H86" i="4"/>
  <c r="H87" i="4" s="1"/>
  <c r="H88" i="4" s="1"/>
  <c r="H89" i="4" s="1"/>
  <c r="H90" i="4" s="1"/>
  <c r="H91" i="4" s="1"/>
  <c r="G86" i="4"/>
  <c r="G87" i="4" s="1"/>
  <c r="G88" i="4" s="1"/>
  <c r="G89" i="4" s="1"/>
  <c r="G90" i="4" s="1"/>
  <c r="G91" i="4" s="1"/>
  <c r="B86" i="4"/>
  <c r="C85" i="4"/>
  <c r="D86" i="4" s="1"/>
  <c r="B85" i="4"/>
  <c r="I84" i="4"/>
  <c r="H84" i="4"/>
  <c r="G84" i="4"/>
  <c r="B84" i="4"/>
  <c r="C83" i="4"/>
  <c r="C84" i="4" s="1"/>
  <c r="B83" i="4"/>
  <c r="B75" i="4"/>
  <c r="B74" i="4"/>
  <c r="B73" i="4"/>
  <c r="B72" i="4"/>
  <c r="I71" i="4"/>
  <c r="I72" i="4" s="1"/>
  <c r="H71" i="4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G71" i="4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B71" i="4"/>
  <c r="C70" i="4"/>
  <c r="C71" i="4" s="1"/>
  <c r="B70" i="4"/>
  <c r="I69" i="4"/>
  <c r="H69" i="4"/>
  <c r="G69" i="4"/>
  <c r="C68" i="4"/>
  <c r="D69" i="4" s="1"/>
  <c r="B68" i="4"/>
  <c r="I61" i="4"/>
  <c r="H61" i="4"/>
  <c r="H62" i="4" s="1"/>
  <c r="H63" i="4" s="1"/>
  <c r="H64" i="4" s="1"/>
  <c r="H65" i="4" s="1"/>
  <c r="H66" i="4" s="1"/>
  <c r="H67" i="4" s="1"/>
  <c r="G61" i="4"/>
  <c r="G62" i="4" s="1"/>
  <c r="G63" i="4" s="1"/>
  <c r="G64" i="4" s="1"/>
  <c r="G65" i="4" s="1"/>
  <c r="G66" i="4" s="1"/>
  <c r="G67" i="4" s="1"/>
  <c r="C60" i="4"/>
  <c r="C61" i="4" s="1"/>
  <c r="B60" i="4"/>
  <c r="B21" i="4"/>
  <c r="B20" i="4"/>
  <c r="B19" i="4"/>
  <c r="B18" i="4"/>
  <c r="I17" i="4"/>
  <c r="H17" i="4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B17" i="4"/>
  <c r="C16" i="4"/>
  <c r="C17" i="4" s="1"/>
  <c r="D18" i="4" s="1"/>
  <c r="B16" i="4"/>
  <c r="K7" i="4"/>
  <c r="K8" i="4" s="1"/>
  <c r="K9" i="4" s="1"/>
  <c r="K10" i="4" s="1"/>
  <c r="K11" i="4" s="1"/>
  <c r="K12" i="4" s="1"/>
  <c r="K13" i="4" s="1"/>
  <c r="K14" i="4" s="1"/>
  <c r="K15" i="4" s="1"/>
  <c r="H32" i="5"/>
  <c r="D32" i="5" s="1"/>
  <c r="I7" i="4"/>
  <c r="I8" i="4" s="1"/>
  <c r="I9" i="4" s="1"/>
  <c r="H7" i="4"/>
  <c r="H8" i="4" s="1"/>
  <c r="H9" i="4" s="1"/>
  <c r="H10" i="4" s="1"/>
  <c r="H11" i="4" s="1"/>
  <c r="H12" i="4" s="1"/>
  <c r="H13" i="4" s="1"/>
  <c r="H14" i="4" s="1"/>
  <c r="H15" i="4" s="1"/>
  <c r="G7" i="4"/>
  <c r="G8" i="4" s="1"/>
  <c r="G9" i="4" s="1"/>
  <c r="G10" i="4" s="1"/>
  <c r="G11" i="4" s="1"/>
  <c r="G12" i="4" s="1"/>
  <c r="G13" i="4" s="1"/>
  <c r="G14" i="4" s="1"/>
  <c r="G15" i="4" s="1"/>
  <c r="B7" i="4"/>
  <c r="O6" i="4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O327" i="4" s="1"/>
  <c r="O328" i="4" s="1"/>
  <c r="O329" i="4" s="1"/>
  <c r="O330" i="4" s="1"/>
  <c r="O331" i="4" s="1"/>
  <c r="O332" i="4" s="1"/>
  <c r="O333" i="4" s="1"/>
  <c r="O334" i="4" s="1"/>
  <c r="O335" i="4" s="1"/>
  <c r="O336" i="4" s="1"/>
  <c r="O337" i="4" s="1"/>
  <c r="O338" i="4" s="1"/>
  <c r="O339" i="4" s="1"/>
  <c r="O340" i="4" s="1"/>
  <c r="O341" i="4" s="1"/>
  <c r="O342" i="4" s="1"/>
  <c r="O343" i="4" s="1"/>
  <c r="O344" i="4" s="1"/>
  <c r="O345" i="4" s="1"/>
  <c r="O346" i="4" s="1"/>
  <c r="O347" i="4" s="1"/>
  <c r="O348" i="4" s="1"/>
  <c r="O349" i="4" s="1"/>
  <c r="O350" i="4" s="1"/>
  <c r="O351" i="4" s="1"/>
  <c r="O352" i="4" s="1"/>
  <c r="O353" i="4" s="1"/>
  <c r="O354" i="4" s="1"/>
  <c r="O355" i="4" s="1"/>
  <c r="O356" i="4" s="1"/>
  <c r="O357" i="4" s="1"/>
  <c r="O358" i="4" s="1"/>
  <c r="O359" i="4" s="1"/>
  <c r="O360" i="4" s="1"/>
  <c r="O361" i="4" s="1"/>
  <c r="O362" i="4" s="1"/>
  <c r="O363" i="4" s="1"/>
  <c r="O364" i="4" s="1"/>
  <c r="O365" i="4" s="1"/>
  <c r="O366" i="4" s="1"/>
  <c r="O367" i="4" s="1"/>
  <c r="O368" i="4" s="1"/>
  <c r="O369" i="4" s="1"/>
  <c r="O370" i="4" s="1"/>
  <c r="O371" i="4" s="1"/>
  <c r="O372" i="4" s="1"/>
  <c r="O373" i="4" s="1"/>
  <c r="O374" i="4" s="1"/>
  <c r="O375" i="4" s="1"/>
  <c r="O376" i="4" s="1"/>
  <c r="O377" i="4" s="1"/>
  <c r="O378" i="4" s="1"/>
  <c r="O379" i="4" s="1"/>
  <c r="O380" i="4" s="1"/>
  <c r="O381" i="4" s="1"/>
  <c r="O382" i="4" s="1"/>
  <c r="O383" i="4" s="1"/>
  <c r="O384" i="4" s="1"/>
  <c r="O385" i="4" s="1"/>
  <c r="O386" i="4" s="1"/>
  <c r="O387" i="4" s="1"/>
  <c r="O388" i="4" s="1"/>
  <c r="O389" i="4" s="1"/>
  <c r="O390" i="4" s="1"/>
  <c r="O391" i="4" s="1"/>
  <c r="O392" i="4" s="1"/>
  <c r="O393" i="4" s="1"/>
  <c r="O394" i="4" s="1"/>
  <c r="O395" i="4" s="1"/>
  <c r="O396" i="4" s="1"/>
  <c r="O397" i="4" s="1"/>
  <c r="O398" i="4" s="1"/>
  <c r="O399" i="4" s="1"/>
  <c r="O400" i="4" s="1"/>
  <c r="O401" i="4" s="1"/>
  <c r="O402" i="4" s="1"/>
  <c r="O403" i="4" s="1"/>
  <c r="O404" i="4" s="1"/>
  <c r="O405" i="4" s="1"/>
  <c r="O406" i="4" s="1"/>
  <c r="O407" i="4" s="1"/>
  <c r="O408" i="4" s="1"/>
  <c r="O409" i="4" s="1"/>
  <c r="O410" i="4" s="1"/>
  <c r="O411" i="4" s="1"/>
  <c r="O412" i="4" s="1"/>
  <c r="O413" i="4" s="1"/>
  <c r="O414" i="4" s="1"/>
  <c r="O415" i="4" s="1"/>
  <c r="O416" i="4" s="1"/>
  <c r="O417" i="4" s="1"/>
  <c r="O418" i="4" s="1"/>
  <c r="O419" i="4" s="1"/>
  <c r="C6" i="4"/>
  <c r="D7" i="4" s="1"/>
  <c r="B6" i="4"/>
  <c r="B305" i="5" l="1"/>
  <c r="D180" i="5"/>
  <c r="F180" i="5" s="1"/>
  <c r="E180" i="5"/>
  <c r="D306" i="5"/>
  <c r="F306" i="5" s="1"/>
  <c r="E306" i="5"/>
  <c r="B155" i="7"/>
  <c r="J125" i="4"/>
  <c r="D398" i="5"/>
  <c r="F398" i="5" s="1"/>
  <c r="E398" i="5"/>
  <c r="B257" i="7"/>
  <c r="J227" i="4"/>
  <c r="D374" i="5"/>
  <c r="F374" i="5" s="1"/>
  <c r="E374" i="5"/>
  <c r="D350" i="5"/>
  <c r="F350" i="5" s="1"/>
  <c r="E350" i="5"/>
  <c r="J32" i="4"/>
  <c r="B62" i="7"/>
  <c r="A61" i="7"/>
  <c r="B424" i="7"/>
  <c r="J394" i="4"/>
  <c r="L80" i="4"/>
  <c r="L25" i="4"/>
  <c r="G45" i="7"/>
  <c r="A254" i="7"/>
  <c r="L123" i="4"/>
  <c r="D153" i="7"/>
  <c r="L249" i="4"/>
  <c r="D361" i="7"/>
  <c r="D342" i="7"/>
  <c r="L312" i="4"/>
  <c r="D225" i="7"/>
  <c r="L195" i="4"/>
  <c r="L357" i="4"/>
  <c r="D387" i="7"/>
  <c r="L222" i="4"/>
  <c r="D252" i="7"/>
  <c r="D253" i="7" s="1"/>
  <c r="L163" i="4"/>
  <c r="B32" i="5"/>
  <c r="F32" i="5"/>
  <c r="D319" i="7"/>
  <c r="L290" i="4" s="1"/>
  <c r="D421" i="7"/>
  <c r="L392" i="4" s="1"/>
  <c r="D33" i="7"/>
  <c r="D42" i="7"/>
  <c r="D55" i="7"/>
  <c r="L26" i="4" s="1"/>
  <c r="D132" i="7"/>
  <c r="L103" i="4" s="1"/>
  <c r="L81" i="4"/>
  <c r="D24" i="7"/>
  <c r="H5" i="7"/>
  <c r="G5" i="7"/>
  <c r="G3" i="8" s="1"/>
  <c r="I5" i="7"/>
  <c r="B137" i="7"/>
  <c r="J108" i="4" s="1"/>
  <c r="A136" i="7"/>
  <c r="B195" i="7"/>
  <c r="J166" i="4" s="1"/>
  <c r="A194" i="7"/>
  <c r="B320" i="7"/>
  <c r="J291" i="4" s="1"/>
  <c r="A319" i="7"/>
  <c r="B365" i="7"/>
  <c r="J336" i="4" s="1"/>
  <c r="A364" i="7"/>
  <c r="B344" i="7"/>
  <c r="J315" i="4" s="1"/>
  <c r="A343" i="7"/>
  <c r="A389" i="7"/>
  <c r="B390" i="7"/>
  <c r="J361" i="4" s="1"/>
  <c r="H102" i="5"/>
  <c r="H101" i="5"/>
  <c r="B205" i="4"/>
  <c r="H230" i="5"/>
  <c r="B271" i="4"/>
  <c r="H295" i="5"/>
  <c r="H410" i="5"/>
  <c r="H409" i="5"/>
  <c r="B257" i="4"/>
  <c r="H281" i="5"/>
  <c r="B305" i="4"/>
  <c r="H329" i="5"/>
  <c r="H307" i="5"/>
  <c r="H268" i="5"/>
  <c r="H267" i="5"/>
  <c r="B61" i="4"/>
  <c r="H86" i="5"/>
  <c r="B191" i="4"/>
  <c r="H216" i="5"/>
  <c r="B22" i="4"/>
  <c r="H47" i="5"/>
  <c r="H120" i="5"/>
  <c r="H240" i="5"/>
  <c r="H239" i="5"/>
  <c r="H33" i="5"/>
  <c r="D33" i="5" s="1"/>
  <c r="B95" i="4"/>
  <c r="H217" i="5"/>
  <c r="B270" i="4"/>
  <c r="B183" i="4"/>
  <c r="B184" i="4"/>
  <c r="D17" i="4"/>
  <c r="D93" i="4"/>
  <c r="B256" i="4"/>
  <c r="I304" i="4"/>
  <c r="C368" i="4"/>
  <c r="E367" i="4" s="1"/>
  <c r="E213" i="4"/>
  <c r="D215" i="4"/>
  <c r="C201" i="4"/>
  <c r="D202" i="4" s="1"/>
  <c r="C86" i="4"/>
  <c r="I238" i="4"/>
  <c r="B242" i="4"/>
  <c r="I280" i="4"/>
  <c r="I281" i="4" s="1"/>
  <c r="I87" i="4"/>
  <c r="I187" i="4"/>
  <c r="I188" i="4" s="1"/>
  <c r="I201" i="4"/>
  <c r="H351" i="5"/>
  <c r="B325" i="4"/>
  <c r="C320" i="4"/>
  <c r="D265" i="4"/>
  <c r="C265" i="4"/>
  <c r="D266" i="4" s="1"/>
  <c r="B280" i="4"/>
  <c r="I156" i="4"/>
  <c r="I322" i="4"/>
  <c r="I345" i="4"/>
  <c r="B373" i="4"/>
  <c r="I369" i="4"/>
  <c r="C69" i="4"/>
  <c r="D200" i="4"/>
  <c r="I215" i="4"/>
  <c r="I252" i="4"/>
  <c r="I253" i="4" s="1"/>
  <c r="I18" i="4"/>
  <c r="E199" i="4"/>
  <c r="D214" i="4"/>
  <c r="I266" i="4"/>
  <c r="B304" i="4"/>
  <c r="E60" i="4"/>
  <c r="D62" i="4"/>
  <c r="C62" i="4"/>
  <c r="H103" i="5"/>
  <c r="I10" i="4"/>
  <c r="D155" i="4"/>
  <c r="C155" i="4"/>
  <c r="H48" i="5"/>
  <c r="E16" i="4"/>
  <c r="C18" i="4"/>
  <c r="I62" i="4"/>
  <c r="D61" i="4"/>
  <c r="C72" i="4"/>
  <c r="E70" i="4"/>
  <c r="D72" i="4"/>
  <c r="D71" i="4"/>
  <c r="I73" i="4"/>
  <c r="B76" i="4"/>
  <c r="C94" i="4"/>
  <c r="E92" i="4"/>
  <c r="C7" i="4"/>
  <c r="I94" i="4"/>
  <c r="C116" i="4"/>
  <c r="E114" i="4"/>
  <c r="B155" i="4"/>
  <c r="H181" i="5"/>
  <c r="E83" i="4"/>
  <c r="D84" i="4"/>
  <c r="D115" i="4"/>
  <c r="I116" i="4"/>
  <c r="C187" i="4"/>
  <c r="E185" i="4"/>
  <c r="D187" i="4"/>
  <c r="D186" i="4"/>
  <c r="C216" i="4"/>
  <c r="E214" i="4"/>
  <c r="C251" i="4"/>
  <c r="C237" i="4"/>
  <c r="C279" i="4"/>
  <c r="D303" i="4"/>
  <c r="C303" i="4"/>
  <c r="C344" i="4"/>
  <c r="D344" i="4"/>
  <c r="H375" i="5"/>
  <c r="B349" i="4"/>
  <c r="I384" i="4"/>
  <c r="D383" i="4"/>
  <c r="C383" i="4"/>
  <c r="D382" i="4"/>
  <c r="B350" i="5" l="1"/>
  <c r="B180" i="5"/>
  <c r="D120" i="5"/>
  <c r="F120" i="5" s="1"/>
  <c r="E120" i="5"/>
  <c r="D268" i="5"/>
  <c r="F268" i="5" s="1"/>
  <c r="E268" i="5"/>
  <c r="D409" i="5"/>
  <c r="F409" i="5" s="1"/>
  <c r="E409" i="5"/>
  <c r="D102" i="5"/>
  <c r="F102" i="5" s="1"/>
  <c r="E102" i="5"/>
  <c r="D181" i="5"/>
  <c r="F181" i="5" s="1"/>
  <c r="E181" i="5"/>
  <c r="D351" i="5"/>
  <c r="F351" i="5" s="1"/>
  <c r="E351" i="5"/>
  <c r="D216" i="5"/>
  <c r="F216" i="5" s="1"/>
  <c r="E216" i="5"/>
  <c r="D267" i="5"/>
  <c r="F267" i="5" s="1"/>
  <c r="E267" i="5"/>
  <c r="D329" i="5"/>
  <c r="F329" i="5" s="1"/>
  <c r="E329" i="5"/>
  <c r="B306" i="5"/>
  <c r="D295" i="5"/>
  <c r="F295" i="5" s="1"/>
  <c r="E295" i="5"/>
  <c r="D101" i="5"/>
  <c r="F101" i="5" s="1"/>
  <c r="E101" i="5"/>
  <c r="J33" i="4"/>
  <c r="B63" i="7"/>
  <c r="A62" i="7"/>
  <c r="D375" i="5"/>
  <c r="F375" i="5" s="1"/>
  <c r="E375" i="5"/>
  <c r="B398" i="5"/>
  <c r="D47" i="5"/>
  <c r="F47" i="5" s="1"/>
  <c r="E47" i="5"/>
  <c r="D86" i="5"/>
  <c r="F86" i="5" s="1"/>
  <c r="E86" i="5"/>
  <c r="D281" i="5"/>
  <c r="F281" i="5" s="1"/>
  <c r="E281" i="5"/>
  <c r="D410" i="5"/>
  <c r="F410" i="5" s="1"/>
  <c r="E410" i="5"/>
  <c r="D230" i="5"/>
  <c r="F230" i="5" s="1"/>
  <c r="E230" i="5"/>
  <c r="B425" i="7"/>
  <c r="J395" i="4"/>
  <c r="D48" i="5"/>
  <c r="F48" i="5" s="1"/>
  <c r="E48" i="5"/>
  <c r="D103" i="5"/>
  <c r="F103" i="5" s="1"/>
  <c r="E103" i="5"/>
  <c r="D217" i="5"/>
  <c r="F217" i="5" s="1"/>
  <c r="E217" i="5"/>
  <c r="D307" i="5"/>
  <c r="F307" i="5" s="1"/>
  <c r="E307" i="5"/>
  <c r="B374" i="5"/>
  <c r="B258" i="7"/>
  <c r="J228" i="4"/>
  <c r="B156" i="7"/>
  <c r="J126" i="4"/>
  <c r="D254" i="7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G242" i="7"/>
  <c r="D239" i="5"/>
  <c r="F239" i="5" s="1"/>
  <c r="E239" i="5"/>
  <c r="D240" i="5"/>
  <c r="F240" i="5" s="1"/>
  <c r="E240" i="5"/>
  <c r="A255" i="7"/>
  <c r="L223" i="4"/>
  <c r="L332" i="4"/>
  <c r="D362" i="7"/>
  <c r="L164" i="4"/>
  <c r="D226" i="7"/>
  <c r="L196" i="4"/>
  <c r="L358" i="4"/>
  <c r="D388" i="7"/>
  <c r="L124" i="4"/>
  <c r="D154" i="7"/>
  <c r="D343" i="7"/>
  <c r="L313" i="4"/>
  <c r="H241" i="5"/>
  <c r="B192" i="4"/>
  <c r="B77" i="4"/>
  <c r="H411" i="5"/>
  <c r="F33" i="5"/>
  <c r="B33" i="5"/>
  <c r="B215" i="4"/>
  <c r="H34" i="5"/>
  <c r="D34" i="5" s="1"/>
  <c r="D320" i="7"/>
  <c r="L291" i="4" s="1"/>
  <c r="D422" i="7"/>
  <c r="L393" i="4" s="1"/>
  <c r="D34" i="7"/>
  <c r="I15" i="7"/>
  <c r="G7" i="8"/>
  <c r="D56" i="7"/>
  <c r="G4" i="8" s="1"/>
  <c r="D43" i="7"/>
  <c r="D133" i="7"/>
  <c r="L104" i="4" s="1"/>
  <c r="A344" i="7"/>
  <c r="B345" i="7"/>
  <c r="J316" i="4" s="1"/>
  <c r="A365" i="7"/>
  <c r="B366" i="7"/>
  <c r="J337" i="4" s="1"/>
  <c r="B321" i="7"/>
  <c r="J292" i="4" s="1"/>
  <c r="A320" i="7"/>
  <c r="B138" i="7"/>
  <c r="J109" i="4" s="1"/>
  <c r="A137" i="7"/>
  <c r="B196" i="7"/>
  <c r="J167" i="4" s="1"/>
  <c r="A195" i="7"/>
  <c r="B391" i="7"/>
  <c r="J362" i="4" s="1"/>
  <c r="A390" i="7"/>
  <c r="B375" i="5"/>
  <c r="H270" i="5"/>
  <c r="H269" i="5"/>
  <c r="B62" i="4"/>
  <c r="H87" i="5"/>
  <c r="C266" i="4"/>
  <c r="C267" i="4" s="1"/>
  <c r="H121" i="5"/>
  <c r="H308" i="5"/>
  <c r="H218" i="5"/>
  <c r="B8" i="4"/>
  <c r="B243" i="4"/>
  <c r="B96" i="4"/>
  <c r="H330" i="5"/>
  <c r="B206" i="4"/>
  <c r="H231" i="5"/>
  <c r="H282" i="5"/>
  <c r="B409" i="5"/>
  <c r="H400" i="5"/>
  <c r="H399" i="5"/>
  <c r="H296" i="5"/>
  <c r="I305" i="4"/>
  <c r="B374" i="4"/>
  <c r="H232" i="5"/>
  <c r="B282" i="4"/>
  <c r="B281" i="4"/>
  <c r="E200" i="4"/>
  <c r="I239" i="4"/>
  <c r="I240" i="4" s="1"/>
  <c r="C202" i="4"/>
  <c r="E201" i="4" s="1"/>
  <c r="E264" i="4"/>
  <c r="C369" i="4"/>
  <c r="E368" i="4" s="1"/>
  <c r="D369" i="4"/>
  <c r="I323" i="4"/>
  <c r="I324" i="4" s="1"/>
  <c r="I282" i="4"/>
  <c r="E85" i="4"/>
  <c r="D87" i="4"/>
  <c r="B244" i="4"/>
  <c r="I88" i="4"/>
  <c r="I89" i="4" s="1"/>
  <c r="C87" i="4"/>
  <c r="E86" i="4" s="1"/>
  <c r="I254" i="4"/>
  <c r="I255" i="4" s="1"/>
  <c r="I370" i="4"/>
  <c r="I346" i="4"/>
  <c r="I267" i="4"/>
  <c r="I216" i="4"/>
  <c r="I202" i="4"/>
  <c r="H352" i="5"/>
  <c r="B326" i="4"/>
  <c r="I19" i="4"/>
  <c r="I20" i="4" s="1"/>
  <c r="E68" i="4"/>
  <c r="I157" i="4"/>
  <c r="C321" i="4"/>
  <c r="D321" i="4"/>
  <c r="E319" i="4"/>
  <c r="H271" i="5"/>
  <c r="D95" i="4"/>
  <c r="E93" i="4"/>
  <c r="C95" i="4"/>
  <c r="I74" i="4"/>
  <c r="D73" i="4"/>
  <c r="E71" i="4"/>
  <c r="C73" i="4"/>
  <c r="I189" i="4"/>
  <c r="C384" i="4"/>
  <c r="E382" i="4"/>
  <c r="D384" i="4"/>
  <c r="H412" i="5"/>
  <c r="B283" i="4"/>
  <c r="C280" i="4"/>
  <c r="E278" i="4"/>
  <c r="D280" i="4"/>
  <c r="C238" i="4"/>
  <c r="E236" i="4"/>
  <c r="D238" i="4"/>
  <c r="E302" i="4"/>
  <c r="D304" i="4"/>
  <c r="C304" i="4"/>
  <c r="C217" i="4"/>
  <c r="E215" i="4"/>
  <c r="D217" i="4"/>
  <c r="B193" i="4"/>
  <c r="B156" i="4"/>
  <c r="H182" i="5"/>
  <c r="I95" i="4"/>
  <c r="I63" i="4"/>
  <c r="I11" i="4"/>
  <c r="H376" i="5"/>
  <c r="B350" i="4"/>
  <c r="H104" i="5"/>
  <c r="B78" i="4"/>
  <c r="C19" i="4"/>
  <c r="E17" i="4"/>
  <c r="D19" i="4"/>
  <c r="B23" i="4"/>
  <c r="H49" i="5"/>
  <c r="I385" i="4"/>
  <c r="C252" i="4"/>
  <c r="E250" i="4"/>
  <c r="D252" i="4"/>
  <c r="D188" i="4"/>
  <c r="C188" i="4"/>
  <c r="E186" i="4"/>
  <c r="I117" i="4"/>
  <c r="D8" i="4"/>
  <c r="C8" i="4"/>
  <c r="E6" i="4"/>
  <c r="H242" i="5"/>
  <c r="B216" i="4"/>
  <c r="B375" i="4"/>
  <c r="H401" i="5"/>
  <c r="D345" i="4"/>
  <c r="E343" i="4"/>
  <c r="C345" i="4"/>
  <c r="C117" i="4"/>
  <c r="E115" i="4"/>
  <c r="D117" i="4"/>
  <c r="E154" i="4"/>
  <c r="C156" i="4"/>
  <c r="D156" i="4"/>
  <c r="E61" i="4"/>
  <c r="C63" i="4"/>
  <c r="D63" i="4"/>
  <c r="B181" i="5" l="1"/>
  <c r="B230" i="5"/>
  <c r="B281" i="5"/>
  <c r="B120" i="5"/>
  <c r="B101" i="5"/>
  <c r="B216" i="5"/>
  <c r="B217" i="5"/>
  <c r="B410" i="5"/>
  <c r="B103" i="5"/>
  <c r="B329" i="5"/>
  <c r="B295" i="5"/>
  <c r="B351" i="5"/>
  <c r="B86" i="5"/>
  <c r="B307" i="5"/>
  <c r="D282" i="5"/>
  <c r="F282" i="5" s="1"/>
  <c r="E282" i="5"/>
  <c r="D49" i="5"/>
  <c r="F49" i="5" s="1"/>
  <c r="E49" i="5"/>
  <c r="D182" i="5"/>
  <c r="F182" i="5" s="1"/>
  <c r="E182" i="5"/>
  <c r="D352" i="5"/>
  <c r="F352" i="5" s="1"/>
  <c r="E352" i="5"/>
  <c r="B268" i="5"/>
  <c r="D411" i="5"/>
  <c r="F411" i="5" s="1"/>
  <c r="E411" i="5"/>
  <c r="D104" i="5"/>
  <c r="F104" i="5" s="1"/>
  <c r="E104" i="5"/>
  <c r="D232" i="5"/>
  <c r="F232" i="5" s="1"/>
  <c r="E232" i="5"/>
  <c r="D296" i="5"/>
  <c r="F296" i="5" s="1"/>
  <c r="E296" i="5"/>
  <c r="B47" i="5"/>
  <c r="D218" i="5"/>
  <c r="F218" i="5" s="1"/>
  <c r="E218" i="5"/>
  <c r="D87" i="5"/>
  <c r="F87" i="5" s="1"/>
  <c r="E87" i="5"/>
  <c r="B48" i="5"/>
  <c r="B426" i="7"/>
  <c r="J396" i="4"/>
  <c r="D399" i="5"/>
  <c r="F399" i="5" s="1"/>
  <c r="E399" i="5"/>
  <c r="B259" i="7"/>
  <c r="J229" i="4"/>
  <c r="D376" i="5"/>
  <c r="F376" i="5" s="1"/>
  <c r="E376" i="5"/>
  <c r="D412" i="5"/>
  <c r="F412" i="5" s="1"/>
  <c r="E412" i="5"/>
  <c r="D271" i="5"/>
  <c r="F271" i="5" s="1"/>
  <c r="E271" i="5"/>
  <c r="D400" i="5"/>
  <c r="F400" i="5" s="1"/>
  <c r="E400" i="5"/>
  <c r="D308" i="5"/>
  <c r="F308" i="5" s="1"/>
  <c r="E308" i="5"/>
  <c r="D269" i="5"/>
  <c r="F269" i="5" s="1"/>
  <c r="E269" i="5"/>
  <c r="D401" i="5"/>
  <c r="F401" i="5" s="1"/>
  <c r="E401" i="5"/>
  <c r="B102" i="5"/>
  <c r="D231" i="5"/>
  <c r="F231" i="5" s="1"/>
  <c r="E231" i="5"/>
  <c r="B267" i="5"/>
  <c r="D330" i="5"/>
  <c r="F330" i="5" s="1"/>
  <c r="E330" i="5"/>
  <c r="D121" i="5"/>
  <c r="F121" i="5" s="1"/>
  <c r="E121" i="5"/>
  <c r="D270" i="5"/>
  <c r="F270" i="5" s="1"/>
  <c r="E270" i="5"/>
  <c r="B157" i="7"/>
  <c r="J127" i="4"/>
  <c r="J34" i="4"/>
  <c r="B64" i="7"/>
  <c r="A63" i="7"/>
  <c r="B239" i="5"/>
  <c r="B9" i="4"/>
  <c r="B240" i="5"/>
  <c r="D241" i="5"/>
  <c r="F241" i="5" s="1"/>
  <c r="E241" i="5"/>
  <c r="D242" i="5"/>
  <c r="F242" i="5" s="1"/>
  <c r="E242" i="5"/>
  <c r="L125" i="4"/>
  <c r="D155" i="7"/>
  <c r="L333" i="4"/>
  <c r="D363" i="7"/>
  <c r="D227" i="7"/>
  <c r="L198" i="4" s="1"/>
  <c r="L197" i="4"/>
  <c r="L359" i="4"/>
  <c r="D389" i="7"/>
  <c r="L224" i="4"/>
  <c r="B207" i="4"/>
  <c r="D344" i="7"/>
  <c r="L314" i="4"/>
  <c r="L165" i="4"/>
  <c r="L82" i="4"/>
  <c r="L27" i="4"/>
  <c r="E265" i="4"/>
  <c r="D267" i="4"/>
  <c r="F34" i="5"/>
  <c r="B34" i="5"/>
  <c r="B245" i="4"/>
  <c r="D321" i="7"/>
  <c r="L292" i="4" s="1"/>
  <c r="D423" i="7"/>
  <c r="L394" i="4" s="1"/>
  <c r="D134" i="7"/>
  <c r="D44" i="7"/>
  <c r="I25" i="7"/>
  <c r="D57" i="7"/>
  <c r="L28" i="4" s="1"/>
  <c r="A256" i="7"/>
  <c r="B367" i="7"/>
  <c r="J338" i="4" s="1"/>
  <c r="A366" i="7"/>
  <c r="B392" i="7"/>
  <c r="J363" i="4" s="1"/>
  <c r="A391" i="7"/>
  <c r="B197" i="7"/>
  <c r="J168" i="4" s="1"/>
  <c r="A196" i="7"/>
  <c r="B346" i="7"/>
  <c r="J317" i="4" s="1"/>
  <c r="A345" i="7"/>
  <c r="B139" i="7"/>
  <c r="J110" i="4" s="1"/>
  <c r="A138" i="7"/>
  <c r="B322" i="7"/>
  <c r="J293" i="4" s="1"/>
  <c r="A321" i="7"/>
  <c r="B104" i="5"/>
  <c r="B412" i="5"/>
  <c r="H89" i="5"/>
  <c r="H88" i="5"/>
  <c r="H283" i="5"/>
  <c r="B258" i="4"/>
  <c r="H331" i="5"/>
  <c r="B306" i="4"/>
  <c r="B182" i="5"/>
  <c r="H309" i="5"/>
  <c r="H219" i="5"/>
  <c r="H233" i="5"/>
  <c r="B231" i="5"/>
  <c r="B330" i="5"/>
  <c r="B97" i="4"/>
  <c r="H122" i="5"/>
  <c r="B87" i="5"/>
  <c r="B296" i="5"/>
  <c r="B269" i="5"/>
  <c r="H297" i="5"/>
  <c r="B272" i="4"/>
  <c r="B400" i="5"/>
  <c r="B270" i="5"/>
  <c r="H36" i="5"/>
  <c r="D36" i="5" s="1"/>
  <c r="I306" i="4"/>
  <c r="I307" i="4" s="1"/>
  <c r="I308" i="4" s="1"/>
  <c r="I283" i="4"/>
  <c r="I284" i="4" s="1"/>
  <c r="B63" i="4"/>
  <c r="C370" i="4"/>
  <c r="C371" i="4" s="1"/>
  <c r="D203" i="4"/>
  <c r="C203" i="4"/>
  <c r="D204" i="4" s="1"/>
  <c r="D370" i="4"/>
  <c r="D88" i="4"/>
  <c r="C88" i="4"/>
  <c r="H272" i="5"/>
  <c r="B246" i="4"/>
  <c r="I158" i="4"/>
  <c r="I268" i="4"/>
  <c r="I217" i="4"/>
  <c r="I347" i="4"/>
  <c r="B327" i="4"/>
  <c r="H353" i="5"/>
  <c r="C322" i="4"/>
  <c r="D322" i="4"/>
  <c r="E320" i="4"/>
  <c r="I203" i="4"/>
  <c r="I371" i="4"/>
  <c r="H402" i="5"/>
  <c r="B376" i="4"/>
  <c r="H413" i="5"/>
  <c r="D157" i="4"/>
  <c r="C157" i="4"/>
  <c r="E155" i="4"/>
  <c r="D189" i="4"/>
  <c r="E187" i="4"/>
  <c r="C189" i="4"/>
  <c r="B24" i="4"/>
  <c r="H50" i="5"/>
  <c r="H243" i="5"/>
  <c r="B217" i="4"/>
  <c r="I90" i="4"/>
  <c r="B79" i="4"/>
  <c r="H105" i="5"/>
  <c r="I64" i="4"/>
  <c r="I256" i="4"/>
  <c r="B284" i="4"/>
  <c r="C385" i="4"/>
  <c r="E383" i="4"/>
  <c r="D385" i="4"/>
  <c r="I190" i="4"/>
  <c r="I118" i="4"/>
  <c r="H377" i="5"/>
  <c r="B351" i="4"/>
  <c r="I96" i="4"/>
  <c r="I21" i="4"/>
  <c r="I75" i="4"/>
  <c r="D64" i="4"/>
  <c r="E62" i="4"/>
  <c r="C64" i="4"/>
  <c r="C346" i="4"/>
  <c r="D346" i="4"/>
  <c r="E344" i="4"/>
  <c r="E7" i="4"/>
  <c r="D9" i="4"/>
  <c r="C9" i="4"/>
  <c r="D253" i="4"/>
  <c r="C253" i="4"/>
  <c r="E251" i="4"/>
  <c r="B157" i="4"/>
  <c r="H183" i="5"/>
  <c r="I241" i="4"/>
  <c r="C218" i="4"/>
  <c r="E216" i="4"/>
  <c r="D218" i="4"/>
  <c r="I325" i="4"/>
  <c r="C281" i="4"/>
  <c r="D281" i="4"/>
  <c r="E279" i="4"/>
  <c r="D74" i="4"/>
  <c r="C74" i="4"/>
  <c r="E72" i="4"/>
  <c r="I386" i="4"/>
  <c r="C268" i="4"/>
  <c r="E266" i="4"/>
  <c r="D268" i="4"/>
  <c r="D239" i="4"/>
  <c r="E237" i="4"/>
  <c r="C239" i="4"/>
  <c r="D118" i="4"/>
  <c r="C118" i="4"/>
  <c r="E116" i="4"/>
  <c r="D20" i="4"/>
  <c r="C20" i="4"/>
  <c r="E18" i="4"/>
  <c r="I12" i="4"/>
  <c r="D305" i="4"/>
  <c r="E303" i="4"/>
  <c r="C305" i="4"/>
  <c r="D96" i="4"/>
  <c r="C96" i="4"/>
  <c r="E94" i="4"/>
  <c r="B49" i="5" l="1"/>
  <c r="B282" i="5"/>
  <c r="B218" i="5"/>
  <c r="B308" i="5"/>
  <c r="B352" i="5"/>
  <c r="D105" i="5"/>
  <c r="F105" i="5" s="1"/>
  <c r="E105" i="5"/>
  <c r="D272" i="5"/>
  <c r="F272" i="5" s="1"/>
  <c r="E272" i="5"/>
  <c r="D122" i="5"/>
  <c r="F122" i="5" s="1"/>
  <c r="E122" i="5"/>
  <c r="D183" i="5"/>
  <c r="F183" i="5" s="1"/>
  <c r="E183" i="5"/>
  <c r="D50" i="5"/>
  <c r="F50" i="5" s="1"/>
  <c r="E50" i="5"/>
  <c r="D413" i="5"/>
  <c r="F413" i="5" s="1"/>
  <c r="E413" i="5"/>
  <c r="B376" i="5"/>
  <c r="D219" i="5"/>
  <c r="F219" i="5" s="1"/>
  <c r="E219" i="5"/>
  <c r="B399" i="5"/>
  <c r="D331" i="5"/>
  <c r="F331" i="5" s="1"/>
  <c r="E331" i="5"/>
  <c r="D89" i="5"/>
  <c r="F89" i="5" s="1"/>
  <c r="E89" i="5"/>
  <c r="B260" i="7"/>
  <c r="J230" i="4"/>
  <c r="B427" i="7"/>
  <c r="J397" i="4"/>
  <c r="B121" i="5"/>
  <c r="D309" i="5"/>
  <c r="F309" i="5" s="1"/>
  <c r="E309" i="5"/>
  <c r="D283" i="5"/>
  <c r="F283" i="5" s="1"/>
  <c r="E283" i="5"/>
  <c r="B158" i="7"/>
  <c r="J128" i="4"/>
  <c r="D353" i="5"/>
  <c r="F353" i="5" s="1"/>
  <c r="E353" i="5"/>
  <c r="D377" i="5"/>
  <c r="F377" i="5" s="1"/>
  <c r="E377" i="5"/>
  <c r="D402" i="5"/>
  <c r="F402" i="5" s="1"/>
  <c r="E402" i="5"/>
  <c r="D297" i="5"/>
  <c r="F297" i="5" s="1"/>
  <c r="E297" i="5"/>
  <c r="B401" i="5"/>
  <c r="B271" i="5"/>
  <c r="B232" i="5"/>
  <c r="D233" i="5"/>
  <c r="F233" i="5" s="1"/>
  <c r="E233" i="5"/>
  <c r="D88" i="5"/>
  <c r="F88" i="5" s="1"/>
  <c r="E88" i="5"/>
  <c r="B411" i="5"/>
  <c r="J35" i="4"/>
  <c r="A64" i="7"/>
  <c r="B65" i="7"/>
  <c r="B208" i="4"/>
  <c r="B64" i="4"/>
  <c r="H35" i="5"/>
  <c r="D35" i="5" s="1"/>
  <c r="B10" i="4"/>
  <c r="H90" i="5"/>
  <c r="B241" i="5"/>
  <c r="D243" i="5"/>
  <c r="F243" i="5" s="1"/>
  <c r="E243" i="5"/>
  <c r="B242" i="5"/>
  <c r="L166" i="4"/>
  <c r="L225" i="4"/>
  <c r="L105" i="4"/>
  <c r="I121" i="7"/>
  <c r="D364" i="7"/>
  <c r="L334" i="4"/>
  <c r="L126" i="4"/>
  <c r="D156" i="7"/>
  <c r="H37" i="5"/>
  <c r="D37" i="5" s="1"/>
  <c r="F37" i="5" s="1"/>
  <c r="D345" i="7"/>
  <c r="L315" i="4"/>
  <c r="L360" i="4"/>
  <c r="D390" i="7"/>
  <c r="H220" i="5"/>
  <c r="B194" i="4"/>
  <c r="B36" i="5"/>
  <c r="F36" i="5"/>
  <c r="D322" i="7"/>
  <c r="D424" i="7"/>
  <c r="L395" i="4" s="1"/>
  <c r="I214" i="7"/>
  <c r="I14" i="8" s="1"/>
  <c r="G5" i="8"/>
  <c r="D58" i="7"/>
  <c r="D135" i="7"/>
  <c r="L106" i="4" s="1"/>
  <c r="I10" i="8"/>
  <c r="I35" i="7"/>
  <c r="A257" i="7"/>
  <c r="B140" i="7"/>
  <c r="J111" i="4" s="1"/>
  <c r="A139" i="7"/>
  <c r="B198" i="7"/>
  <c r="J169" i="4" s="1"/>
  <c r="A197" i="7"/>
  <c r="B323" i="7"/>
  <c r="J294" i="4" s="1"/>
  <c r="A322" i="7"/>
  <c r="A346" i="7"/>
  <c r="B347" i="7"/>
  <c r="B393" i="7"/>
  <c r="J364" i="4" s="1"/>
  <c r="A392" i="7"/>
  <c r="A367" i="7"/>
  <c r="B368" i="7"/>
  <c r="J339" i="4" s="1"/>
  <c r="H284" i="5"/>
  <c r="B259" i="4"/>
  <c r="H234" i="5"/>
  <c r="H298" i="5"/>
  <c r="B273" i="4"/>
  <c r="H332" i="5"/>
  <c r="B307" i="4"/>
  <c r="B377" i="5"/>
  <c r="B272" i="5"/>
  <c r="B98" i="4"/>
  <c r="H123" i="5"/>
  <c r="B219" i="5"/>
  <c r="H310" i="5"/>
  <c r="B11" i="4"/>
  <c r="D371" i="4"/>
  <c r="E369" i="4"/>
  <c r="E202" i="4"/>
  <c r="C204" i="4"/>
  <c r="C205" i="4" s="1"/>
  <c r="D89" i="4"/>
  <c r="C89" i="4"/>
  <c r="E87" i="4"/>
  <c r="I372" i="4"/>
  <c r="I348" i="4"/>
  <c r="H273" i="5"/>
  <c r="B247" i="4"/>
  <c r="C323" i="4"/>
  <c r="E321" i="4"/>
  <c r="D323" i="4"/>
  <c r="I218" i="4"/>
  <c r="I204" i="4"/>
  <c r="H354" i="5"/>
  <c r="B328" i="4"/>
  <c r="I159" i="4"/>
  <c r="I269" i="4"/>
  <c r="I13" i="4"/>
  <c r="I387" i="4"/>
  <c r="C372" i="4"/>
  <c r="D372" i="4"/>
  <c r="E370" i="4"/>
  <c r="B285" i="4"/>
  <c r="I285" i="4"/>
  <c r="H403" i="5"/>
  <c r="B377" i="4"/>
  <c r="D97" i="4"/>
  <c r="E95" i="4"/>
  <c r="C97" i="4"/>
  <c r="E304" i="4"/>
  <c r="C306" i="4"/>
  <c r="D306" i="4"/>
  <c r="H91" i="5"/>
  <c r="B65" i="4"/>
  <c r="E19" i="4"/>
  <c r="D21" i="4"/>
  <c r="C21" i="4"/>
  <c r="D269" i="4"/>
  <c r="E267" i="4"/>
  <c r="C269" i="4"/>
  <c r="I326" i="4"/>
  <c r="C219" i="4"/>
  <c r="E217" i="4"/>
  <c r="D219" i="4"/>
  <c r="C254" i="4"/>
  <c r="E252" i="4"/>
  <c r="D254" i="4"/>
  <c r="H378" i="5"/>
  <c r="B352" i="4"/>
  <c r="I257" i="4"/>
  <c r="I65" i="4"/>
  <c r="I91" i="4"/>
  <c r="C75" i="4"/>
  <c r="E73" i="4"/>
  <c r="D75" i="4"/>
  <c r="D282" i="4"/>
  <c r="E280" i="4"/>
  <c r="C282" i="4"/>
  <c r="I242" i="4"/>
  <c r="E8" i="4"/>
  <c r="C10" i="4"/>
  <c r="D10" i="4"/>
  <c r="E63" i="4"/>
  <c r="C65" i="4"/>
  <c r="D65" i="4"/>
  <c r="I76" i="4"/>
  <c r="I97" i="4"/>
  <c r="I119" i="4"/>
  <c r="H221" i="5"/>
  <c r="H106" i="5"/>
  <c r="B80" i="4"/>
  <c r="H244" i="5"/>
  <c r="B218" i="4"/>
  <c r="H414" i="5"/>
  <c r="D119" i="4"/>
  <c r="E117" i="4"/>
  <c r="C119" i="4"/>
  <c r="C240" i="4"/>
  <c r="E238" i="4"/>
  <c r="D240" i="4"/>
  <c r="B158" i="4"/>
  <c r="H184" i="5"/>
  <c r="D347" i="4"/>
  <c r="E345" i="4"/>
  <c r="C347" i="4"/>
  <c r="I22" i="4"/>
  <c r="I191" i="4"/>
  <c r="C386" i="4"/>
  <c r="E384" i="4"/>
  <c r="D386" i="4"/>
  <c r="I309" i="4"/>
  <c r="B25" i="4"/>
  <c r="H51" i="5"/>
  <c r="C190" i="4"/>
  <c r="E188" i="4"/>
  <c r="D190" i="4"/>
  <c r="C158" i="4"/>
  <c r="E156" i="4"/>
  <c r="D158" i="4"/>
  <c r="B12" i="4"/>
  <c r="H38" i="5"/>
  <c r="D38" i="5" s="1"/>
  <c r="B297" i="5" l="1"/>
  <c r="B309" i="5"/>
  <c r="B50" i="5"/>
  <c r="B105" i="5"/>
  <c r="B88" i="5"/>
  <c r="B122" i="5"/>
  <c r="B331" i="5"/>
  <c r="B413" i="5"/>
  <c r="B233" i="5"/>
  <c r="B183" i="5"/>
  <c r="B89" i="5"/>
  <c r="D378" i="5"/>
  <c r="F378" i="5" s="1"/>
  <c r="E378" i="5"/>
  <c r="B428" i="7"/>
  <c r="J398" i="4"/>
  <c r="D298" i="5"/>
  <c r="F298" i="5" s="1"/>
  <c r="E298" i="5"/>
  <c r="D90" i="5"/>
  <c r="F90" i="5" s="1"/>
  <c r="E90" i="5"/>
  <c r="D184" i="5"/>
  <c r="F184" i="5" s="1"/>
  <c r="E184" i="5"/>
  <c r="D414" i="5"/>
  <c r="F414" i="5" s="1"/>
  <c r="E414" i="5"/>
  <c r="D106" i="5"/>
  <c r="F106" i="5" s="1"/>
  <c r="E106" i="5"/>
  <c r="D354" i="5"/>
  <c r="F354" i="5" s="1"/>
  <c r="E354" i="5"/>
  <c r="D234" i="5"/>
  <c r="F234" i="5" s="1"/>
  <c r="E234" i="5"/>
  <c r="D220" i="5"/>
  <c r="F220" i="5" s="1"/>
  <c r="E220" i="5"/>
  <c r="J36" i="4"/>
  <c r="A65" i="7"/>
  <c r="B66" i="7"/>
  <c r="B159" i="7"/>
  <c r="J129" i="4"/>
  <c r="D273" i="5"/>
  <c r="F273" i="5" s="1"/>
  <c r="E273" i="5"/>
  <c r="D310" i="5"/>
  <c r="F310" i="5" s="1"/>
  <c r="E310" i="5"/>
  <c r="B283" i="5"/>
  <c r="B402" i="5"/>
  <c r="B353" i="5"/>
  <c r="D51" i="5"/>
  <c r="F51" i="5" s="1"/>
  <c r="E51" i="5"/>
  <c r="D221" i="5"/>
  <c r="F221" i="5" s="1"/>
  <c r="E221" i="5"/>
  <c r="D91" i="5"/>
  <c r="F91" i="5" s="1"/>
  <c r="E91" i="5"/>
  <c r="D403" i="5"/>
  <c r="F403" i="5" s="1"/>
  <c r="E403" i="5"/>
  <c r="D123" i="5"/>
  <c r="F123" i="5" s="1"/>
  <c r="E123" i="5"/>
  <c r="D332" i="5"/>
  <c r="F332" i="5" s="1"/>
  <c r="E332" i="5"/>
  <c r="D284" i="5"/>
  <c r="F284" i="5" s="1"/>
  <c r="E284" i="5"/>
  <c r="A347" i="7"/>
  <c r="J318" i="4"/>
  <c r="B261" i="7"/>
  <c r="J231" i="4"/>
  <c r="B90" i="5"/>
  <c r="L29" i="4"/>
  <c r="H45" i="7"/>
  <c r="B243" i="5"/>
  <c r="F35" i="5"/>
  <c r="B35" i="5"/>
  <c r="B37" i="5"/>
  <c r="B195" i="4"/>
  <c r="A258" i="7"/>
  <c r="D244" i="5"/>
  <c r="F244" i="5" s="1"/>
  <c r="E244" i="5"/>
  <c r="D346" i="7"/>
  <c r="L316" i="4"/>
  <c r="L226" i="4"/>
  <c r="L361" i="4"/>
  <c r="D391" i="7"/>
  <c r="L335" i="4"/>
  <c r="D365" i="7"/>
  <c r="L293" i="4"/>
  <c r="I307" i="7"/>
  <c r="I20" i="8" s="1"/>
  <c r="L127" i="4"/>
  <c r="D157" i="7"/>
  <c r="D197" i="7"/>
  <c r="L167" i="4"/>
  <c r="B220" i="5"/>
  <c r="F38" i="5"/>
  <c r="B38" i="5"/>
  <c r="D323" i="7"/>
  <c r="L294" i="4" s="1"/>
  <c r="D425" i="7"/>
  <c r="L396" i="4" s="1"/>
  <c r="D136" i="7"/>
  <c r="L107" i="4" s="1"/>
  <c r="D59" i="7"/>
  <c r="L30" i="4" s="1"/>
  <c r="B394" i="7"/>
  <c r="J365" i="4" s="1"/>
  <c r="A393" i="7"/>
  <c r="B141" i="7"/>
  <c r="J112" i="4" s="1"/>
  <c r="A140" i="7"/>
  <c r="B369" i="7"/>
  <c r="J340" i="4" s="1"/>
  <c r="A368" i="7"/>
  <c r="B199" i="7"/>
  <c r="J170" i="4" s="1"/>
  <c r="A198" i="7"/>
  <c r="B324" i="7"/>
  <c r="J295" i="4" s="1"/>
  <c r="A323" i="7"/>
  <c r="H285" i="5"/>
  <c r="B260" i="4"/>
  <c r="B209" i="4"/>
  <c r="H333" i="5"/>
  <c r="B308" i="4"/>
  <c r="H311" i="5"/>
  <c r="B123" i="5"/>
  <c r="H235" i="5"/>
  <c r="B106" i="5"/>
  <c r="B310" i="5"/>
  <c r="H124" i="5"/>
  <c r="B99" i="4"/>
  <c r="H299" i="5"/>
  <c r="B274" i="4"/>
  <c r="E203" i="4"/>
  <c r="D205" i="4"/>
  <c r="D90" i="4"/>
  <c r="E88" i="4"/>
  <c r="C90" i="4"/>
  <c r="I205" i="4"/>
  <c r="I349" i="4"/>
  <c r="I160" i="4"/>
  <c r="B248" i="4"/>
  <c r="I219" i="4"/>
  <c r="D324" i="4"/>
  <c r="C324" i="4"/>
  <c r="E322" i="4"/>
  <c r="I270" i="4"/>
  <c r="H355" i="5"/>
  <c r="B329" i="4"/>
  <c r="I373" i="4"/>
  <c r="C191" i="4"/>
  <c r="E189" i="4"/>
  <c r="D191" i="4"/>
  <c r="H415" i="5"/>
  <c r="I120" i="4"/>
  <c r="I243" i="4"/>
  <c r="C270" i="4"/>
  <c r="E268" i="4"/>
  <c r="D270" i="4"/>
  <c r="I310" i="4"/>
  <c r="I192" i="4"/>
  <c r="H222" i="5"/>
  <c r="B196" i="4"/>
  <c r="I98" i="4"/>
  <c r="E64" i="4"/>
  <c r="D66" i="4"/>
  <c r="C66" i="4"/>
  <c r="C76" i="4"/>
  <c r="E74" i="4"/>
  <c r="D76" i="4"/>
  <c r="C22" i="4"/>
  <c r="E20" i="4"/>
  <c r="D22" i="4"/>
  <c r="H92" i="5"/>
  <c r="B66" i="4"/>
  <c r="I388" i="4"/>
  <c r="D206" i="4"/>
  <c r="E204" i="4"/>
  <c r="C206" i="4"/>
  <c r="D159" i="4"/>
  <c r="C159" i="4"/>
  <c r="E157" i="4"/>
  <c r="B26" i="4"/>
  <c r="H52" i="5"/>
  <c r="C387" i="4"/>
  <c r="E385" i="4"/>
  <c r="D387" i="4"/>
  <c r="I23" i="4"/>
  <c r="B159" i="4"/>
  <c r="H185" i="5"/>
  <c r="D241" i="4"/>
  <c r="E239" i="4"/>
  <c r="C241" i="4"/>
  <c r="B81" i="4"/>
  <c r="H107" i="5"/>
  <c r="I77" i="4"/>
  <c r="H379" i="5"/>
  <c r="B353" i="4"/>
  <c r="C220" i="4"/>
  <c r="E218" i="4"/>
  <c r="D220" i="4"/>
  <c r="E305" i="4"/>
  <c r="D307" i="4"/>
  <c r="C307" i="4"/>
  <c r="D98" i="4"/>
  <c r="E96" i="4"/>
  <c r="C98" i="4"/>
  <c r="B378" i="4"/>
  <c r="H404" i="5"/>
  <c r="B286" i="4"/>
  <c r="H245" i="5"/>
  <c r="B219" i="4"/>
  <c r="I66" i="4"/>
  <c r="B13" i="4"/>
  <c r="H39" i="5"/>
  <c r="D39" i="5" s="1"/>
  <c r="C348" i="4"/>
  <c r="E346" i="4"/>
  <c r="D348" i="4"/>
  <c r="C120" i="4"/>
  <c r="D120" i="4"/>
  <c r="E118" i="4"/>
  <c r="D11" i="4"/>
  <c r="C11" i="4"/>
  <c r="E9" i="4"/>
  <c r="C283" i="4"/>
  <c r="E281" i="4"/>
  <c r="D283" i="4"/>
  <c r="I258" i="4"/>
  <c r="D255" i="4"/>
  <c r="E253" i="4"/>
  <c r="C255" i="4"/>
  <c r="I327" i="4"/>
  <c r="I286" i="4"/>
  <c r="D373" i="4"/>
  <c r="C373" i="4"/>
  <c r="E371" i="4"/>
  <c r="I14" i="4"/>
  <c r="B273" i="5" l="1"/>
  <c r="B184" i="5"/>
  <c r="B284" i="5"/>
  <c r="B91" i="5"/>
  <c r="B378" i="5"/>
  <c r="B234" i="5"/>
  <c r="B298" i="5"/>
  <c r="B51" i="5"/>
  <c r="B414" i="5"/>
  <c r="B221" i="5"/>
  <c r="D235" i="5"/>
  <c r="F235" i="5" s="1"/>
  <c r="E235" i="5"/>
  <c r="J37" i="4"/>
  <c r="A66" i="7"/>
  <c r="B67" i="7"/>
  <c r="D404" i="5"/>
  <c r="F404" i="5" s="1"/>
  <c r="E404" i="5"/>
  <c r="D379" i="5"/>
  <c r="F379" i="5" s="1"/>
  <c r="E379" i="5"/>
  <c r="D52" i="5"/>
  <c r="F52" i="5" s="1"/>
  <c r="E52" i="5"/>
  <c r="D355" i="5"/>
  <c r="F355" i="5" s="1"/>
  <c r="E355" i="5"/>
  <c r="D299" i="5"/>
  <c r="F299" i="5" s="1"/>
  <c r="E299" i="5"/>
  <c r="B403" i="5"/>
  <c r="B160" i="7"/>
  <c r="J130" i="4"/>
  <c r="D311" i="5"/>
  <c r="F311" i="5" s="1"/>
  <c r="E311" i="5"/>
  <c r="D333" i="5"/>
  <c r="F333" i="5" s="1"/>
  <c r="E333" i="5"/>
  <c r="B429" i="7"/>
  <c r="J399" i="4"/>
  <c r="D185" i="5"/>
  <c r="F185" i="5" s="1"/>
  <c r="E185" i="5"/>
  <c r="D92" i="5"/>
  <c r="F92" i="5" s="1"/>
  <c r="E92" i="5"/>
  <c r="D222" i="5"/>
  <c r="F222" i="5" s="1"/>
  <c r="E222" i="5"/>
  <c r="D415" i="5"/>
  <c r="F415" i="5" s="1"/>
  <c r="E415" i="5"/>
  <c r="D124" i="5"/>
  <c r="F124" i="5" s="1"/>
  <c r="E124" i="5"/>
  <c r="B354" i="5"/>
  <c r="D285" i="5"/>
  <c r="F285" i="5" s="1"/>
  <c r="E285" i="5"/>
  <c r="D107" i="5"/>
  <c r="F107" i="5" s="1"/>
  <c r="E107" i="5"/>
  <c r="B332" i="5"/>
  <c r="B262" i="7"/>
  <c r="J232" i="4"/>
  <c r="G183" i="7"/>
  <c r="D245" i="5"/>
  <c r="F245" i="5" s="1"/>
  <c r="E245" i="5"/>
  <c r="B244" i="5"/>
  <c r="G16" i="8"/>
  <c r="G27" i="8" s="1"/>
  <c r="H3" i="7"/>
  <c r="L362" i="4"/>
  <c r="D392" i="7"/>
  <c r="D198" i="7"/>
  <c r="L168" i="4"/>
  <c r="L128" i="4"/>
  <c r="D158" i="7"/>
  <c r="L336" i="4"/>
  <c r="D366" i="7"/>
  <c r="L227" i="4"/>
  <c r="H242" i="7"/>
  <c r="D347" i="7"/>
  <c r="L318" i="4" s="1"/>
  <c r="L317" i="4"/>
  <c r="F39" i="5"/>
  <c r="B39" i="5"/>
  <c r="D324" i="7"/>
  <c r="L295" i="4" s="1"/>
  <c r="D426" i="7"/>
  <c r="L397" i="4" s="1"/>
  <c r="D60" i="7"/>
  <c r="D137" i="7"/>
  <c r="L108" i="4" s="1"/>
  <c r="B370" i="7"/>
  <c r="J341" i="4" s="1"/>
  <c r="A369" i="7"/>
  <c r="A141" i="7"/>
  <c r="B142" i="7"/>
  <c r="B325" i="7"/>
  <c r="J296" i="4" s="1"/>
  <c r="A324" i="7"/>
  <c r="B200" i="7"/>
  <c r="J171" i="4" s="1"/>
  <c r="A199" i="7"/>
  <c r="A259" i="7"/>
  <c r="A394" i="7"/>
  <c r="B395" i="7"/>
  <c r="H312" i="5"/>
  <c r="B404" i="5"/>
  <c r="B210" i="4"/>
  <c r="B249" i="4"/>
  <c r="H274" i="5"/>
  <c r="H300" i="5"/>
  <c r="B275" i="4"/>
  <c r="H334" i="5"/>
  <c r="B309" i="4"/>
  <c r="H286" i="5"/>
  <c r="B261" i="4"/>
  <c r="B107" i="5"/>
  <c r="H236" i="5"/>
  <c r="B92" i="5"/>
  <c r="B222" i="5"/>
  <c r="B299" i="5"/>
  <c r="H125" i="5"/>
  <c r="B100" i="4"/>
  <c r="E89" i="4"/>
  <c r="C91" i="4"/>
  <c r="E90" i="4" s="1"/>
  <c r="D91" i="4"/>
  <c r="H356" i="5"/>
  <c r="B330" i="4"/>
  <c r="E323" i="4"/>
  <c r="D325" i="4"/>
  <c r="C325" i="4"/>
  <c r="I350" i="4"/>
  <c r="I374" i="4"/>
  <c r="I271" i="4"/>
  <c r="I220" i="4"/>
  <c r="I161" i="4"/>
  <c r="I206" i="4"/>
  <c r="H40" i="5"/>
  <c r="D40" i="5" s="1"/>
  <c r="B14" i="4"/>
  <c r="I389" i="4"/>
  <c r="D374" i="4"/>
  <c r="C374" i="4"/>
  <c r="E372" i="4"/>
  <c r="I287" i="4"/>
  <c r="C256" i="4"/>
  <c r="E254" i="4"/>
  <c r="D256" i="4"/>
  <c r="D349" i="4"/>
  <c r="C349" i="4"/>
  <c r="E347" i="4"/>
  <c r="B287" i="4"/>
  <c r="H380" i="5"/>
  <c r="B354" i="4"/>
  <c r="I78" i="4"/>
  <c r="B160" i="4"/>
  <c r="H186" i="5"/>
  <c r="D160" i="4"/>
  <c r="C160" i="4"/>
  <c r="E158" i="4"/>
  <c r="B67" i="4"/>
  <c r="I311" i="4"/>
  <c r="C271" i="4"/>
  <c r="D271" i="4"/>
  <c r="E269" i="4"/>
  <c r="C121" i="4"/>
  <c r="E119" i="4"/>
  <c r="D121" i="4"/>
  <c r="B379" i="4"/>
  <c r="I244" i="4"/>
  <c r="I328" i="4"/>
  <c r="H246" i="5"/>
  <c r="B220" i="4"/>
  <c r="C221" i="4"/>
  <c r="E219" i="4"/>
  <c r="D221" i="4"/>
  <c r="I24" i="4"/>
  <c r="C388" i="4"/>
  <c r="E386" i="4"/>
  <c r="D388" i="4"/>
  <c r="D207" i="4"/>
  <c r="C207" i="4"/>
  <c r="E205" i="4"/>
  <c r="C77" i="4"/>
  <c r="D77" i="4"/>
  <c r="E75" i="4"/>
  <c r="H416" i="5"/>
  <c r="I15" i="4"/>
  <c r="I259" i="4"/>
  <c r="E10" i="4"/>
  <c r="D12" i="4"/>
  <c r="C12" i="4"/>
  <c r="E306" i="4"/>
  <c r="C308" i="4"/>
  <c r="D308" i="4"/>
  <c r="B82" i="4"/>
  <c r="B27" i="4"/>
  <c r="H53" i="5"/>
  <c r="B197" i="4"/>
  <c r="H223" i="5"/>
  <c r="E282" i="4"/>
  <c r="D284" i="4"/>
  <c r="C284" i="4"/>
  <c r="I67" i="4"/>
  <c r="D99" i="4"/>
  <c r="E97" i="4"/>
  <c r="C99" i="4"/>
  <c r="C242" i="4"/>
  <c r="E240" i="4"/>
  <c r="D242" i="4"/>
  <c r="E21" i="4"/>
  <c r="C23" i="4"/>
  <c r="D23" i="4"/>
  <c r="E65" i="4"/>
  <c r="C67" i="4"/>
  <c r="D67" i="4"/>
  <c r="I99" i="4"/>
  <c r="I193" i="4"/>
  <c r="I121" i="4"/>
  <c r="C192" i="4"/>
  <c r="E190" i="4"/>
  <c r="D192" i="4"/>
  <c r="B52" i="5" l="1"/>
  <c r="B185" i="5"/>
  <c r="B333" i="5"/>
  <c r="B235" i="5"/>
  <c r="B124" i="5"/>
  <c r="B355" i="5"/>
  <c r="B285" i="5"/>
  <c r="B245" i="5"/>
  <c r="B379" i="5"/>
  <c r="B430" i="7"/>
  <c r="J400" i="4"/>
  <c r="D186" i="5"/>
  <c r="F186" i="5" s="1"/>
  <c r="E186" i="5"/>
  <c r="D380" i="5"/>
  <c r="F380" i="5" s="1"/>
  <c r="E380" i="5"/>
  <c r="B415" i="5"/>
  <c r="D334" i="5"/>
  <c r="F334" i="5" s="1"/>
  <c r="E334" i="5"/>
  <c r="D416" i="5"/>
  <c r="F416" i="5" s="1"/>
  <c r="E416" i="5"/>
  <c r="D125" i="5"/>
  <c r="F125" i="5" s="1"/>
  <c r="E125" i="5"/>
  <c r="D286" i="5"/>
  <c r="F286" i="5" s="1"/>
  <c r="E286" i="5"/>
  <c r="D274" i="5"/>
  <c r="F274" i="5" s="1"/>
  <c r="E274" i="5"/>
  <c r="A395" i="7"/>
  <c r="J366" i="4"/>
  <c r="D53" i="5"/>
  <c r="F53" i="5" s="1"/>
  <c r="E53" i="5"/>
  <c r="D236" i="5"/>
  <c r="F236" i="5" s="1"/>
  <c r="E236" i="5"/>
  <c r="D312" i="5"/>
  <c r="F312" i="5" s="1"/>
  <c r="E312" i="5"/>
  <c r="A142" i="7"/>
  <c r="J113" i="4"/>
  <c r="D223" i="5"/>
  <c r="F223" i="5" s="1"/>
  <c r="E223" i="5"/>
  <c r="D356" i="5"/>
  <c r="F356" i="5" s="1"/>
  <c r="E356" i="5"/>
  <c r="B311" i="5"/>
  <c r="D300" i="5"/>
  <c r="F300" i="5" s="1"/>
  <c r="E300" i="5"/>
  <c r="B263" i="7"/>
  <c r="J233" i="4"/>
  <c r="B161" i="7"/>
  <c r="J131" i="4"/>
  <c r="J38" i="4"/>
  <c r="B68" i="7"/>
  <c r="A67" i="7"/>
  <c r="B211" i="4"/>
  <c r="A260" i="7"/>
  <c r="D246" i="5"/>
  <c r="F246" i="5" s="1"/>
  <c r="E246" i="5"/>
  <c r="D199" i="7"/>
  <c r="L169" i="4"/>
  <c r="L31" i="4"/>
  <c r="H4" i="8"/>
  <c r="L129" i="4"/>
  <c r="D159" i="7"/>
  <c r="L363" i="4"/>
  <c r="D393" i="7"/>
  <c r="L228" i="4"/>
  <c r="D367" i="7"/>
  <c r="L337" i="4"/>
  <c r="B40" i="5"/>
  <c r="F40" i="5"/>
  <c r="H237" i="5"/>
  <c r="D325" i="7"/>
  <c r="L296" i="4" s="1"/>
  <c r="D427" i="7"/>
  <c r="L398" i="4" s="1"/>
  <c r="D138" i="7"/>
  <c r="L109" i="4" s="1"/>
  <c r="D61" i="7"/>
  <c r="L32" i="4" s="1"/>
  <c r="B201" i="7"/>
  <c r="J172" i="4" s="1"/>
  <c r="A200" i="7"/>
  <c r="B326" i="7"/>
  <c r="J297" i="4" s="1"/>
  <c r="A325" i="7"/>
  <c r="A370" i="7"/>
  <c r="B371" i="7"/>
  <c r="B53" i="5"/>
  <c r="H287" i="5"/>
  <c r="B262" i="4"/>
  <c r="B223" i="5"/>
  <c r="B125" i="5"/>
  <c r="B334" i="5"/>
  <c r="B286" i="5"/>
  <c r="H335" i="5"/>
  <c r="B310" i="4"/>
  <c r="B416" i="5"/>
  <c r="H301" i="5"/>
  <c r="B276" i="4"/>
  <c r="B312" i="5"/>
  <c r="B380" i="4"/>
  <c r="H405" i="5"/>
  <c r="H126" i="5"/>
  <c r="B101" i="4"/>
  <c r="B274" i="5"/>
  <c r="H313" i="5"/>
  <c r="B15" i="4"/>
  <c r="I221" i="4"/>
  <c r="C326" i="4"/>
  <c r="D326" i="4"/>
  <c r="E324" i="4"/>
  <c r="I207" i="4"/>
  <c r="I375" i="4"/>
  <c r="H357" i="5"/>
  <c r="B331" i="4"/>
  <c r="I272" i="4"/>
  <c r="I351" i="4"/>
  <c r="I162" i="4"/>
  <c r="I194" i="4"/>
  <c r="I260" i="4"/>
  <c r="C78" i="4"/>
  <c r="D78" i="4"/>
  <c r="E76" i="4"/>
  <c r="I312" i="4"/>
  <c r="E22" i="4"/>
  <c r="C24" i="4"/>
  <c r="D24" i="4"/>
  <c r="E283" i="4"/>
  <c r="C285" i="4"/>
  <c r="D285" i="4"/>
  <c r="E307" i="4"/>
  <c r="D309" i="4"/>
  <c r="C309" i="4"/>
  <c r="I25" i="4"/>
  <c r="C222" i="4"/>
  <c r="E220" i="4"/>
  <c r="D222" i="4"/>
  <c r="C272" i="4"/>
  <c r="E270" i="4"/>
  <c r="D272" i="4"/>
  <c r="B161" i="4"/>
  <c r="H187" i="5"/>
  <c r="D350" i="4"/>
  <c r="E348" i="4"/>
  <c r="C350" i="4"/>
  <c r="I390" i="4"/>
  <c r="E66" i="4"/>
  <c r="B198" i="4"/>
  <c r="C243" i="4"/>
  <c r="D243" i="4"/>
  <c r="E241" i="4"/>
  <c r="D13" i="4"/>
  <c r="C13" i="4"/>
  <c r="E11" i="4"/>
  <c r="H417" i="5"/>
  <c r="H247" i="5"/>
  <c r="B221" i="4"/>
  <c r="C161" i="4"/>
  <c r="D161" i="4"/>
  <c r="E159" i="4"/>
  <c r="B288" i="4"/>
  <c r="C257" i="4"/>
  <c r="D257" i="4"/>
  <c r="E255" i="4"/>
  <c r="D375" i="4"/>
  <c r="E373" i="4"/>
  <c r="C375" i="4"/>
  <c r="I329" i="4"/>
  <c r="D122" i="4"/>
  <c r="E120" i="4"/>
  <c r="C122" i="4"/>
  <c r="H381" i="5"/>
  <c r="B355" i="4"/>
  <c r="C193" i="4"/>
  <c r="D193" i="4"/>
  <c r="E191" i="4"/>
  <c r="I122" i="4"/>
  <c r="I100" i="4"/>
  <c r="D100" i="4"/>
  <c r="C100" i="4"/>
  <c r="E98" i="4"/>
  <c r="B28" i="4"/>
  <c r="H54" i="5"/>
  <c r="D208" i="4"/>
  <c r="E206" i="4"/>
  <c r="C208" i="4"/>
  <c r="C389" i="4"/>
  <c r="E387" i="4"/>
  <c r="D389" i="4"/>
  <c r="I245" i="4"/>
  <c r="I79" i="4"/>
  <c r="I288" i="4"/>
  <c r="B356" i="5" l="1"/>
  <c r="B236" i="5"/>
  <c r="B300" i="5"/>
  <c r="B380" i="5"/>
  <c r="D381" i="5"/>
  <c r="F381" i="5" s="1"/>
  <c r="E381" i="5"/>
  <c r="D287" i="5"/>
  <c r="F287" i="5" s="1"/>
  <c r="E287" i="5"/>
  <c r="D54" i="5"/>
  <c r="F54" i="5" s="1"/>
  <c r="E54" i="5"/>
  <c r="D417" i="5"/>
  <c r="F417" i="5" s="1"/>
  <c r="E417" i="5"/>
  <c r="D126" i="5"/>
  <c r="F126" i="5" s="1"/>
  <c r="E126" i="5"/>
  <c r="B186" i="5"/>
  <c r="J39" i="4"/>
  <c r="A68" i="7"/>
  <c r="B69" i="7"/>
  <c r="D187" i="5"/>
  <c r="F187" i="5" s="1"/>
  <c r="E187" i="5"/>
  <c r="D357" i="5"/>
  <c r="F357" i="5" s="1"/>
  <c r="E357" i="5"/>
  <c r="D313" i="5"/>
  <c r="F313" i="5" s="1"/>
  <c r="E313" i="5"/>
  <c r="D405" i="5"/>
  <c r="F405" i="5" s="1"/>
  <c r="E405" i="5"/>
  <c r="D301" i="5"/>
  <c r="F301" i="5" s="1"/>
  <c r="E301" i="5"/>
  <c r="D335" i="5"/>
  <c r="F335" i="5" s="1"/>
  <c r="E335" i="5"/>
  <c r="A371" i="7"/>
  <c r="J342" i="4"/>
  <c r="D237" i="5"/>
  <c r="F237" i="5" s="1"/>
  <c r="E237" i="5"/>
  <c r="B264" i="7"/>
  <c r="J235" i="4" s="1"/>
  <c r="J234" i="4"/>
  <c r="B162" i="7"/>
  <c r="J132" i="4"/>
  <c r="B431" i="7"/>
  <c r="J401" i="4"/>
  <c r="D247" i="5"/>
  <c r="F247" i="5" s="1"/>
  <c r="E247" i="5"/>
  <c r="B246" i="5"/>
  <c r="L229" i="4"/>
  <c r="L130" i="4"/>
  <c r="D160" i="7"/>
  <c r="G143" i="7"/>
  <c r="L364" i="4"/>
  <c r="D394" i="7"/>
  <c r="D368" i="7"/>
  <c r="L338" i="4"/>
  <c r="D200" i="7"/>
  <c r="L170" i="4"/>
  <c r="B212" i="4"/>
  <c r="D326" i="7"/>
  <c r="L297" i="4" s="1"/>
  <c r="D428" i="7"/>
  <c r="L399" i="4" s="1"/>
  <c r="D62" i="7"/>
  <c r="I45" i="7" s="1"/>
  <c r="D139" i="7"/>
  <c r="L110" i="4" s="1"/>
  <c r="B327" i="7"/>
  <c r="J298" i="4" s="1"/>
  <c r="A326" i="7"/>
  <c r="A201" i="7"/>
  <c r="B202" i="7"/>
  <c r="J173" i="4" s="1"/>
  <c r="A261" i="7"/>
  <c r="H336" i="5"/>
  <c r="B311" i="4"/>
  <c r="B277" i="4"/>
  <c r="H302" i="5"/>
  <c r="H288" i="5"/>
  <c r="B263" i="4"/>
  <c r="B357" i="5"/>
  <c r="H127" i="5"/>
  <c r="B102" i="4"/>
  <c r="H314" i="5"/>
  <c r="I273" i="4"/>
  <c r="I163" i="4"/>
  <c r="I376" i="4"/>
  <c r="I352" i="4"/>
  <c r="E325" i="4"/>
  <c r="D327" i="4"/>
  <c r="C327" i="4"/>
  <c r="H358" i="5"/>
  <c r="B332" i="4"/>
  <c r="I208" i="4"/>
  <c r="I222" i="4"/>
  <c r="C390" i="4"/>
  <c r="E388" i="4"/>
  <c r="D390" i="4"/>
  <c r="I123" i="4"/>
  <c r="I80" i="4"/>
  <c r="C194" i="4"/>
  <c r="D194" i="4"/>
  <c r="E192" i="4"/>
  <c r="D376" i="4"/>
  <c r="C376" i="4"/>
  <c r="E374" i="4"/>
  <c r="C273" i="4"/>
  <c r="E271" i="4"/>
  <c r="D273" i="4"/>
  <c r="E308" i="4"/>
  <c r="C310" i="4"/>
  <c r="D310" i="4"/>
  <c r="I261" i="4"/>
  <c r="C244" i="4"/>
  <c r="E242" i="4"/>
  <c r="D244" i="4"/>
  <c r="D209" i="4"/>
  <c r="C209" i="4"/>
  <c r="E207" i="4"/>
  <c r="D101" i="4"/>
  <c r="E99" i="4"/>
  <c r="C101" i="4"/>
  <c r="H382" i="5"/>
  <c r="B356" i="4"/>
  <c r="I330" i="4"/>
  <c r="B162" i="4"/>
  <c r="H188" i="5"/>
  <c r="E284" i="4"/>
  <c r="D286" i="4"/>
  <c r="C286" i="4"/>
  <c r="I246" i="4"/>
  <c r="B29" i="4"/>
  <c r="H55" i="5"/>
  <c r="C258" i="4"/>
  <c r="E256" i="4"/>
  <c r="D258" i="4"/>
  <c r="C162" i="4"/>
  <c r="E160" i="4"/>
  <c r="D162" i="4"/>
  <c r="D14" i="4"/>
  <c r="C14" i="4"/>
  <c r="E12" i="4"/>
  <c r="I391" i="4"/>
  <c r="C223" i="4"/>
  <c r="E221" i="4"/>
  <c r="D223" i="4"/>
  <c r="E23" i="4"/>
  <c r="C25" i="4"/>
  <c r="D25" i="4"/>
  <c r="I313" i="4"/>
  <c r="I289" i="4"/>
  <c r="I101" i="4"/>
  <c r="D123" i="4"/>
  <c r="E121" i="4"/>
  <c r="C123" i="4"/>
  <c r="B289" i="4"/>
  <c r="H248" i="5"/>
  <c r="B222" i="4"/>
  <c r="H418" i="5"/>
  <c r="D351" i="4"/>
  <c r="C351" i="4"/>
  <c r="E349" i="4"/>
  <c r="I26" i="4"/>
  <c r="C79" i="4"/>
  <c r="D79" i="4"/>
  <c r="E77" i="4"/>
  <c r="I195" i="4"/>
  <c r="B417" i="5" l="1"/>
  <c r="B313" i="5"/>
  <c r="B301" i="5"/>
  <c r="B287" i="5"/>
  <c r="B187" i="5"/>
  <c r="D418" i="5"/>
  <c r="F418" i="5" s="1"/>
  <c r="E418" i="5"/>
  <c r="D188" i="5"/>
  <c r="F188" i="5" s="1"/>
  <c r="E188" i="5"/>
  <c r="D314" i="5"/>
  <c r="F314" i="5" s="1"/>
  <c r="E314" i="5"/>
  <c r="B163" i="7"/>
  <c r="J133" i="4"/>
  <c r="B54" i="5"/>
  <c r="B405" i="5"/>
  <c r="D336" i="5"/>
  <c r="F336" i="5" s="1"/>
  <c r="E336" i="5"/>
  <c r="B381" i="5"/>
  <c r="D382" i="5"/>
  <c r="F382" i="5" s="1"/>
  <c r="E382" i="5"/>
  <c r="D55" i="5"/>
  <c r="F55" i="5" s="1"/>
  <c r="E55" i="5"/>
  <c r="D288" i="5"/>
  <c r="F288" i="5" s="1"/>
  <c r="E288" i="5"/>
  <c r="B432" i="7"/>
  <c r="J402" i="4"/>
  <c r="D358" i="5"/>
  <c r="F358" i="5" s="1"/>
  <c r="E358" i="5"/>
  <c r="B335" i="5"/>
  <c r="D127" i="5"/>
  <c r="F127" i="5" s="1"/>
  <c r="E127" i="5"/>
  <c r="D302" i="5"/>
  <c r="F302" i="5" s="1"/>
  <c r="E302" i="5"/>
  <c r="B126" i="5"/>
  <c r="B237" i="5"/>
  <c r="J40" i="4"/>
  <c r="B70" i="7"/>
  <c r="A69" i="7"/>
  <c r="B247" i="5"/>
  <c r="A262" i="7"/>
  <c r="D248" i="5"/>
  <c r="F248" i="5" s="1"/>
  <c r="E248" i="5"/>
  <c r="D201" i="7"/>
  <c r="L171" i="4"/>
  <c r="L131" i="4"/>
  <c r="D161" i="7"/>
  <c r="D369" i="7"/>
  <c r="L339" i="4"/>
  <c r="L365" i="4"/>
  <c r="D395" i="7"/>
  <c r="L366" i="4" s="1"/>
  <c r="H7" i="8"/>
  <c r="G11" i="8"/>
  <c r="G26" i="8" s="1"/>
  <c r="G3" i="7"/>
  <c r="L230" i="4"/>
  <c r="L33" i="4"/>
  <c r="D327" i="7"/>
  <c r="L298" i="4" s="1"/>
  <c r="D429" i="7"/>
  <c r="L400" i="4" s="1"/>
  <c r="D63" i="7"/>
  <c r="L34" i="4" s="1"/>
  <c r="D140" i="7"/>
  <c r="L111" i="4" s="1"/>
  <c r="A327" i="7"/>
  <c r="B328" i="7"/>
  <c r="J299" i="4" s="1"/>
  <c r="B203" i="7"/>
  <c r="J174" i="4" s="1"/>
  <c r="A202" i="7"/>
  <c r="B127" i="5"/>
  <c r="B288" i="5"/>
  <c r="B302" i="5"/>
  <c r="H315" i="5"/>
  <c r="H128" i="5"/>
  <c r="B103" i="4"/>
  <c r="H337" i="5"/>
  <c r="B312" i="4"/>
  <c r="I377" i="4"/>
  <c r="I223" i="4"/>
  <c r="H359" i="5"/>
  <c r="B333" i="4"/>
  <c r="I353" i="4"/>
  <c r="I164" i="4"/>
  <c r="E326" i="4"/>
  <c r="C328" i="4"/>
  <c r="D328" i="4"/>
  <c r="I209" i="4"/>
  <c r="I274" i="4"/>
  <c r="E309" i="4"/>
  <c r="D311" i="4"/>
  <c r="C311" i="4"/>
  <c r="I196" i="4"/>
  <c r="H249" i="5"/>
  <c r="B223" i="4"/>
  <c r="I314" i="4"/>
  <c r="I392" i="4"/>
  <c r="C259" i="4"/>
  <c r="E257" i="4"/>
  <c r="D259" i="4"/>
  <c r="B163" i="4"/>
  <c r="H189" i="5"/>
  <c r="I262" i="4"/>
  <c r="I124" i="4"/>
  <c r="D377" i="4"/>
  <c r="E375" i="4"/>
  <c r="C377" i="4"/>
  <c r="H419" i="5"/>
  <c r="B290" i="4"/>
  <c r="I290" i="4"/>
  <c r="H383" i="5"/>
  <c r="B357" i="4"/>
  <c r="I27" i="4"/>
  <c r="D15" i="4"/>
  <c r="C15" i="4"/>
  <c r="E14" i="4" s="1"/>
  <c r="E13" i="4"/>
  <c r="D163" i="4"/>
  <c r="C163" i="4"/>
  <c r="E161" i="4"/>
  <c r="I247" i="4"/>
  <c r="C274" i="4"/>
  <c r="E272" i="4"/>
  <c r="D274" i="4"/>
  <c r="C195" i="4"/>
  <c r="D195" i="4"/>
  <c r="E193" i="4"/>
  <c r="C80" i="4"/>
  <c r="D80" i="4"/>
  <c r="E78" i="4"/>
  <c r="D352" i="4"/>
  <c r="E350" i="4"/>
  <c r="C352" i="4"/>
  <c r="D124" i="4"/>
  <c r="E122" i="4"/>
  <c r="C124" i="4"/>
  <c r="I102" i="4"/>
  <c r="D26" i="4"/>
  <c r="C26" i="4"/>
  <c r="E24" i="4"/>
  <c r="C224" i="4"/>
  <c r="E222" i="4"/>
  <c r="D224" i="4"/>
  <c r="B30" i="4"/>
  <c r="H56" i="5"/>
  <c r="E285" i="4"/>
  <c r="C287" i="4"/>
  <c r="D287" i="4"/>
  <c r="I331" i="4"/>
  <c r="D102" i="4"/>
  <c r="E100" i="4"/>
  <c r="C102" i="4"/>
  <c r="D210" i="4"/>
  <c r="E208" i="4"/>
  <c r="C210" i="4"/>
  <c r="C245" i="4"/>
  <c r="E243" i="4"/>
  <c r="D245" i="4"/>
  <c r="I81" i="4"/>
  <c r="C391" i="4"/>
  <c r="E389" i="4"/>
  <c r="D391" i="4"/>
  <c r="B314" i="5" l="1"/>
  <c r="B418" i="5"/>
  <c r="B358" i="5"/>
  <c r="B382" i="5"/>
  <c r="B55" i="5"/>
  <c r="B336" i="5"/>
  <c r="J41" i="4"/>
  <c r="B71" i="7"/>
  <c r="A70" i="7"/>
  <c r="B433" i="7"/>
  <c r="J403" i="4"/>
  <c r="D383" i="5"/>
  <c r="F383" i="5" s="1"/>
  <c r="E383" i="5"/>
  <c r="D128" i="5"/>
  <c r="F128" i="5" s="1"/>
  <c r="E128" i="5"/>
  <c r="D189" i="5"/>
  <c r="F189" i="5" s="1"/>
  <c r="E189" i="5"/>
  <c r="D315" i="5"/>
  <c r="F315" i="5" s="1"/>
  <c r="E315" i="5"/>
  <c r="B164" i="7"/>
  <c r="J134" i="4"/>
  <c r="D359" i="5"/>
  <c r="F359" i="5" s="1"/>
  <c r="E359" i="5"/>
  <c r="D337" i="5"/>
  <c r="F337" i="5" s="1"/>
  <c r="E337" i="5"/>
  <c r="B188" i="5"/>
  <c r="D56" i="5"/>
  <c r="F56" i="5" s="1"/>
  <c r="E56" i="5"/>
  <c r="D419" i="5"/>
  <c r="F419" i="5" s="1"/>
  <c r="E419" i="5"/>
  <c r="D249" i="5"/>
  <c r="F249" i="5" s="1"/>
  <c r="E249" i="5"/>
  <c r="B248" i="5"/>
  <c r="A263" i="7"/>
  <c r="H16" i="8"/>
  <c r="I242" i="7"/>
  <c r="L132" i="4"/>
  <c r="D162" i="7"/>
  <c r="L231" i="4"/>
  <c r="D370" i="7"/>
  <c r="L340" i="4"/>
  <c r="D202" i="7"/>
  <c r="L172" i="4"/>
  <c r="D328" i="7"/>
  <c r="L299" i="4" s="1"/>
  <c r="D430" i="7"/>
  <c r="D64" i="7"/>
  <c r="L35" i="4" s="1"/>
  <c r="D141" i="7"/>
  <c r="L112" i="4" s="1"/>
  <c r="B204" i="7"/>
  <c r="J175" i="4" s="1"/>
  <c r="A203" i="7"/>
  <c r="B329" i="7"/>
  <c r="J300" i="4" s="1"/>
  <c r="A328" i="7"/>
  <c r="H129" i="5"/>
  <c r="B104" i="4"/>
  <c r="B359" i="5"/>
  <c r="H338" i="5"/>
  <c r="B313" i="4"/>
  <c r="H316" i="5"/>
  <c r="I165" i="4"/>
  <c r="H360" i="5"/>
  <c r="B334" i="4"/>
  <c r="I378" i="4"/>
  <c r="I275" i="4"/>
  <c r="E327" i="4"/>
  <c r="D329" i="4"/>
  <c r="C329" i="4"/>
  <c r="I224" i="4"/>
  <c r="I354" i="4"/>
  <c r="I210" i="4"/>
  <c r="D211" i="4"/>
  <c r="C211" i="4"/>
  <c r="E209" i="4"/>
  <c r="B31" i="4"/>
  <c r="H57" i="5"/>
  <c r="B291" i="4"/>
  <c r="C246" i="4"/>
  <c r="E244" i="4"/>
  <c r="D246" i="4"/>
  <c r="D103" i="4"/>
  <c r="C103" i="4"/>
  <c r="E101" i="4"/>
  <c r="I263" i="4"/>
  <c r="B164" i="4"/>
  <c r="H190" i="5"/>
  <c r="C260" i="4"/>
  <c r="E258" i="4"/>
  <c r="D260" i="4"/>
  <c r="H250" i="5"/>
  <c r="B224" i="4"/>
  <c r="I197" i="4"/>
  <c r="C392" i="4"/>
  <c r="E390" i="4"/>
  <c r="D392" i="4"/>
  <c r="C275" i="4"/>
  <c r="E273" i="4"/>
  <c r="D275" i="4"/>
  <c r="I393" i="4"/>
  <c r="E310" i="4"/>
  <c r="C312" i="4"/>
  <c r="D312" i="4"/>
  <c r="I103" i="4"/>
  <c r="E351" i="4"/>
  <c r="D353" i="4"/>
  <c r="C353" i="4"/>
  <c r="D196" i="4"/>
  <c r="C196" i="4"/>
  <c r="E194" i="4"/>
  <c r="I248" i="4"/>
  <c r="I291" i="4"/>
  <c r="D378" i="4"/>
  <c r="C378" i="4"/>
  <c r="E376" i="4"/>
  <c r="C225" i="4"/>
  <c r="E223" i="4"/>
  <c r="D225" i="4"/>
  <c r="D164" i="4"/>
  <c r="C164" i="4"/>
  <c r="E162" i="4"/>
  <c r="I82" i="4"/>
  <c r="I332" i="4"/>
  <c r="E286" i="4"/>
  <c r="D288" i="4"/>
  <c r="C288" i="4"/>
  <c r="D27" i="4"/>
  <c r="C27" i="4"/>
  <c r="E25" i="4"/>
  <c r="C125" i="4"/>
  <c r="E123" i="4"/>
  <c r="D125" i="4"/>
  <c r="C81" i="4"/>
  <c r="D81" i="4"/>
  <c r="E79" i="4"/>
  <c r="I28" i="4"/>
  <c r="H384" i="5"/>
  <c r="B358" i="4"/>
  <c r="H420" i="5"/>
  <c r="I125" i="4"/>
  <c r="I315" i="4"/>
  <c r="B128" i="5" l="1"/>
  <c r="B315" i="5"/>
  <c r="L401" i="4"/>
  <c r="H410" i="7"/>
  <c r="B189" i="5"/>
  <c r="B337" i="5"/>
  <c r="B383" i="5"/>
  <c r="D384" i="5"/>
  <c r="F384" i="5" s="1"/>
  <c r="E384" i="5"/>
  <c r="D57" i="5"/>
  <c r="F57" i="5" s="1"/>
  <c r="E57" i="5"/>
  <c r="D338" i="5"/>
  <c r="F338" i="5" s="1"/>
  <c r="E338" i="5"/>
  <c r="B56" i="5"/>
  <c r="B434" i="7"/>
  <c r="J404" i="4"/>
  <c r="D420" i="5"/>
  <c r="F420" i="5" s="1"/>
  <c r="E420" i="5"/>
  <c r="D190" i="5"/>
  <c r="F190" i="5" s="1"/>
  <c r="E190" i="5"/>
  <c r="D360" i="5"/>
  <c r="F360" i="5" s="1"/>
  <c r="E360" i="5"/>
  <c r="B165" i="7"/>
  <c r="J135" i="4"/>
  <c r="J42" i="4"/>
  <c r="B72" i="7"/>
  <c r="A71" i="7"/>
  <c r="D316" i="5"/>
  <c r="F316" i="5" s="1"/>
  <c r="E316" i="5"/>
  <c r="B419" i="5"/>
  <c r="D129" i="5"/>
  <c r="F129" i="5" s="1"/>
  <c r="E129" i="5"/>
  <c r="B249" i="5"/>
  <c r="D250" i="5"/>
  <c r="F250" i="5" s="1"/>
  <c r="E250" i="5"/>
  <c r="H25" i="8"/>
  <c r="H27" i="8" s="1"/>
  <c r="J3" i="7"/>
  <c r="D371" i="7"/>
  <c r="L342" i="4" s="1"/>
  <c r="L341" i="4"/>
  <c r="L133" i="4"/>
  <c r="D163" i="7"/>
  <c r="D203" i="7"/>
  <c r="L173" i="4"/>
  <c r="L232" i="4"/>
  <c r="D329" i="7"/>
  <c r="L300" i="4" s="1"/>
  <c r="D431" i="7"/>
  <c r="L402" i="4" s="1"/>
  <c r="D142" i="7"/>
  <c r="L113" i="4" s="1"/>
  <c r="D65" i="7"/>
  <c r="L36" i="4" s="1"/>
  <c r="A329" i="7"/>
  <c r="B330" i="7"/>
  <c r="B205" i="7"/>
  <c r="J176" i="4" s="1"/>
  <c r="A204" i="7"/>
  <c r="B420" i="5"/>
  <c r="B190" i="5"/>
  <c r="H339" i="5"/>
  <c r="B314" i="4"/>
  <c r="B384" i="5"/>
  <c r="H130" i="5"/>
  <c r="B105" i="4"/>
  <c r="H317" i="5"/>
  <c r="B129" i="5"/>
  <c r="B360" i="5"/>
  <c r="I225" i="4"/>
  <c r="I166" i="4"/>
  <c r="I211" i="4"/>
  <c r="I276" i="4"/>
  <c r="I355" i="4"/>
  <c r="E328" i="4"/>
  <c r="C330" i="4"/>
  <c r="D330" i="4"/>
  <c r="H361" i="5"/>
  <c r="B335" i="4"/>
  <c r="I379" i="4"/>
  <c r="H421" i="5"/>
  <c r="D28" i="4"/>
  <c r="E26" i="4"/>
  <c r="C28" i="4"/>
  <c r="E311" i="4"/>
  <c r="D313" i="4"/>
  <c r="C313" i="4"/>
  <c r="C261" i="4"/>
  <c r="E259" i="4"/>
  <c r="D261" i="4"/>
  <c r="I316" i="4"/>
  <c r="I29" i="4"/>
  <c r="C82" i="4"/>
  <c r="D82" i="4"/>
  <c r="E80" i="4"/>
  <c r="D379" i="4"/>
  <c r="E377" i="4"/>
  <c r="C379" i="4"/>
  <c r="I198" i="4"/>
  <c r="B32" i="4"/>
  <c r="H58" i="5"/>
  <c r="I333" i="4"/>
  <c r="I292" i="4"/>
  <c r="I249" i="4"/>
  <c r="C393" i="4"/>
  <c r="E391" i="4"/>
  <c r="D393" i="4"/>
  <c r="H251" i="5"/>
  <c r="B225" i="4"/>
  <c r="B165" i="4"/>
  <c r="H191" i="5"/>
  <c r="D212" i="4"/>
  <c r="E210" i="4"/>
  <c r="C212" i="4"/>
  <c r="I126" i="4"/>
  <c r="D197" i="4"/>
  <c r="C197" i="4"/>
  <c r="E195" i="4"/>
  <c r="H385" i="5"/>
  <c r="B359" i="4"/>
  <c r="D126" i="4"/>
  <c r="C126" i="4"/>
  <c r="E124" i="4"/>
  <c r="E287" i="4"/>
  <c r="C289" i="4"/>
  <c r="D289" i="4"/>
  <c r="C165" i="4"/>
  <c r="E163" i="4"/>
  <c r="D165" i="4"/>
  <c r="C226" i="4"/>
  <c r="E224" i="4"/>
  <c r="D226" i="4"/>
  <c r="E352" i="4"/>
  <c r="D354" i="4"/>
  <c r="C354" i="4"/>
  <c r="I104" i="4"/>
  <c r="I394" i="4"/>
  <c r="C276" i="4"/>
  <c r="E274" i="4"/>
  <c r="D276" i="4"/>
  <c r="D104" i="4"/>
  <c r="C104" i="4"/>
  <c r="E102" i="4"/>
  <c r="C247" i="4"/>
  <c r="E245" i="4"/>
  <c r="D247" i="4"/>
  <c r="B292" i="4"/>
  <c r="B338" i="5" l="1"/>
  <c r="B316" i="5"/>
  <c r="D130" i="5"/>
  <c r="F130" i="5" s="1"/>
  <c r="E130" i="5"/>
  <c r="J43" i="4"/>
  <c r="B73" i="7"/>
  <c r="A72" i="7"/>
  <c r="D361" i="5"/>
  <c r="F361" i="5" s="1"/>
  <c r="E361" i="5"/>
  <c r="D58" i="5"/>
  <c r="F58" i="5" s="1"/>
  <c r="E58" i="5"/>
  <c r="D421" i="5"/>
  <c r="F421" i="5" s="1"/>
  <c r="E421" i="5"/>
  <c r="B57" i="5"/>
  <c r="B166" i="7"/>
  <c r="J136" i="4"/>
  <c r="B435" i="7"/>
  <c r="J405" i="4"/>
  <c r="D385" i="5"/>
  <c r="F385" i="5" s="1"/>
  <c r="E385" i="5"/>
  <c r="D191" i="5"/>
  <c r="F191" i="5" s="1"/>
  <c r="E191" i="5"/>
  <c r="D339" i="5"/>
  <c r="F339" i="5" s="1"/>
  <c r="E339" i="5"/>
  <c r="D317" i="5"/>
  <c r="F317" i="5" s="1"/>
  <c r="E317" i="5"/>
  <c r="A330" i="7"/>
  <c r="J301" i="4"/>
  <c r="B250" i="5"/>
  <c r="A264" i="7"/>
  <c r="D251" i="5"/>
  <c r="F251" i="5" s="1"/>
  <c r="E251" i="5"/>
  <c r="D204" i="7"/>
  <c r="H183" i="7" s="1"/>
  <c r="L174" i="4"/>
  <c r="D164" i="7"/>
  <c r="L134" i="4"/>
  <c r="L233" i="4"/>
  <c r="D330" i="7"/>
  <c r="L301" i="4" s="1"/>
  <c r="D432" i="7"/>
  <c r="L403" i="4" s="1"/>
  <c r="D66" i="7"/>
  <c r="B206" i="7"/>
  <c r="J177" i="4" s="1"/>
  <c r="A205" i="7"/>
  <c r="B339" i="5"/>
  <c r="B58" i="5"/>
  <c r="B317" i="5"/>
  <c r="H131" i="5"/>
  <c r="B106" i="4"/>
  <c r="B130" i="5"/>
  <c r="H318" i="5"/>
  <c r="H340" i="5"/>
  <c r="B315" i="4"/>
  <c r="B293" i="4"/>
  <c r="D331" i="4"/>
  <c r="C331" i="4"/>
  <c r="E329" i="4"/>
  <c r="I167" i="4"/>
  <c r="I380" i="4"/>
  <c r="I277" i="4"/>
  <c r="H362" i="5"/>
  <c r="B336" i="4"/>
  <c r="I356" i="4"/>
  <c r="I226" i="4"/>
  <c r="I212" i="4"/>
  <c r="C248" i="4"/>
  <c r="E246" i="4"/>
  <c r="D248" i="4"/>
  <c r="B166" i="4"/>
  <c r="H192" i="5"/>
  <c r="D380" i="4"/>
  <c r="E378" i="4"/>
  <c r="C380" i="4"/>
  <c r="E379" i="4" s="1"/>
  <c r="C262" i="4"/>
  <c r="E260" i="4"/>
  <c r="D262" i="4"/>
  <c r="I395" i="4"/>
  <c r="E353" i="4"/>
  <c r="D355" i="4"/>
  <c r="C355" i="4"/>
  <c r="C166" i="4"/>
  <c r="E164" i="4"/>
  <c r="D166" i="4"/>
  <c r="E288" i="4"/>
  <c r="D290" i="4"/>
  <c r="C290" i="4"/>
  <c r="E211" i="4"/>
  <c r="B226" i="4"/>
  <c r="H386" i="5"/>
  <c r="B360" i="4"/>
  <c r="D198" i="4"/>
  <c r="E196" i="4"/>
  <c r="C198" i="4"/>
  <c r="I293" i="4"/>
  <c r="E81" i="4"/>
  <c r="E312" i="4"/>
  <c r="C314" i="4"/>
  <c r="D314" i="4"/>
  <c r="C227" i="4"/>
  <c r="E225" i="4"/>
  <c r="D227" i="4"/>
  <c r="I317" i="4"/>
  <c r="D105" i="4"/>
  <c r="E103" i="4"/>
  <c r="C105" i="4"/>
  <c r="C277" i="4"/>
  <c r="E276" i="4" s="1"/>
  <c r="E275" i="4"/>
  <c r="D277" i="4"/>
  <c r="I105" i="4"/>
  <c r="C127" i="4"/>
  <c r="D127" i="4"/>
  <c r="E125" i="4"/>
  <c r="I127" i="4"/>
  <c r="C394" i="4"/>
  <c r="E392" i="4"/>
  <c r="D394" i="4"/>
  <c r="I334" i="4"/>
  <c r="B33" i="4"/>
  <c r="H59" i="5"/>
  <c r="I30" i="4"/>
  <c r="E27" i="4"/>
  <c r="D29" i="4"/>
  <c r="C29" i="4"/>
  <c r="H422" i="5"/>
  <c r="B421" i="5" l="1"/>
  <c r="B361" i="5"/>
  <c r="D386" i="5"/>
  <c r="F386" i="5" s="1"/>
  <c r="E386" i="5"/>
  <c r="D362" i="5"/>
  <c r="F362" i="5" s="1"/>
  <c r="E362" i="5"/>
  <c r="D340" i="5"/>
  <c r="F340" i="5" s="1"/>
  <c r="E340" i="5"/>
  <c r="D59" i="5"/>
  <c r="F59" i="5" s="1"/>
  <c r="E59" i="5"/>
  <c r="D192" i="5"/>
  <c r="F192" i="5" s="1"/>
  <c r="E192" i="5"/>
  <c r="D318" i="5"/>
  <c r="F318" i="5" s="1"/>
  <c r="E318" i="5"/>
  <c r="D131" i="5"/>
  <c r="F131" i="5" s="1"/>
  <c r="E131" i="5"/>
  <c r="B385" i="5"/>
  <c r="J44" i="4"/>
  <c r="A73" i="7"/>
  <c r="B74" i="7"/>
  <c r="B436" i="7"/>
  <c r="J406" i="4"/>
  <c r="D422" i="5"/>
  <c r="F422" i="5" s="1"/>
  <c r="E422" i="5"/>
  <c r="B191" i="5"/>
  <c r="B167" i="7"/>
  <c r="J137" i="4"/>
  <c r="B251" i="5"/>
  <c r="L37" i="4"/>
  <c r="L135" i="4"/>
  <c r="D165" i="7"/>
  <c r="L234" i="4"/>
  <c r="D205" i="7"/>
  <c r="L175" i="4"/>
  <c r="D433" i="7"/>
  <c r="L404" i="4" s="1"/>
  <c r="H12" i="8"/>
  <c r="D67" i="7"/>
  <c r="L38" i="4" s="1"/>
  <c r="B207" i="7"/>
  <c r="J178" i="4" s="1"/>
  <c r="A206" i="7"/>
  <c r="H319" i="5"/>
  <c r="H341" i="5"/>
  <c r="B316" i="4"/>
  <c r="H132" i="5"/>
  <c r="B107" i="4"/>
  <c r="H252" i="5"/>
  <c r="B340" i="5"/>
  <c r="I318" i="4"/>
  <c r="I294" i="4"/>
  <c r="B294" i="4"/>
  <c r="E226" i="4"/>
  <c r="D228" i="4"/>
  <c r="C228" i="4"/>
  <c r="E227" i="4" s="1"/>
  <c r="B227" i="4"/>
  <c r="I227" i="4"/>
  <c r="H363" i="5"/>
  <c r="B337" i="4"/>
  <c r="C332" i="4"/>
  <c r="D332" i="4"/>
  <c r="E330" i="4"/>
  <c r="I357" i="4"/>
  <c r="I168" i="4"/>
  <c r="I335" i="4"/>
  <c r="E28" i="4"/>
  <c r="D30" i="4"/>
  <c r="C30" i="4"/>
  <c r="C395" i="4"/>
  <c r="E393" i="4"/>
  <c r="D395" i="4"/>
  <c r="I128" i="4"/>
  <c r="E354" i="4"/>
  <c r="D356" i="4"/>
  <c r="C356" i="4"/>
  <c r="E313" i="4"/>
  <c r="D315" i="4"/>
  <c r="C315" i="4"/>
  <c r="E289" i="4"/>
  <c r="C291" i="4"/>
  <c r="D291" i="4"/>
  <c r="I106" i="4"/>
  <c r="D106" i="4"/>
  <c r="E104" i="4"/>
  <c r="C106" i="4"/>
  <c r="H423" i="5"/>
  <c r="I31" i="4"/>
  <c r="B34" i="4"/>
  <c r="H60" i="5"/>
  <c r="C128" i="4"/>
  <c r="D128" i="4"/>
  <c r="E126" i="4"/>
  <c r="E197" i="4"/>
  <c r="H387" i="5"/>
  <c r="B361" i="4"/>
  <c r="D167" i="4"/>
  <c r="C167" i="4"/>
  <c r="E165" i="4"/>
  <c r="I396" i="4"/>
  <c r="C263" i="4"/>
  <c r="E261" i="4"/>
  <c r="D263" i="4"/>
  <c r="B167" i="4"/>
  <c r="H193" i="5"/>
  <c r="C249" i="4"/>
  <c r="E247" i="4"/>
  <c r="D249" i="4"/>
  <c r="B59" i="5" l="1"/>
  <c r="B437" i="7"/>
  <c r="J407" i="4"/>
  <c r="D319" i="5"/>
  <c r="F319" i="5" s="1"/>
  <c r="E319" i="5"/>
  <c r="D193" i="5"/>
  <c r="F193" i="5" s="1"/>
  <c r="E193" i="5"/>
  <c r="B386" i="5"/>
  <c r="B192" i="5"/>
  <c r="D132" i="5"/>
  <c r="F132" i="5" s="1"/>
  <c r="E132" i="5"/>
  <c r="B362" i="5"/>
  <c r="B168" i="7"/>
  <c r="J138" i="4"/>
  <c r="D387" i="5"/>
  <c r="F387" i="5" s="1"/>
  <c r="E387" i="5"/>
  <c r="D423" i="5"/>
  <c r="F423" i="5" s="1"/>
  <c r="E423" i="5"/>
  <c r="D363" i="5"/>
  <c r="F363" i="5" s="1"/>
  <c r="E363" i="5"/>
  <c r="B131" i="5"/>
  <c r="B422" i="5"/>
  <c r="D341" i="5"/>
  <c r="F341" i="5" s="1"/>
  <c r="E341" i="5"/>
  <c r="J45" i="4"/>
  <c r="A74" i="7"/>
  <c r="B75" i="7"/>
  <c r="D60" i="5"/>
  <c r="F60" i="5" s="1"/>
  <c r="E60" i="5"/>
  <c r="B318" i="5"/>
  <c r="D252" i="5"/>
  <c r="F252" i="5" s="1"/>
  <c r="E252" i="5"/>
  <c r="L235" i="4"/>
  <c r="I16" i="8"/>
  <c r="L176" i="4"/>
  <c r="D206" i="7"/>
  <c r="L136" i="4"/>
  <c r="D166" i="7"/>
  <c r="I4" i="8"/>
  <c r="D434" i="7"/>
  <c r="L405" i="4" s="1"/>
  <c r="D68" i="7"/>
  <c r="L39" i="4" s="1"/>
  <c r="B208" i="7"/>
  <c r="A207" i="7"/>
  <c r="B60" i="5"/>
  <c r="B423" i="5"/>
  <c r="H253" i="5"/>
  <c r="H133" i="5"/>
  <c r="B108" i="4"/>
  <c r="H342" i="5"/>
  <c r="B317" i="4"/>
  <c r="H320" i="5"/>
  <c r="B363" i="5"/>
  <c r="I295" i="4"/>
  <c r="B295" i="4"/>
  <c r="D229" i="4"/>
  <c r="C229" i="4"/>
  <c r="E228" i="4" s="1"/>
  <c r="B228" i="4"/>
  <c r="I228" i="4"/>
  <c r="I169" i="4"/>
  <c r="I358" i="4"/>
  <c r="E331" i="4"/>
  <c r="C333" i="4"/>
  <c r="D333" i="4"/>
  <c r="H364" i="5"/>
  <c r="B338" i="4"/>
  <c r="H388" i="5"/>
  <c r="B362" i="4"/>
  <c r="H424" i="5"/>
  <c r="B168" i="4"/>
  <c r="H194" i="5"/>
  <c r="B35" i="4"/>
  <c r="H61" i="5"/>
  <c r="E355" i="4"/>
  <c r="D357" i="4"/>
  <c r="C357" i="4"/>
  <c r="E262" i="4"/>
  <c r="D168" i="4"/>
  <c r="C168" i="4"/>
  <c r="E166" i="4"/>
  <c r="I32" i="4"/>
  <c r="D107" i="4"/>
  <c r="E105" i="4"/>
  <c r="C107" i="4"/>
  <c r="I107" i="4"/>
  <c r="E290" i="4"/>
  <c r="D292" i="4"/>
  <c r="C292" i="4"/>
  <c r="E314" i="4"/>
  <c r="C316" i="4"/>
  <c r="D316" i="4"/>
  <c r="I336" i="4"/>
  <c r="E248" i="4"/>
  <c r="I397" i="4"/>
  <c r="C129" i="4"/>
  <c r="E127" i="4"/>
  <c r="D129" i="4"/>
  <c r="I129" i="4"/>
  <c r="C396" i="4"/>
  <c r="E394" i="4"/>
  <c r="D396" i="4"/>
  <c r="D31" i="4"/>
  <c r="E29" i="4"/>
  <c r="C31" i="4"/>
  <c r="B193" i="5" l="1"/>
  <c r="B387" i="5"/>
  <c r="B132" i="5"/>
  <c r="D61" i="5"/>
  <c r="F61" i="5" s="1"/>
  <c r="E61" i="5"/>
  <c r="D364" i="5"/>
  <c r="F364" i="5" s="1"/>
  <c r="E364" i="5"/>
  <c r="D342" i="5"/>
  <c r="F342" i="5" s="1"/>
  <c r="E342" i="5"/>
  <c r="D194" i="5"/>
  <c r="F194" i="5" s="1"/>
  <c r="E194" i="5"/>
  <c r="D388" i="5"/>
  <c r="F388" i="5" s="1"/>
  <c r="E388" i="5"/>
  <c r="D320" i="5"/>
  <c r="F320" i="5" s="1"/>
  <c r="E320" i="5"/>
  <c r="D133" i="5"/>
  <c r="F133" i="5" s="1"/>
  <c r="E133" i="5"/>
  <c r="B169" i="7"/>
  <c r="J139" i="4"/>
  <c r="A208" i="7"/>
  <c r="J179" i="4"/>
  <c r="B319" i="5"/>
  <c r="J46" i="4"/>
  <c r="B76" i="7"/>
  <c r="A75" i="7"/>
  <c r="D424" i="5"/>
  <c r="F424" i="5" s="1"/>
  <c r="E424" i="5"/>
  <c r="B341" i="5"/>
  <c r="B438" i="7"/>
  <c r="J408" i="4"/>
  <c r="B252" i="5"/>
  <c r="D253" i="5"/>
  <c r="F253" i="5" s="1"/>
  <c r="E253" i="5"/>
  <c r="L137" i="4"/>
  <c r="D167" i="7"/>
  <c r="H143" i="7" s="1"/>
  <c r="L177" i="4"/>
  <c r="D207" i="7"/>
  <c r="D435" i="7"/>
  <c r="L406" i="4" s="1"/>
  <c r="D69" i="7"/>
  <c r="L40" i="4" s="1"/>
  <c r="H343" i="5"/>
  <c r="B318" i="4"/>
  <c r="H321" i="5"/>
  <c r="H134" i="5"/>
  <c r="B109" i="4"/>
  <c r="H254" i="5"/>
  <c r="I296" i="4"/>
  <c r="B296" i="4"/>
  <c r="B229" i="4"/>
  <c r="C230" i="4"/>
  <c r="E229" i="4" s="1"/>
  <c r="D230" i="4"/>
  <c r="I229" i="4"/>
  <c r="I359" i="4"/>
  <c r="H365" i="5"/>
  <c r="B339" i="4"/>
  <c r="E332" i="4"/>
  <c r="C334" i="4"/>
  <c r="D334" i="4"/>
  <c r="I170" i="4"/>
  <c r="H425" i="5"/>
  <c r="C397" i="4"/>
  <c r="E395" i="4"/>
  <c r="D397" i="4"/>
  <c r="I337" i="4"/>
  <c r="I108" i="4"/>
  <c r="I130" i="4"/>
  <c r="D108" i="4"/>
  <c r="C108" i="4"/>
  <c r="E106" i="4"/>
  <c r="C169" i="4"/>
  <c r="E167" i="4"/>
  <c r="D169" i="4"/>
  <c r="E291" i="4"/>
  <c r="C293" i="4"/>
  <c r="D293" i="4"/>
  <c r="E356" i="4"/>
  <c r="D358" i="4"/>
  <c r="C358" i="4"/>
  <c r="B169" i="4"/>
  <c r="H195" i="5"/>
  <c r="D32" i="4"/>
  <c r="E30" i="4"/>
  <c r="C32" i="4"/>
  <c r="D130" i="4"/>
  <c r="C130" i="4"/>
  <c r="E128" i="4"/>
  <c r="I398" i="4"/>
  <c r="E315" i="4"/>
  <c r="D317" i="4"/>
  <c r="C317" i="4"/>
  <c r="I33" i="4"/>
  <c r="B36" i="4"/>
  <c r="H62" i="5"/>
  <c r="H389" i="5"/>
  <c r="B363" i="4"/>
  <c r="B133" i="5" l="1"/>
  <c r="B320" i="5"/>
  <c r="B364" i="5"/>
  <c r="B424" i="5"/>
  <c r="B342" i="5"/>
  <c r="B61" i="5"/>
  <c r="B388" i="5"/>
  <c r="D365" i="5"/>
  <c r="F365" i="5" s="1"/>
  <c r="E365" i="5"/>
  <c r="D134" i="5"/>
  <c r="F134" i="5" s="1"/>
  <c r="E134" i="5"/>
  <c r="D343" i="5"/>
  <c r="F343" i="5" s="1"/>
  <c r="E343" i="5"/>
  <c r="B170" i="7"/>
  <c r="J140" i="4"/>
  <c r="D389" i="5"/>
  <c r="F389" i="5" s="1"/>
  <c r="E389" i="5"/>
  <c r="D62" i="5"/>
  <c r="F62" i="5" s="1"/>
  <c r="E62" i="5"/>
  <c r="D195" i="5"/>
  <c r="F195" i="5" s="1"/>
  <c r="E195" i="5"/>
  <c r="D425" i="5"/>
  <c r="F425" i="5" s="1"/>
  <c r="E425" i="5"/>
  <c r="D321" i="5"/>
  <c r="F321" i="5" s="1"/>
  <c r="E321" i="5"/>
  <c r="B439" i="7"/>
  <c r="J409" i="4"/>
  <c r="B194" i="5"/>
  <c r="J47" i="4"/>
  <c r="B77" i="7"/>
  <c r="A76" i="7"/>
  <c r="B253" i="5"/>
  <c r="D254" i="5"/>
  <c r="F254" i="5" s="1"/>
  <c r="E254" i="5"/>
  <c r="I7" i="8"/>
  <c r="L138" i="4"/>
  <c r="D168" i="7"/>
  <c r="L178" i="4"/>
  <c r="D208" i="7"/>
  <c r="D436" i="7"/>
  <c r="L407" i="4" s="1"/>
  <c r="D70" i="7"/>
  <c r="L41" i="4" s="1"/>
  <c r="B389" i="5"/>
  <c r="H135" i="5"/>
  <c r="B110" i="4"/>
  <c r="B231" i="4"/>
  <c r="H255" i="5"/>
  <c r="B365" i="5"/>
  <c r="H322" i="5"/>
  <c r="B343" i="5"/>
  <c r="E316" i="4"/>
  <c r="C318" i="4"/>
  <c r="E317" i="4" s="1"/>
  <c r="D318" i="4"/>
  <c r="E292" i="4"/>
  <c r="D294" i="4"/>
  <c r="C294" i="4"/>
  <c r="E293" i="4" s="1"/>
  <c r="I297" i="4"/>
  <c r="B297" i="4"/>
  <c r="D231" i="4"/>
  <c r="C231" i="4"/>
  <c r="I230" i="4"/>
  <c r="B230" i="4"/>
  <c r="C335" i="4"/>
  <c r="D335" i="4"/>
  <c r="E333" i="4"/>
  <c r="I171" i="4"/>
  <c r="I360" i="4"/>
  <c r="B340" i="4"/>
  <c r="H366" i="5"/>
  <c r="B37" i="4"/>
  <c r="H63" i="5"/>
  <c r="I109" i="4"/>
  <c r="B170" i="4"/>
  <c r="H196" i="5"/>
  <c r="C170" i="4"/>
  <c r="E168" i="4"/>
  <c r="D170" i="4"/>
  <c r="C398" i="4"/>
  <c r="E396" i="4"/>
  <c r="D398" i="4"/>
  <c r="C131" i="4"/>
  <c r="D131" i="4"/>
  <c r="E129" i="4"/>
  <c r="D33" i="4"/>
  <c r="E31" i="4"/>
  <c r="C33" i="4"/>
  <c r="E357" i="4"/>
  <c r="C359" i="4"/>
  <c r="D359" i="4"/>
  <c r="I131" i="4"/>
  <c r="I338" i="4"/>
  <c r="H390" i="5"/>
  <c r="B364" i="4"/>
  <c r="I34" i="4"/>
  <c r="I399" i="4"/>
  <c r="D109" i="4"/>
  <c r="E107" i="4"/>
  <c r="C109" i="4"/>
  <c r="B195" i="5" l="1"/>
  <c r="B321" i="5"/>
  <c r="B62" i="5"/>
  <c r="B171" i="7"/>
  <c r="J141" i="4"/>
  <c r="D196" i="5"/>
  <c r="F196" i="5" s="1"/>
  <c r="E196" i="5"/>
  <c r="D366" i="5"/>
  <c r="F366" i="5" s="1"/>
  <c r="E366" i="5"/>
  <c r="D390" i="5"/>
  <c r="F390" i="5" s="1"/>
  <c r="E390" i="5"/>
  <c r="J48" i="4"/>
  <c r="B78" i="7"/>
  <c r="A77" i="7"/>
  <c r="B134" i="5"/>
  <c r="D63" i="5"/>
  <c r="F63" i="5" s="1"/>
  <c r="E63" i="5"/>
  <c r="B440" i="7"/>
  <c r="J410" i="4"/>
  <c r="D322" i="5"/>
  <c r="F322" i="5" s="1"/>
  <c r="E322" i="5"/>
  <c r="B425" i="5"/>
  <c r="D135" i="5"/>
  <c r="F135" i="5" s="1"/>
  <c r="E135" i="5"/>
  <c r="B254" i="5"/>
  <c r="D255" i="5"/>
  <c r="F255" i="5" s="1"/>
  <c r="E255" i="5"/>
  <c r="H11" i="8"/>
  <c r="H26" i="8" s="1"/>
  <c r="L139" i="4"/>
  <c r="D169" i="7"/>
  <c r="L179" i="4"/>
  <c r="D209" i="7"/>
  <c r="I183" i="7"/>
  <c r="I12" i="8" s="1"/>
  <c r="H427" i="5"/>
  <c r="D437" i="7"/>
  <c r="L408" i="4" s="1"/>
  <c r="D71" i="7"/>
  <c r="L42" i="4" s="1"/>
  <c r="B322" i="5"/>
  <c r="B390" i="5"/>
  <c r="H323" i="5"/>
  <c r="H256" i="5"/>
  <c r="H426" i="5"/>
  <c r="B196" i="5"/>
  <c r="H136" i="5"/>
  <c r="B111" i="4"/>
  <c r="I298" i="4"/>
  <c r="B298" i="4"/>
  <c r="D295" i="4"/>
  <c r="C295" i="4"/>
  <c r="E294" i="4" s="1"/>
  <c r="D232" i="4"/>
  <c r="C232" i="4"/>
  <c r="E231" i="4" s="1"/>
  <c r="E230" i="4"/>
  <c r="I231" i="4"/>
  <c r="I172" i="4"/>
  <c r="I361" i="4"/>
  <c r="B341" i="4"/>
  <c r="D336" i="4"/>
  <c r="E334" i="4"/>
  <c r="C336" i="4"/>
  <c r="I35" i="4"/>
  <c r="B365" i="4"/>
  <c r="C132" i="4"/>
  <c r="D132" i="4"/>
  <c r="E130" i="4"/>
  <c r="B171" i="4"/>
  <c r="H197" i="5"/>
  <c r="I110" i="4"/>
  <c r="I132" i="4"/>
  <c r="D171" i="4"/>
  <c r="C171" i="4"/>
  <c r="E169" i="4"/>
  <c r="D110" i="4"/>
  <c r="E108" i="4"/>
  <c r="C110" i="4"/>
  <c r="I400" i="4"/>
  <c r="C399" i="4"/>
  <c r="E397" i="4"/>
  <c r="D399" i="4"/>
  <c r="B38" i="4"/>
  <c r="H64" i="5"/>
  <c r="I339" i="4"/>
  <c r="E358" i="4"/>
  <c r="D360" i="4"/>
  <c r="C360" i="4"/>
  <c r="D34" i="4"/>
  <c r="C34" i="4"/>
  <c r="E32" i="4"/>
  <c r="B366" i="5" l="1"/>
  <c r="B63" i="5"/>
  <c r="D64" i="5"/>
  <c r="F64" i="5" s="1"/>
  <c r="E64" i="5"/>
  <c r="D197" i="5"/>
  <c r="F197" i="5" s="1"/>
  <c r="E197" i="5"/>
  <c r="D136" i="5"/>
  <c r="F136" i="5" s="1"/>
  <c r="E136" i="5"/>
  <c r="D427" i="5"/>
  <c r="F427" i="5" s="1"/>
  <c r="E427" i="5"/>
  <c r="B135" i="5"/>
  <c r="D323" i="5"/>
  <c r="F323" i="5" s="1"/>
  <c r="E323" i="5"/>
  <c r="B441" i="7"/>
  <c r="J411" i="4"/>
  <c r="J49" i="4"/>
  <c r="B79" i="7"/>
  <c r="A78" i="7"/>
  <c r="D426" i="5"/>
  <c r="F426" i="5" s="1"/>
  <c r="E426" i="5"/>
  <c r="B172" i="7"/>
  <c r="J142" i="4"/>
  <c r="B255" i="5"/>
  <c r="D256" i="5"/>
  <c r="F256" i="5" s="1"/>
  <c r="E256" i="5"/>
  <c r="L180" i="4"/>
  <c r="D210" i="7"/>
  <c r="L140" i="4"/>
  <c r="D170" i="7"/>
  <c r="H428" i="5"/>
  <c r="D438" i="7"/>
  <c r="D72" i="7"/>
  <c r="L43" i="4" s="1"/>
  <c r="B342" i="4"/>
  <c r="H367" i="5"/>
  <c r="H324" i="5"/>
  <c r="H137" i="5"/>
  <c r="B112" i="4"/>
  <c r="B366" i="4"/>
  <c r="H391" i="5"/>
  <c r="H257" i="5"/>
  <c r="E257" i="5" s="1"/>
  <c r="B232" i="4"/>
  <c r="B299" i="4"/>
  <c r="D296" i="4"/>
  <c r="C296" i="4"/>
  <c r="E295" i="4" s="1"/>
  <c r="I299" i="4"/>
  <c r="C233" i="4"/>
  <c r="E232" i="4" s="1"/>
  <c r="D233" i="4"/>
  <c r="I232" i="4"/>
  <c r="I362" i="4"/>
  <c r="E335" i="4"/>
  <c r="C337" i="4"/>
  <c r="D337" i="4"/>
  <c r="I173" i="4"/>
  <c r="I340" i="4"/>
  <c r="B39" i="4"/>
  <c r="H65" i="5"/>
  <c r="D172" i="4"/>
  <c r="C172" i="4"/>
  <c r="E170" i="4"/>
  <c r="D111" i="4"/>
  <c r="C111" i="4"/>
  <c r="E109" i="4"/>
  <c r="D35" i="4"/>
  <c r="C35" i="4"/>
  <c r="E33" i="4"/>
  <c r="C400" i="4"/>
  <c r="E398" i="4"/>
  <c r="D400" i="4"/>
  <c r="I133" i="4"/>
  <c r="B172" i="4"/>
  <c r="H198" i="5"/>
  <c r="C133" i="4"/>
  <c r="E131" i="4"/>
  <c r="D133" i="4"/>
  <c r="I36" i="4"/>
  <c r="E359" i="4"/>
  <c r="D361" i="4"/>
  <c r="C361" i="4"/>
  <c r="I401" i="4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111" i="4"/>
  <c r="B136" i="5" l="1"/>
  <c r="B426" i="5"/>
  <c r="B427" i="5"/>
  <c r="B197" i="5"/>
  <c r="D137" i="5"/>
  <c r="F137" i="5" s="1"/>
  <c r="E137" i="5"/>
  <c r="D391" i="5"/>
  <c r="F391" i="5" s="1"/>
  <c r="E391" i="5"/>
  <c r="B64" i="5"/>
  <c r="B323" i="5"/>
  <c r="D428" i="5"/>
  <c r="B428" i="5" s="1"/>
  <c r="E428" i="5"/>
  <c r="B442" i="7"/>
  <c r="J412" i="4"/>
  <c r="D65" i="5"/>
  <c r="F65" i="5" s="1"/>
  <c r="E65" i="5"/>
  <c r="D324" i="5"/>
  <c r="F324" i="5" s="1"/>
  <c r="E324" i="5"/>
  <c r="B173" i="7"/>
  <c r="J143" i="4"/>
  <c r="J50" i="4"/>
  <c r="B80" i="7"/>
  <c r="A79" i="7"/>
  <c r="D367" i="5"/>
  <c r="F367" i="5" s="1"/>
  <c r="E367" i="5"/>
  <c r="D198" i="5"/>
  <c r="F198" i="5" s="1"/>
  <c r="E198" i="5"/>
  <c r="B256" i="5"/>
  <c r="D257" i="5"/>
  <c r="F257" i="5" s="1"/>
  <c r="L409" i="4"/>
  <c r="I410" i="7"/>
  <c r="L181" i="4"/>
  <c r="D211" i="7"/>
  <c r="L141" i="4"/>
  <c r="D171" i="7"/>
  <c r="H429" i="5"/>
  <c r="D439" i="7"/>
  <c r="L410" i="4" s="1"/>
  <c r="D73" i="7"/>
  <c r="L44" i="4" s="1"/>
  <c r="B324" i="5"/>
  <c r="B113" i="4"/>
  <c r="H138" i="5"/>
  <c r="H325" i="5"/>
  <c r="B367" i="5"/>
  <c r="H258" i="5"/>
  <c r="B233" i="4"/>
  <c r="D297" i="4"/>
  <c r="C297" i="4"/>
  <c r="E296" i="4" s="1"/>
  <c r="I300" i="4"/>
  <c r="I301" i="4" s="1"/>
  <c r="B300" i="4"/>
  <c r="I233" i="4"/>
  <c r="D234" i="4"/>
  <c r="C234" i="4"/>
  <c r="E233" i="4" s="1"/>
  <c r="I174" i="4"/>
  <c r="D338" i="4"/>
  <c r="E336" i="4"/>
  <c r="C338" i="4"/>
  <c r="I363" i="4"/>
  <c r="C401" i="4"/>
  <c r="E399" i="4"/>
  <c r="D401" i="4"/>
  <c r="D36" i="4"/>
  <c r="C36" i="4"/>
  <c r="E34" i="4"/>
  <c r="D112" i="4"/>
  <c r="C112" i="4"/>
  <c r="E110" i="4"/>
  <c r="E360" i="4"/>
  <c r="C362" i="4"/>
  <c r="D362" i="4"/>
  <c r="B40" i="4"/>
  <c r="H66" i="5"/>
  <c r="I112" i="4"/>
  <c r="I37" i="4"/>
  <c r="D134" i="4"/>
  <c r="E132" i="4"/>
  <c r="C134" i="4"/>
  <c r="I134" i="4"/>
  <c r="B173" i="4"/>
  <c r="H199" i="5"/>
  <c r="C173" i="4"/>
  <c r="E171" i="4"/>
  <c r="D173" i="4"/>
  <c r="I341" i="4"/>
  <c r="B137" i="5" l="1"/>
  <c r="B391" i="5"/>
  <c r="B198" i="5"/>
  <c r="F428" i="5"/>
  <c r="B65" i="5"/>
  <c r="D325" i="5"/>
  <c r="F325" i="5" s="1"/>
  <c r="E325" i="5"/>
  <c r="D429" i="5"/>
  <c r="F429" i="5" s="1"/>
  <c r="E429" i="5"/>
  <c r="J51" i="4"/>
  <c r="A80" i="7"/>
  <c r="B81" i="7"/>
  <c r="D199" i="5"/>
  <c r="F199" i="5" s="1"/>
  <c r="E199" i="5"/>
  <c r="D66" i="5"/>
  <c r="F66" i="5" s="1"/>
  <c r="E66" i="5"/>
  <c r="D138" i="5"/>
  <c r="F138" i="5" s="1"/>
  <c r="E138" i="5"/>
  <c r="B174" i="7"/>
  <c r="J144" i="4"/>
  <c r="B443" i="7"/>
  <c r="J413" i="4"/>
  <c r="D258" i="5"/>
  <c r="F258" i="5" s="1"/>
  <c r="E258" i="5"/>
  <c r="B257" i="5"/>
  <c r="L182" i="4"/>
  <c r="D212" i="7"/>
  <c r="L142" i="4"/>
  <c r="D172" i="7"/>
  <c r="I25" i="8"/>
  <c r="L3" i="7"/>
  <c r="H430" i="5"/>
  <c r="D440" i="7"/>
  <c r="L411" i="4" s="1"/>
  <c r="D74" i="7"/>
  <c r="L45" i="4" s="1"/>
  <c r="E400" i="4"/>
  <c r="D402" i="4"/>
  <c r="C402" i="4"/>
  <c r="E401" i="4" s="1"/>
  <c r="H259" i="5"/>
  <c r="B234" i="4"/>
  <c r="B301" i="4"/>
  <c r="H326" i="5"/>
  <c r="B66" i="5"/>
  <c r="B325" i="5"/>
  <c r="D298" i="4"/>
  <c r="C298" i="4"/>
  <c r="E297" i="4" s="1"/>
  <c r="C235" i="4"/>
  <c r="E234" i="4" s="1"/>
  <c r="D235" i="4"/>
  <c r="I234" i="4"/>
  <c r="C339" i="4"/>
  <c r="E337" i="4"/>
  <c r="D339" i="4"/>
  <c r="I175" i="4"/>
  <c r="I364" i="4"/>
  <c r="D37" i="4"/>
  <c r="C37" i="4"/>
  <c r="E35" i="4"/>
  <c r="I135" i="4"/>
  <c r="I38" i="4"/>
  <c r="B41" i="4"/>
  <c r="H67" i="5"/>
  <c r="D135" i="4"/>
  <c r="E133" i="4"/>
  <c r="C135" i="4"/>
  <c r="I342" i="4"/>
  <c r="C174" i="4"/>
  <c r="E172" i="4"/>
  <c r="D174" i="4"/>
  <c r="B174" i="4"/>
  <c r="H200" i="5"/>
  <c r="I113" i="4"/>
  <c r="E361" i="4"/>
  <c r="C363" i="4"/>
  <c r="D363" i="4"/>
  <c r="D113" i="4"/>
  <c r="E111" i="4"/>
  <c r="C113" i="4"/>
  <c r="E112" i="4" s="1"/>
  <c r="B429" i="5" l="1"/>
  <c r="B199" i="5"/>
  <c r="B138" i="5"/>
  <c r="D67" i="5"/>
  <c r="F67" i="5" s="1"/>
  <c r="E67" i="5"/>
  <c r="D326" i="5"/>
  <c r="F326" i="5" s="1"/>
  <c r="E326" i="5"/>
  <c r="B444" i="7"/>
  <c r="J414" i="4"/>
  <c r="B175" i="7"/>
  <c r="J145" i="4"/>
  <c r="D430" i="5"/>
  <c r="F430" i="5" s="1"/>
  <c r="E430" i="5"/>
  <c r="J52" i="4"/>
  <c r="A81" i="7"/>
  <c r="B82" i="7"/>
  <c r="D200" i="5"/>
  <c r="F200" i="5" s="1"/>
  <c r="E200" i="5"/>
  <c r="B258" i="5"/>
  <c r="D259" i="5"/>
  <c r="F259" i="5" s="1"/>
  <c r="E259" i="5"/>
  <c r="L143" i="4"/>
  <c r="D173" i="7"/>
  <c r="L183" i="4"/>
  <c r="D213" i="7"/>
  <c r="L184" i="4" s="1"/>
  <c r="H431" i="5"/>
  <c r="D441" i="7"/>
  <c r="L412" i="4" s="1"/>
  <c r="D75" i="7"/>
  <c r="L46" i="4" s="1"/>
  <c r="D403" i="4"/>
  <c r="C403" i="4"/>
  <c r="E402" i="4" s="1"/>
  <c r="B67" i="5"/>
  <c r="B235" i="4"/>
  <c r="H260" i="5"/>
  <c r="D299" i="4"/>
  <c r="C299" i="4"/>
  <c r="E298" i="4" s="1"/>
  <c r="I235" i="4"/>
  <c r="I365" i="4"/>
  <c r="I176" i="4"/>
  <c r="D340" i="4"/>
  <c r="C340" i="4"/>
  <c r="E338" i="4"/>
  <c r="I39" i="4"/>
  <c r="D136" i="4"/>
  <c r="E134" i="4"/>
  <c r="C136" i="4"/>
  <c r="E362" i="4"/>
  <c r="D364" i="4"/>
  <c r="C364" i="4"/>
  <c r="B175" i="4"/>
  <c r="H201" i="5"/>
  <c r="D175" i="4"/>
  <c r="C175" i="4"/>
  <c r="E173" i="4"/>
  <c r="B42" i="4"/>
  <c r="H68" i="5"/>
  <c r="I136" i="4"/>
  <c r="D38" i="4"/>
  <c r="C38" i="4"/>
  <c r="E36" i="4"/>
  <c r="B200" i="5" l="1"/>
  <c r="B326" i="5"/>
  <c r="D431" i="5"/>
  <c r="B431" i="5" s="1"/>
  <c r="E431" i="5"/>
  <c r="J53" i="4"/>
  <c r="A82" i="7"/>
  <c r="B83" i="7"/>
  <c r="B445" i="7"/>
  <c r="J415" i="4"/>
  <c r="B430" i="5"/>
  <c r="D68" i="5"/>
  <c r="F68" i="5" s="1"/>
  <c r="E68" i="5"/>
  <c r="D201" i="5"/>
  <c r="F201" i="5" s="1"/>
  <c r="E201" i="5"/>
  <c r="B176" i="7"/>
  <c r="J146" i="4"/>
  <c r="B259" i="5"/>
  <c r="D260" i="5"/>
  <c r="F260" i="5" s="1"/>
  <c r="E260" i="5"/>
  <c r="L144" i="4"/>
  <c r="D174" i="7"/>
  <c r="H432" i="5"/>
  <c r="F431" i="5"/>
  <c r="D442" i="7"/>
  <c r="L413" i="4" s="1"/>
  <c r="D76" i="7"/>
  <c r="L47" i="4" s="1"/>
  <c r="D404" i="4"/>
  <c r="C404" i="4"/>
  <c r="E403" i="4" s="1"/>
  <c r="B201" i="5"/>
  <c r="D300" i="4"/>
  <c r="C300" i="4"/>
  <c r="E339" i="4"/>
  <c r="D341" i="4"/>
  <c r="C341" i="4"/>
  <c r="I366" i="4"/>
  <c r="I177" i="4"/>
  <c r="I137" i="4"/>
  <c r="D176" i="4"/>
  <c r="C176" i="4"/>
  <c r="E174" i="4"/>
  <c r="E363" i="4"/>
  <c r="D365" i="4"/>
  <c r="C365" i="4"/>
  <c r="E37" i="4"/>
  <c r="D39" i="4"/>
  <c r="C39" i="4"/>
  <c r="B43" i="4"/>
  <c r="H69" i="5"/>
  <c r="B176" i="4"/>
  <c r="H202" i="5"/>
  <c r="I40" i="4"/>
  <c r="C137" i="4"/>
  <c r="E135" i="4"/>
  <c r="D137" i="4"/>
  <c r="D69" i="5" l="1"/>
  <c r="F69" i="5" s="1"/>
  <c r="E69" i="5"/>
  <c r="D432" i="5"/>
  <c r="F432" i="5" s="1"/>
  <c r="E432" i="5"/>
  <c r="B177" i="7"/>
  <c r="J147" i="4"/>
  <c r="J54" i="4"/>
  <c r="B84" i="7"/>
  <c r="A83" i="7"/>
  <c r="D202" i="5"/>
  <c r="F202" i="5" s="1"/>
  <c r="E202" i="5"/>
  <c r="B68" i="5"/>
  <c r="B446" i="7"/>
  <c r="J416" i="4"/>
  <c r="B260" i="5"/>
  <c r="L145" i="4"/>
  <c r="D175" i="7"/>
  <c r="H433" i="5"/>
  <c r="D443" i="7"/>
  <c r="L414" i="4" s="1"/>
  <c r="D77" i="7"/>
  <c r="L48" i="4" s="1"/>
  <c r="D405" i="4"/>
  <c r="C405" i="4"/>
  <c r="E404" i="4" s="1"/>
  <c r="C301" i="4"/>
  <c r="E300" i="4" s="1"/>
  <c r="E299" i="4"/>
  <c r="D301" i="4"/>
  <c r="I178" i="4"/>
  <c r="E340" i="4"/>
  <c r="C342" i="4"/>
  <c r="E341" i="4" s="1"/>
  <c r="D342" i="4"/>
  <c r="B44" i="4"/>
  <c r="H70" i="5"/>
  <c r="E364" i="4"/>
  <c r="C366" i="4"/>
  <c r="E365" i="4" s="1"/>
  <c r="D366" i="4"/>
  <c r="D138" i="4"/>
  <c r="E136" i="4"/>
  <c r="C138" i="4"/>
  <c r="I41" i="4"/>
  <c r="C177" i="4"/>
  <c r="E175" i="4"/>
  <c r="D177" i="4"/>
  <c r="B177" i="4"/>
  <c r="H203" i="5"/>
  <c r="E38" i="4"/>
  <c r="D40" i="4"/>
  <c r="C40" i="4"/>
  <c r="I138" i="4"/>
  <c r="B202" i="5" l="1"/>
  <c r="B432" i="5"/>
  <c r="B69" i="5"/>
  <c r="D203" i="5"/>
  <c r="F203" i="5" s="1"/>
  <c r="E203" i="5"/>
  <c r="D70" i="5"/>
  <c r="F70" i="5" s="1"/>
  <c r="E70" i="5"/>
  <c r="B447" i="7"/>
  <c r="J417" i="4"/>
  <c r="B178" i="7"/>
  <c r="J148" i="4"/>
  <c r="D433" i="5"/>
  <c r="B433" i="5" s="1"/>
  <c r="E433" i="5"/>
  <c r="J55" i="4"/>
  <c r="A84" i="7"/>
  <c r="B85" i="7"/>
  <c r="L146" i="4"/>
  <c r="D176" i="7"/>
  <c r="H434" i="5"/>
  <c r="D444" i="7"/>
  <c r="L415" i="4" s="1"/>
  <c r="D78" i="7"/>
  <c r="L49" i="4" s="1"/>
  <c r="D406" i="4"/>
  <c r="C406" i="4"/>
  <c r="E405" i="4" s="1"/>
  <c r="I179" i="4"/>
  <c r="E39" i="4"/>
  <c r="D41" i="4"/>
  <c r="C41" i="4"/>
  <c r="I42" i="4"/>
  <c r="D139" i="4"/>
  <c r="E137" i="4"/>
  <c r="C139" i="4"/>
  <c r="B45" i="4"/>
  <c r="H71" i="5"/>
  <c r="I139" i="4"/>
  <c r="B178" i="4"/>
  <c r="C178" i="4"/>
  <c r="E176" i="4"/>
  <c r="D178" i="4"/>
  <c r="F433" i="5" l="1"/>
  <c r="B179" i="7"/>
  <c r="J149" i="4"/>
  <c r="D434" i="5"/>
  <c r="F434" i="5" s="1"/>
  <c r="E434" i="5"/>
  <c r="B70" i="5"/>
  <c r="J56" i="4"/>
  <c r="B86" i="7"/>
  <c r="A85" i="7"/>
  <c r="B448" i="7"/>
  <c r="J419" i="4" s="1"/>
  <c r="J418" i="4"/>
  <c r="D71" i="5"/>
  <c r="F71" i="5" s="1"/>
  <c r="E71" i="5"/>
  <c r="B203" i="5"/>
  <c r="L147" i="4"/>
  <c r="D177" i="7"/>
  <c r="H435" i="5"/>
  <c r="D445" i="7"/>
  <c r="L416" i="4" s="1"/>
  <c r="D79" i="7"/>
  <c r="L50" i="4" s="1"/>
  <c r="B179" i="4"/>
  <c r="H204" i="5"/>
  <c r="B71" i="5"/>
  <c r="C407" i="4"/>
  <c r="E406" i="4" s="1"/>
  <c r="D407" i="4"/>
  <c r="I180" i="4"/>
  <c r="B46" i="4"/>
  <c r="H72" i="5"/>
  <c r="D140" i="4"/>
  <c r="E138" i="4"/>
  <c r="C140" i="4"/>
  <c r="E40" i="4"/>
  <c r="D42" i="4"/>
  <c r="C42" i="4"/>
  <c r="D179" i="4"/>
  <c r="C179" i="4"/>
  <c r="E177" i="4"/>
  <c r="I140" i="4"/>
  <c r="I43" i="4"/>
  <c r="B434" i="5" l="1"/>
  <c r="B180" i="7"/>
  <c r="J150" i="4"/>
  <c r="D204" i="5"/>
  <c r="F204" i="5" s="1"/>
  <c r="E204" i="5"/>
  <c r="D435" i="5"/>
  <c r="B435" i="5" s="1"/>
  <c r="E435" i="5"/>
  <c r="D72" i="5"/>
  <c r="F72" i="5" s="1"/>
  <c r="E72" i="5"/>
  <c r="J57" i="4"/>
  <c r="B87" i="7"/>
  <c r="A86" i="7"/>
  <c r="L148" i="4"/>
  <c r="D178" i="7"/>
  <c r="F435" i="5"/>
  <c r="H436" i="5"/>
  <c r="D446" i="7"/>
  <c r="L417" i="4" s="1"/>
  <c r="D80" i="7"/>
  <c r="L51" i="4" s="1"/>
  <c r="D408" i="4"/>
  <c r="C408" i="4"/>
  <c r="E407" i="4" s="1"/>
  <c r="I181" i="4"/>
  <c r="E178" i="4"/>
  <c r="D180" i="4"/>
  <c r="C180" i="4"/>
  <c r="D43" i="4"/>
  <c r="C43" i="4"/>
  <c r="E41" i="4"/>
  <c r="I44" i="4"/>
  <c r="I141" i="4"/>
  <c r="C141" i="4"/>
  <c r="E139" i="4"/>
  <c r="D141" i="4"/>
  <c r="B47" i="4"/>
  <c r="H73" i="5"/>
  <c r="B204" i="5" l="1"/>
  <c r="B72" i="5"/>
  <c r="B181" i="7"/>
  <c r="J151" i="4"/>
  <c r="D73" i="5"/>
  <c r="F73" i="5" s="1"/>
  <c r="E73" i="5"/>
  <c r="D436" i="5"/>
  <c r="F436" i="5" s="1"/>
  <c r="E436" i="5"/>
  <c r="J58" i="4"/>
  <c r="B88" i="7"/>
  <c r="A87" i="7"/>
  <c r="L149" i="4"/>
  <c r="D179" i="7"/>
  <c r="H437" i="5"/>
  <c r="D447" i="7"/>
  <c r="L418" i="4" s="1"/>
  <c r="D81" i="7"/>
  <c r="L52" i="4" s="1"/>
  <c r="B73" i="5"/>
  <c r="D409" i="4"/>
  <c r="C409" i="4"/>
  <c r="E408" i="4" s="1"/>
  <c r="I182" i="4"/>
  <c r="D181" i="4"/>
  <c r="E179" i="4"/>
  <c r="C181" i="4"/>
  <c r="I142" i="4"/>
  <c r="D44" i="4"/>
  <c r="C44" i="4"/>
  <c r="E42" i="4"/>
  <c r="B48" i="4"/>
  <c r="H74" i="5"/>
  <c r="D142" i="4"/>
  <c r="C142" i="4"/>
  <c r="E140" i="4"/>
  <c r="I45" i="4"/>
  <c r="B436" i="5" l="1"/>
  <c r="B182" i="7"/>
  <c r="J153" i="4" s="1"/>
  <c r="J152" i="4"/>
  <c r="D437" i="5"/>
  <c r="F437" i="5" s="1"/>
  <c r="E437" i="5"/>
  <c r="A88" i="7"/>
  <c r="J59" i="4"/>
  <c r="D74" i="5"/>
  <c r="F74" i="5" s="1"/>
  <c r="E74" i="5"/>
  <c r="L150" i="4"/>
  <c r="D180" i="7"/>
  <c r="B437" i="5"/>
  <c r="H438" i="5"/>
  <c r="D448" i="7"/>
  <c r="L419" i="4" s="1"/>
  <c r="D82" i="7"/>
  <c r="L53" i="4" s="1"/>
  <c r="D410" i="4"/>
  <c r="C410" i="4"/>
  <c r="E409" i="4" s="1"/>
  <c r="I183" i="4"/>
  <c r="D182" i="4"/>
  <c r="C182" i="4"/>
  <c r="E180" i="4"/>
  <c r="E43" i="4"/>
  <c r="D45" i="4"/>
  <c r="C45" i="4"/>
  <c r="B49" i="4"/>
  <c r="H75" i="5"/>
  <c r="C143" i="4"/>
  <c r="D143" i="4"/>
  <c r="E141" i="4"/>
  <c r="I46" i="4"/>
  <c r="I143" i="4"/>
  <c r="B74" i="5" l="1"/>
  <c r="D438" i="5"/>
  <c r="F438" i="5" s="1"/>
  <c r="E438" i="5"/>
  <c r="D75" i="5"/>
  <c r="F75" i="5" s="1"/>
  <c r="E75" i="5"/>
  <c r="L151" i="4"/>
  <c r="D181" i="7"/>
  <c r="H439" i="5"/>
  <c r="D83" i="7"/>
  <c r="L54" i="4" s="1"/>
  <c r="C411" i="4"/>
  <c r="E410" i="4" s="1"/>
  <c r="D411" i="4"/>
  <c r="D183" i="4"/>
  <c r="E181" i="4"/>
  <c r="C183" i="4"/>
  <c r="I184" i="4"/>
  <c r="I144" i="4"/>
  <c r="I47" i="4"/>
  <c r="C144" i="4"/>
  <c r="D144" i="4"/>
  <c r="E142" i="4"/>
  <c r="B50" i="4"/>
  <c r="H76" i="5"/>
  <c r="E44" i="4"/>
  <c r="D46" i="4"/>
  <c r="C46" i="4"/>
  <c r="B438" i="5" l="1"/>
  <c r="B75" i="5"/>
  <c r="D76" i="5"/>
  <c r="F76" i="5" s="1"/>
  <c r="E76" i="5"/>
  <c r="D439" i="5"/>
  <c r="B439" i="5" s="1"/>
  <c r="E439" i="5"/>
  <c r="L152" i="4"/>
  <c r="D182" i="7"/>
  <c r="F439" i="5"/>
  <c r="H440" i="5"/>
  <c r="I27" i="8"/>
  <c r="D84" i="7"/>
  <c r="L55" i="4" s="1"/>
  <c r="C412" i="4"/>
  <c r="E411" i="4" s="1"/>
  <c r="D412" i="4"/>
  <c r="C184" i="4"/>
  <c r="E183" i="4" s="1"/>
  <c r="E182" i="4"/>
  <c r="D184" i="4"/>
  <c r="B51" i="4"/>
  <c r="H77" i="5"/>
  <c r="C145" i="4"/>
  <c r="E143" i="4"/>
  <c r="D145" i="4"/>
  <c r="I145" i="4"/>
  <c r="I48" i="4"/>
  <c r="E45" i="4"/>
  <c r="D47" i="4"/>
  <c r="C47" i="4"/>
  <c r="B76" i="5" l="1"/>
  <c r="D440" i="5"/>
  <c r="F440" i="5" s="1"/>
  <c r="E440" i="5"/>
  <c r="D77" i="5"/>
  <c r="F77" i="5" s="1"/>
  <c r="E77" i="5"/>
  <c r="L153" i="4"/>
  <c r="I143" i="7"/>
  <c r="K3" i="7" s="1"/>
  <c r="H441" i="5"/>
  <c r="D85" i="7"/>
  <c r="L56" i="4" s="1"/>
  <c r="B77" i="5"/>
  <c r="C413" i="4"/>
  <c r="E412" i="4" s="1"/>
  <c r="D413" i="4"/>
  <c r="I49" i="4"/>
  <c r="I146" i="4"/>
  <c r="D146" i="4"/>
  <c r="C146" i="4"/>
  <c r="E144" i="4"/>
  <c r="D48" i="4"/>
  <c r="C48" i="4"/>
  <c r="E46" i="4"/>
  <c r="B52" i="4"/>
  <c r="H78" i="5"/>
  <c r="B440" i="5" l="1"/>
  <c r="D78" i="5"/>
  <c r="F78" i="5" s="1"/>
  <c r="E78" i="5"/>
  <c r="D441" i="5"/>
  <c r="E441" i="5"/>
  <c r="I11" i="8"/>
  <c r="I26" i="8" s="1"/>
  <c r="F441" i="5"/>
  <c r="B441" i="5"/>
  <c r="H442" i="5"/>
  <c r="D86" i="7"/>
  <c r="L57" i="4" s="1"/>
  <c r="D414" i="4"/>
  <c r="C414" i="4"/>
  <c r="E413" i="4" s="1"/>
  <c r="B53" i="4"/>
  <c r="H79" i="5"/>
  <c r="C147" i="4"/>
  <c r="D147" i="4"/>
  <c r="E145" i="4"/>
  <c r="I147" i="4"/>
  <c r="I50" i="4"/>
  <c r="D49" i="4"/>
  <c r="C49" i="4"/>
  <c r="E47" i="4"/>
  <c r="D442" i="5" l="1"/>
  <c r="F442" i="5" s="1"/>
  <c r="E442" i="5"/>
  <c r="D79" i="5"/>
  <c r="F79" i="5" s="1"/>
  <c r="E79" i="5"/>
  <c r="B78" i="5"/>
  <c r="H444" i="5"/>
  <c r="H443" i="5"/>
  <c r="D87" i="7"/>
  <c r="L58" i="4" s="1"/>
  <c r="C415" i="4"/>
  <c r="E414" i="4" s="1"/>
  <c r="D415" i="4"/>
  <c r="I51" i="4"/>
  <c r="I148" i="4"/>
  <c r="C148" i="4"/>
  <c r="D148" i="4"/>
  <c r="E146" i="4"/>
  <c r="E48" i="4"/>
  <c r="D50" i="4"/>
  <c r="C50" i="4"/>
  <c r="B54" i="4"/>
  <c r="H80" i="5"/>
  <c r="B442" i="5" l="1"/>
  <c r="B79" i="5"/>
  <c r="D443" i="5"/>
  <c r="F443" i="5" s="1"/>
  <c r="E443" i="5"/>
  <c r="D444" i="5"/>
  <c r="B444" i="5" s="1"/>
  <c r="E444" i="5"/>
  <c r="D80" i="5"/>
  <c r="F80" i="5" s="1"/>
  <c r="E80" i="5"/>
  <c r="F444" i="5"/>
  <c r="D88" i="7"/>
  <c r="L59" i="4" s="1"/>
  <c r="D416" i="4"/>
  <c r="C416" i="4"/>
  <c r="E415" i="4" s="1"/>
  <c r="B55" i="4"/>
  <c r="H81" i="5"/>
  <c r="C149" i="4"/>
  <c r="E147" i="4"/>
  <c r="D149" i="4"/>
  <c r="I149" i="4"/>
  <c r="E49" i="4"/>
  <c r="D51" i="4"/>
  <c r="C51" i="4"/>
  <c r="I52" i="4"/>
  <c r="B80" i="5" l="1"/>
  <c r="B443" i="5"/>
  <c r="D81" i="5"/>
  <c r="F81" i="5" s="1"/>
  <c r="E81" i="5"/>
  <c r="C417" i="4"/>
  <c r="E416" i="4" s="1"/>
  <c r="D417" i="4"/>
  <c r="I53" i="4"/>
  <c r="E50" i="4"/>
  <c r="D52" i="4"/>
  <c r="C52" i="4"/>
  <c r="D150" i="4"/>
  <c r="E148" i="4"/>
  <c r="C150" i="4"/>
  <c r="I150" i="4"/>
  <c r="H82" i="5"/>
  <c r="B56" i="4"/>
  <c r="B81" i="5" l="1"/>
  <c r="D82" i="5"/>
  <c r="F82" i="5" s="1"/>
  <c r="E82" i="5"/>
  <c r="D418" i="4"/>
  <c r="C418" i="4"/>
  <c r="E417" i="4" s="1"/>
  <c r="C151" i="4"/>
  <c r="E149" i="4"/>
  <c r="D151" i="4"/>
  <c r="D53" i="4"/>
  <c r="C53" i="4"/>
  <c r="E51" i="4"/>
  <c r="I54" i="4"/>
  <c r="B57" i="4"/>
  <c r="H83" i="5"/>
  <c r="I151" i="4"/>
  <c r="B82" i="5" l="1"/>
  <c r="D83" i="5"/>
  <c r="F83" i="5" s="1"/>
  <c r="E83" i="5"/>
  <c r="D419" i="4"/>
  <c r="C419" i="4"/>
  <c r="E418" i="4" s="1"/>
  <c r="I55" i="4"/>
  <c r="D152" i="4"/>
  <c r="C152" i="4"/>
  <c r="E150" i="4"/>
  <c r="I152" i="4"/>
  <c r="B58" i="4"/>
  <c r="D54" i="4"/>
  <c r="C54" i="4"/>
  <c r="E52" i="4"/>
  <c r="B83" i="5" l="1"/>
  <c r="B59" i="4"/>
  <c r="H84" i="5"/>
  <c r="C153" i="4"/>
  <c r="E152" i="4" s="1"/>
  <c r="E151" i="4"/>
  <c r="D153" i="4"/>
  <c r="E53" i="4"/>
  <c r="D55" i="4"/>
  <c r="C55" i="4"/>
  <c r="I153" i="4"/>
  <c r="I56" i="4"/>
  <c r="D84" i="5" l="1"/>
  <c r="F84" i="5" s="1"/>
  <c r="E84" i="5"/>
  <c r="I57" i="4"/>
  <c r="C56" i="4"/>
  <c r="D56" i="4"/>
  <c r="E54" i="4"/>
  <c r="B84" i="5" l="1"/>
  <c r="C57" i="4"/>
  <c r="D57" i="4"/>
  <c r="E55" i="4"/>
  <c r="I58" i="4"/>
  <c r="I59" i="4" l="1"/>
  <c r="C58" i="4"/>
  <c r="E56" i="4"/>
  <c r="D58" i="4"/>
  <c r="C59" i="4" l="1"/>
  <c r="E58" i="4" s="1"/>
  <c r="D59" i="4"/>
  <c r="E57" i="4"/>
</calcChain>
</file>

<file path=xl/sharedStrings.xml><?xml version="1.0" encoding="utf-8"?>
<sst xmlns="http://schemas.openxmlformats.org/spreadsheetml/2006/main" count="3140" uniqueCount="1129">
  <si>
    <t>Comment</t>
  </si>
  <si>
    <t>미션 명칭 TextCode
TextAchievementName</t>
  </si>
  <si>
    <t>미션 설명 TextCode
TextAchievementDesc</t>
  </si>
  <si>
    <t>Tool</t>
  </si>
  <si>
    <t>Common</t>
  </si>
  <si>
    <t>bool</t>
  </si>
  <si>
    <t>string</t>
  </si>
  <si>
    <t>int</t>
  </si>
  <si>
    <t>enum : 
sbyte : 
eEquipType</t>
  </si>
  <si>
    <t>Read</t>
  </si>
  <si>
    <t>Description</t>
  </si>
  <si>
    <t>GeneralTypeCode</t>
  </si>
  <si>
    <t>RewardTypeCode</t>
  </si>
  <si>
    <t>RewardCount</t>
  </si>
  <si>
    <t>EquipType</t>
  </si>
  <si>
    <t>NameTextKey</t>
  </si>
  <si>
    <t>DescriptionTextCode</t>
  </si>
  <si>
    <t>IconImageCode</t>
  </si>
  <si>
    <t>Gold</t>
  </si>
  <si>
    <t>Ticket</t>
  </si>
  <si>
    <t>Gem</t>
  </si>
  <si>
    <t>Lotto</t>
  </si>
  <si>
    <t>Achievement</t>
  </si>
  <si>
    <t>PreviousAchieveCode</t>
  </si>
  <si>
    <t>NextAchieveCode</t>
  </si>
  <si>
    <t>MissionType</t>
    <phoneticPr fontId="22" type="noConversion"/>
  </si>
  <si>
    <t>SubMissionType</t>
    <phoneticPr fontId="22" type="noConversion"/>
  </si>
  <si>
    <t>ClearType</t>
    <phoneticPr fontId="22" type="noConversion"/>
  </si>
  <si>
    <t>ClearValue</t>
    <phoneticPr fontId="22" type="noConversion"/>
  </si>
  <si>
    <t>미션타입 세부 구분</t>
    <phoneticPr fontId="22" type="noConversion"/>
  </si>
  <si>
    <t>미션 클리어 조건</t>
    <phoneticPr fontId="22" type="noConversion"/>
  </si>
  <si>
    <t xml:space="preserve">업적 - 균열던전 일반 Ⅱ 최초 클리어 </t>
    <phoneticPr fontId="22" type="noConversion"/>
  </si>
  <si>
    <t xml:space="preserve">업적 - 균열던전 일반 Ⅲ 최초 클리어 </t>
    <phoneticPr fontId="22" type="noConversion"/>
  </si>
  <si>
    <t xml:space="preserve">업적 - 균열던전 어려움 Ⅰ 최초 클리어 </t>
  </si>
  <si>
    <t xml:space="preserve">업적 - 균열던전 어려움 Ⅱ 최초 클리어 </t>
  </si>
  <si>
    <t xml:space="preserve">업적 - 균열던전 어려움 Ⅲ 최초 클리어 </t>
  </si>
  <si>
    <t xml:space="preserve">업적 - 균열던전 어려움 Ⅳ 최초 클리어 </t>
  </si>
  <si>
    <t xml:space="preserve">업적 - 균열던전 어려움 Ⅴ 최초 클리어 </t>
  </si>
  <si>
    <t xml:space="preserve">업적 - 균열던전 고수 Ⅰ 최초 클리어 </t>
  </si>
  <si>
    <t xml:space="preserve">업적 - 균열던전 고수 Ⅱ 최초 클리어 </t>
  </si>
  <si>
    <t xml:space="preserve">업적 - 균열던전 고수 Ⅲ 최초 클리어 </t>
  </si>
  <si>
    <t xml:space="preserve">업적 - 균열던전 고수 Ⅳ 최초 클리어 </t>
  </si>
  <si>
    <t xml:space="preserve">업적 - 균열던전 고수 Ⅴ 최초 클리어 </t>
  </si>
  <si>
    <t>업적 - 결투장 루키 리그 승급</t>
    <phoneticPr fontId="22" type="noConversion"/>
  </si>
  <si>
    <t>해당 아이템의
Icon Image ID</t>
    <phoneticPr fontId="21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</si>
  <si>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22" type="noConversion"/>
  </si>
  <si>
    <t xml:space="preserve">업적 - 균열던전 일반 Ⅰ 최초 클리어 </t>
    <phoneticPr fontId="22" type="noConversion"/>
  </si>
  <si>
    <t xml:space="preserve">업적 - 균열던전 일반 Ⅳ 최초 클리어 </t>
    <phoneticPr fontId="22" type="noConversion"/>
  </si>
  <si>
    <t xml:space="preserve">업적 - 균열던전 일반 Ⅴ 최초 클리어 </t>
    <phoneticPr fontId="22" type="noConversion"/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</si>
  <si>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</si>
  <si>
    <t>ClearValue</t>
    <phoneticPr fontId="22" type="noConversion"/>
  </si>
  <si>
    <t>Gem</t>
    <phoneticPr fontId="21" type="noConversion"/>
  </si>
  <si>
    <t>10 - 일일
70 - 주간
30 - 월간
90 - 업적</t>
    <phoneticPr fontId="22" type="noConversion"/>
  </si>
  <si>
    <t>Gem</t>
    <phoneticPr fontId="22" type="noConversion"/>
  </si>
  <si>
    <t>Client</t>
    <phoneticPr fontId="21" type="noConversion"/>
  </si>
  <si>
    <t>Gem</t>
    <phoneticPr fontId="22" type="noConversion"/>
  </si>
  <si>
    <t>Gold</t>
    <phoneticPr fontId="22" type="noConversion"/>
  </si>
  <si>
    <t>Mission</t>
  </si>
  <si>
    <t>Mission</t>
    <phoneticPr fontId="21" type="noConversion"/>
  </si>
  <si>
    <t>TextAchievementDesc</t>
  </si>
  <si>
    <t>TextData</t>
  </si>
  <si>
    <t>Client</t>
  </si>
  <si>
    <t>TextKey</t>
  </si>
  <si>
    <t>TextKorean</t>
  </si>
  <si>
    <t>TextEnglish</t>
  </si>
  <si>
    <t>TextChinease</t>
  </si>
  <si>
    <t>모든 주간미션을 완료하세요</t>
    <phoneticPr fontId="21" type="noConversion"/>
  </si>
  <si>
    <t>TextAchievementName</t>
  </si>
  <si>
    <t>균열던전 참가</t>
  </si>
  <si>
    <t>결투장 참가</t>
  </si>
  <si>
    <t>장비아이템 획득</t>
  </si>
  <si>
    <t>수호석 업그레이드 성공</t>
  </si>
  <si>
    <t>결투장 승리</t>
  </si>
  <si>
    <t>수호레이드 참가</t>
  </si>
  <si>
    <t>균열석 획득</t>
  </si>
  <si>
    <t>장비아이템 강화</t>
  </si>
  <si>
    <t>장비아이템 분해</t>
  </si>
  <si>
    <t>초월던전 참가</t>
  </si>
  <si>
    <t>룬스톤 획득</t>
  </si>
  <si>
    <t>모든 일일미션을 완료하세요</t>
    <phoneticPr fontId="21" type="noConversion"/>
  </si>
  <si>
    <t>일반 Ⅰ</t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</si>
  <si>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</si>
  <si>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</si>
  <si>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</si>
  <si>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</si>
  <si>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</si>
  <si>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</si>
  <si>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</si>
  <si>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</si>
  <si>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</si>
  <si>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Ⅰ</t>
  </si>
  <si>
    <t>고수 Ⅱ</t>
  </si>
  <si>
    <t>고수 Ⅲ</t>
  </si>
  <si>
    <t>고수 Ⅳ</t>
  </si>
  <si>
    <t>고수 Ⅴ</t>
  </si>
  <si>
    <t>일반던전 완료</t>
    <phoneticPr fontId="21" type="noConversion"/>
  </si>
  <si>
    <t>모든 일일미션 완료</t>
    <phoneticPr fontId="21" type="noConversion"/>
  </si>
  <si>
    <t>모든 주간미션 완료</t>
    <phoneticPr fontId="21" type="noConversion"/>
  </si>
  <si>
    <t>모든 일일미션 달성</t>
    <phoneticPr fontId="21" type="noConversion"/>
  </si>
  <si>
    <t>모든 주간미션 달성</t>
    <phoneticPr fontId="21" type="noConversion"/>
  </si>
  <si>
    <t>정예던전 완료</t>
    <phoneticPr fontId="21" type="noConversion"/>
  </si>
  <si>
    <t>요일던전 완료</t>
    <phoneticPr fontId="21" type="noConversion"/>
  </si>
  <si>
    <t>0. 업적
1. 일일미션
2. 주간미션
3. 월간미션</t>
  </si>
  <si>
    <t>enum : 
sbyte :
eMissionPeriodType</t>
  </si>
  <si>
    <t>PeriodType</t>
  </si>
  <si>
    <t>Daily</t>
  </si>
  <si>
    <t>Weekly</t>
  </si>
  <si>
    <t>Monthly</t>
  </si>
  <si>
    <t>업적 - 장비아이템 랜덤옵션변경 누적 횟수 1 회</t>
  </si>
  <si>
    <t>업적 - 장비아이템 랜덤옵션변경 누적 횟수 5 회</t>
  </si>
  <si>
    <t>업적 - 장비아이템 랜덤옵션변경 누적 횟수 10 회</t>
  </si>
  <si>
    <t>업적 - 장비아이템 랜덤옵션변경 누적 횟수 15 회</t>
  </si>
  <si>
    <t>업적 - 장비아이템 랜덤옵션변경 누적 횟수 20 회</t>
  </si>
  <si>
    <t>업적 - 장비아이템 랜덤옵션변경 누적 횟수 25 회</t>
  </si>
  <si>
    <t>업적 - 장비아이템 랜덤옵션변경 누적 횟수 30 회</t>
  </si>
  <si>
    <t>업적 - 장비아이템 랜덤옵션변경 누적 횟수 35 회</t>
  </si>
  <si>
    <t>업적 - 장비아이템 랜덤옵션변경 누적 횟수 40 회</t>
  </si>
  <si>
    <t>업적 - 장비아이템 랜덤옵션변경 누적 횟수 45 회</t>
  </si>
  <si>
    <t>업적 - 장비아이템 랜덤옵션변경 누적 횟수 50 회</t>
  </si>
  <si>
    <t>업적 - 장비아이템 랜덤옵션변경 누적 횟수 55 회</t>
  </si>
  <si>
    <t>업적 - 장비아이템 랜덤옵션변경 누적 횟수 60 회</t>
  </si>
  <si>
    <t>업적 - 장비아이템 랜덤옵션변경 누적 횟수 65 회</t>
  </si>
  <si>
    <t>업적 - 장비아이템 랜덤옵션변경 누적 횟수 70 회</t>
  </si>
  <si>
    <t>업적 - 장비아이템 랜덤옵션변경 누적 횟수 75 회</t>
  </si>
  <si>
    <t>업적 - 장비아이템 랜덤옵션변경 누적 횟수 80 회</t>
  </si>
  <si>
    <t>업적 - 장비아이템 랜덤옵션변경 누적 횟수 85 회</t>
  </si>
  <si>
    <t>업적 - 장비아이템 랜덤옵션변경 누적 횟수 90 회</t>
  </si>
  <si>
    <t>업적 - 장비아이템 랜덤옵션변경 누적 횟수 95 회</t>
  </si>
  <si>
    <t>업적 - 장비아이템 랜덤옵션변경 누적 횟수 100 회</t>
  </si>
  <si>
    <t>업적 - 장비아이템 랜덤옵션변경 누적 횟수 150 회</t>
  </si>
  <si>
    <t>업적 - 장비아이템 랜덤옵션변경 누적 횟수 200 회</t>
  </si>
  <si>
    <t>업적 - 장비아이템 랜덤옵션변경 누적 횟수 250 회</t>
  </si>
  <si>
    <t>업적 - 장비아이템 랜덤옵션변경 누적 횟수 300 회</t>
  </si>
  <si>
    <t>업적 - 장비아이템 랜덤옵션변경 누적 횟수 350 회</t>
  </si>
  <si>
    <t>업적 - 장비아이템 랜덤옵션변경 누적 횟수 400 회</t>
  </si>
  <si>
    <t>업적 - 장비아이템 랜덤옵션변경 누적 횟수 450 회</t>
  </si>
  <si>
    <t>업적 - 장비아이템 랜덤옵션변경 누적 횟수 500 회</t>
  </si>
  <si>
    <t>업적 - 장비아이템 랜덤옵션변경 누적 횟수 550 회</t>
  </si>
  <si>
    <t>업적 - 장비아이템 랜덤옵션변경 누적 횟수 600 회</t>
  </si>
  <si>
    <t>업적 - 장비아이템 랜덤옵션변경 누적 횟수 650 회</t>
  </si>
  <si>
    <t>업적 - 장비아이템 랜덤옵션변경 누적 횟수 700 회</t>
  </si>
  <si>
    <t>업적 - 장비아이템 랜덤옵션변경 누적 횟수 750 회</t>
  </si>
  <si>
    <t>업적 - 장비아이템 랜덤옵션변경 누적 횟수 800 회</t>
  </si>
  <si>
    <t>업적 - 장비아이템 랜덤옵션변경 누적 횟수 850 회</t>
  </si>
  <si>
    <t>업적 - 장비아이템 랜덤옵션변경 누적 횟수 900 회</t>
  </si>
  <si>
    <t>업적 - 장비아이템 랜덤옵션변경 누적 횟수 950 회</t>
  </si>
  <si>
    <t>업적 - 장비아이템 랜덤옵션변경 누적 횟수 1000 회</t>
  </si>
  <si>
    <t>All daily mission complished</t>
  </si>
  <si>
    <t>Dungeon clear</t>
  </si>
  <si>
    <t>Elite dungeon clear</t>
  </si>
  <si>
    <t>Daily dungeon clear</t>
  </si>
  <si>
    <t>enter rift</t>
  </si>
  <si>
    <t>enter arena</t>
  </si>
  <si>
    <t>Gear obtained</t>
  </si>
  <si>
    <t>All weekly mission clear</t>
  </si>
  <si>
    <t>All daily mission clear</t>
  </si>
  <si>
    <t>수호석 업그레이드 시도</t>
  </si>
  <si>
    <t>Victory</t>
  </si>
  <si>
    <t>Enter guardian raid</t>
  </si>
  <si>
    <t>Rift stone obtained</t>
  </si>
  <si>
    <t>Gear upgrade</t>
  </si>
  <si>
    <t>Gear dismantle</t>
  </si>
  <si>
    <t>Weekly dungeon clear</t>
  </si>
  <si>
    <t>enter infinite</t>
  </si>
  <si>
    <t>Runestone obtained</t>
  </si>
  <si>
    <t>Riftstone obatined</t>
  </si>
  <si>
    <t>Clear all daily mission</t>
  </si>
  <si>
    <t>Clear all weekly mission</t>
  </si>
  <si>
    <t>Clear all weekly mission 3 times</t>
  </si>
  <si>
    <t>Clear rift with [NormalⅠ] difficulty</t>
  </si>
  <si>
    <t>Clear rift with [NormalⅡ] difficulty</t>
  </si>
  <si>
    <t>Clear rift with [NormalⅢ] difficulty</t>
  </si>
  <si>
    <t>Clear rift with [NormalⅣ] difficulty</t>
  </si>
  <si>
    <t>Clear rift with [NormalⅤ] difficulty</t>
  </si>
  <si>
    <t>Clear rift with [HardⅠ] difficulty</t>
  </si>
  <si>
    <t>Clear rift with [HardⅡ] difficulty</t>
  </si>
  <si>
    <t>Clear rift with [HardⅢ] difficulty</t>
  </si>
  <si>
    <t>Clear rift with [HardⅣ] difficulty</t>
  </si>
  <si>
    <t>Clear rift with [HardⅤ] difficulty</t>
  </si>
  <si>
    <t>Clear rift with [ExpertⅠ] difficulty</t>
  </si>
  <si>
    <t>Clear rift with [ExpertⅡ] difficulty</t>
  </si>
  <si>
    <t>Clear rift with [ExpertⅢ] difficulty</t>
  </si>
  <si>
    <t>Clear rift with [ExpertⅣ] difficulty</t>
  </si>
  <si>
    <t>Clear rift with [ExpertⅤ] difficulty</t>
  </si>
  <si>
    <t>Clear rift with [MasterⅠ] difficulty</t>
  </si>
  <si>
    <t>Clear rift with [MasterⅡ] difficulty</t>
  </si>
  <si>
    <t>Clear rift with [MasterⅢ] difficulty</t>
  </si>
  <si>
    <t>Clear rift with [MasterⅣ] difficulty</t>
  </si>
  <si>
    <t>Clear rift with [MasterⅤ] difficulty</t>
  </si>
  <si>
    <t>Clear rift with [MasterⅥ] difficulty</t>
  </si>
  <si>
    <t>Clear rift with [MasterⅦ] difficulty</t>
  </si>
  <si>
    <t>Clear rift with [MasterⅧ] difficulty</t>
  </si>
  <si>
    <t>Clear rift with [MasterⅨ] difficulty</t>
  </si>
  <si>
    <t>Clear rift with [MasterⅩ] difficulty</t>
  </si>
  <si>
    <t>Clear rift with [HellⅠ] difficulty</t>
  </si>
  <si>
    <t>Clear rift with [HellⅡ] difficulty</t>
  </si>
  <si>
    <t>Clear rift with [HellⅢ] difficulty</t>
  </si>
  <si>
    <t>Clear rift with [HellⅣ] difficulty</t>
  </si>
  <si>
    <t>Clear rift with [HellⅤ] difficulty</t>
  </si>
  <si>
    <t>Clear rift with [HellⅥ] difficulty</t>
  </si>
  <si>
    <t>Clear rift with [HellⅦ] difficulty</t>
  </si>
  <si>
    <t>Clear rift with [HellⅧ] difficulty</t>
  </si>
  <si>
    <t>Clear rift with [HellⅨ] difficulty</t>
  </si>
  <si>
    <t>Clear rift with [HellⅩ] difficulty</t>
  </si>
  <si>
    <t>Clear rift with [HellⅩⅠ] difficulty</t>
  </si>
  <si>
    <t>Clear rift with [HellⅩⅡ] difficulty</t>
  </si>
  <si>
    <t>Clear rift with [HellⅩⅢ] difficulty</t>
  </si>
  <si>
    <t>Clear rift with [HellⅩⅣ] difficulty</t>
  </si>
  <si>
    <t>Clear rift with [HellⅩⅤ] difficulty</t>
  </si>
  <si>
    <t>160001001 - 골드
160001002 - 젬(보석)
160002003 - 입장권
160002004 - 트포피
160002005 - 균열석
160004001 - 아이템 증가권
160004002 - 경험치 증가권
160004003 - 골드 증가권
160004004 - 즉시완료권</t>
    <phoneticPr fontId="21" type="noConversion"/>
  </si>
  <si>
    <t xml:space="preserve">업적 - 균열던전 지옥 Ⅰ 최초 클리어 </t>
  </si>
  <si>
    <t xml:space="preserve">업적 - 균열던전 지옥 Ⅱ 최초 클리어 </t>
  </si>
  <si>
    <t xml:space="preserve">업적 - 균열던전 지옥 Ⅲ 최초 클리어 </t>
  </si>
  <si>
    <t xml:space="preserve">업적 - 균열던전 지옥 Ⅳ 최초 클리어 </t>
  </si>
  <si>
    <t xml:space="preserve">업적 - 균열던전 지옥 Ⅴ 최초 클리어 </t>
  </si>
  <si>
    <t xml:space="preserve">업적 - 균열던전 지옥 Ⅵ 최초 클리어 </t>
  </si>
  <si>
    <t xml:space="preserve">업적 - 균열던전 지옥 Ⅶ 최초 클리어 </t>
  </si>
  <si>
    <t xml:space="preserve">업적 - 균열던전 지옥 Ⅷ 최초 클리어 </t>
  </si>
  <si>
    <t xml:space="preserve">업적 - 균열던전 지옥 Ⅸ 최초 클리어 </t>
  </si>
  <si>
    <t xml:space="preserve">업적 - 균열던전 지옥 Ⅹ 최초 클리어 </t>
  </si>
  <si>
    <t xml:space="preserve">업적 - 균열던전 지옥 ⅩⅠ 최초 클리어 </t>
  </si>
  <si>
    <t xml:space="preserve">업적 - 균열던전 지옥 ⅩⅡ 최초 클리어 </t>
  </si>
  <si>
    <t xml:space="preserve">업적 - 균열던전 지옥 ⅩⅢ 최초 클리어 </t>
  </si>
  <si>
    <t xml:space="preserve">업적 - 균열던전 지옥 ⅩⅣ 최초 클리어 </t>
  </si>
  <si>
    <t xml:space="preserve">업적 - 균열던전 지옥 ⅩⅤ 최초 클리어 </t>
  </si>
  <si>
    <t xml:space="preserve">업적 - 균열던전 마스터 Ⅰ 최초 클리어 </t>
  </si>
  <si>
    <t xml:space="preserve">업적 - 균열던전 마스터 Ⅱ 최초 클리어 </t>
  </si>
  <si>
    <t xml:space="preserve">업적 - 균열던전 마스터 Ⅲ 최초 클리어 </t>
  </si>
  <si>
    <t xml:space="preserve">업적 - 균열던전 마스터 Ⅳ 최초 클리어 </t>
  </si>
  <si>
    <t xml:space="preserve">업적 - 균열던전 마스터 Ⅴ 최초 클리어 </t>
  </si>
  <si>
    <t xml:space="preserve">업적 - 균열던전 마스터 Ⅵ 최초 클리어 </t>
  </si>
  <si>
    <t xml:space="preserve">업적 - 균열던전 마스터 Ⅶ 최초 클리어 </t>
  </si>
  <si>
    <t xml:space="preserve">업적 - 균열던전 마스터 Ⅷ 최초 클리어 </t>
  </si>
  <si>
    <t xml:space="preserve">업적 - 균열던전 마스터 Ⅸ 최초 클리어 </t>
  </si>
  <si>
    <t xml:space="preserve">업적 - 균열던전 마스터 Ⅹ 최초 클리어 </t>
  </si>
  <si>
    <t>Value Rate</t>
    <phoneticPr fontId="22" type="noConversion"/>
  </si>
  <si>
    <t>First RewardCount</t>
    <phoneticPr fontId="22" type="noConversion"/>
  </si>
  <si>
    <t>1 Mon RewardCount</t>
    <phoneticPr fontId="22" type="noConversion"/>
  </si>
  <si>
    <t>3 Mon RewardCount</t>
    <phoneticPr fontId="22" type="noConversion"/>
  </si>
  <si>
    <t>Base RewardCount</t>
    <phoneticPr fontId="22" type="noConversion"/>
  </si>
  <si>
    <t>New RewardCount</t>
    <phoneticPr fontId="21" type="noConversion"/>
  </si>
  <si>
    <t>-</t>
    <phoneticPr fontId="22" type="noConversion"/>
  </si>
  <si>
    <t>-</t>
    <phoneticPr fontId="22" type="noConversion"/>
  </si>
  <si>
    <t>Gold</t>
    <phoneticPr fontId="22" type="noConversion"/>
  </si>
  <si>
    <t>Gold</t>
    <phoneticPr fontId="22" type="noConversion"/>
  </si>
  <si>
    <t>Gold</t>
    <phoneticPr fontId="22" type="noConversion"/>
  </si>
  <si>
    <t>Gold</t>
    <phoneticPr fontId="22" type="noConversion"/>
  </si>
  <si>
    <t>Gold</t>
    <phoneticPr fontId="22" type="noConversion"/>
  </si>
  <si>
    <t>Gold</t>
    <phoneticPr fontId="22" type="noConversion"/>
  </si>
  <si>
    <t>Gem Total</t>
    <phoneticPr fontId="22" type="noConversion"/>
  </si>
  <si>
    <t>Gold Total</t>
    <phoneticPr fontId="22" type="noConversion"/>
  </si>
  <si>
    <t>3MonAccount</t>
    <phoneticPr fontId="22" type="noConversion"/>
  </si>
  <si>
    <t>1MonAccount</t>
    <phoneticPr fontId="22" type="noConversion"/>
  </si>
  <si>
    <t>6MonAccount</t>
    <phoneticPr fontId="22" type="noConversion"/>
  </si>
  <si>
    <t>1Mon</t>
    <phoneticPr fontId="22" type="noConversion"/>
  </si>
  <si>
    <t>3Mon</t>
    <phoneticPr fontId="22" type="noConversion"/>
  </si>
  <si>
    <t>6Mon</t>
    <phoneticPr fontId="22" type="noConversion"/>
  </si>
  <si>
    <t>Gem</t>
    <phoneticPr fontId="22" type="noConversion"/>
  </si>
  <si>
    <t>Gold</t>
    <phoneticPr fontId="22" type="noConversion"/>
  </si>
  <si>
    <t>6 Mon RewardCount</t>
    <phoneticPr fontId="22" type="noConversion"/>
  </si>
  <si>
    <t>마스터 Ⅰ</t>
  </si>
  <si>
    <t>마스터 Ⅱ</t>
  </si>
  <si>
    <t>마스터 Ⅲ</t>
  </si>
  <si>
    <t>마스터 Ⅳ</t>
  </si>
  <si>
    <t>마스터 Ⅴ</t>
  </si>
  <si>
    <t>마스터 Ⅵ</t>
  </si>
  <si>
    <t>마스터 Ⅶ</t>
  </si>
  <si>
    <t>마스터 Ⅷ</t>
  </si>
  <si>
    <t>마스터 Ⅸ</t>
  </si>
  <si>
    <t>마스터 Ⅹ</t>
  </si>
  <si>
    <t>지옥 Ⅰ</t>
  </si>
  <si>
    <t>지옥 Ⅱ</t>
  </si>
  <si>
    <t>지옥 Ⅲ</t>
  </si>
  <si>
    <t>지옥 Ⅳ</t>
  </si>
  <si>
    <t>지옥 Ⅴ</t>
  </si>
  <si>
    <t>지옥 Ⅵ</t>
  </si>
  <si>
    <t>지옥 Ⅶ</t>
  </si>
  <si>
    <t>지옥 Ⅷ</t>
  </si>
  <si>
    <t>지옥 Ⅸ</t>
  </si>
  <si>
    <t>지옥 Ⅹ</t>
  </si>
  <si>
    <t>지옥 ⅩⅠ</t>
  </si>
  <si>
    <t>지옥 ⅩⅡ</t>
  </si>
  <si>
    <t>지옥 ⅩⅢ</t>
  </si>
  <si>
    <t>지옥 ⅩⅣ</t>
  </si>
  <si>
    <t>지옥 ⅩⅤ</t>
  </si>
  <si>
    <t>[ffc0cb][캐릭터][-] 캐릭터 레벨 달성 Step.1</t>
  </si>
  <si>
    <t>[ffc0cb][캐릭터][-] 캐릭터 레벨 달성 Step.2</t>
  </si>
  <si>
    <t>[ffc0cb][캐릭터][-] 캐릭터 레벨 달성 Step.3</t>
  </si>
  <si>
    <t>[ffc0cb][캐릭터][-] 캐릭터 레벨 달성 Step.4</t>
  </si>
  <si>
    <t>[ffc0cb][캐릭터][-] 캐릭터 레벨 달성 Step.5</t>
  </si>
  <si>
    <t>[ffc0cb][캐릭터][-] 캐릭터 레벨 달성 Step.6</t>
  </si>
  <si>
    <t>[ffc0cb][캐릭터][-] 캐릭터 레벨 달성 Step.7</t>
  </si>
  <si>
    <t>[ffc0cb][캐릭터][-] 캐릭터 레벨 달성 Step.8</t>
  </si>
  <si>
    <t>[ffc0cb][캐릭터][-] 캐릭터 레벨 달성 Step.9</t>
  </si>
  <si>
    <t>[ffc0cb][캐릭터][-] 캐릭터 레벨 달성 Step.10</t>
  </si>
  <si>
    <t>[ffc0cb][캐릭터][-] 캐릭터 스킬 강화 Step.1</t>
  </si>
  <si>
    <t>[ffc0cb][캐릭터][-] 캐릭터 스킬 강화 Step.2</t>
  </si>
  <si>
    <t>[ffc0cb][캐릭터][-] 캐릭터 스킬 강화 Step.3</t>
  </si>
  <si>
    <t>[ffc0cb][캐릭터][-] 캐릭터 스킬 강화 Step.4</t>
  </si>
  <si>
    <t>[ffc0cb][캐릭터][-] 캐릭터 스킬 강화 Step.5</t>
  </si>
  <si>
    <t>[ffc0cb][캐릭터][-] 캐릭터 스킬 강화 Step.6</t>
  </si>
  <si>
    <t>[ffc0cb][캐릭터][-] 캐릭터 스킬 강화 Step.7</t>
  </si>
  <si>
    <t>[ffc0cb][캐릭터][-] 캐릭터 스킬 강화 Step.8</t>
  </si>
  <si>
    <t>[ffc0cb][캐릭터][-] 캐릭터 스킬 초기화 Step.1</t>
  </si>
  <si>
    <t>[ffc0cb][캐릭터][-] 캐릭터 스킬 초기화 Step.2</t>
  </si>
  <si>
    <t>[ffc0cb][캐릭터][-] 수호석 획득 Step.1</t>
  </si>
  <si>
    <t>[ffc0cb][캐릭터][-] 수호석 획득 Step.2</t>
  </si>
  <si>
    <t>[ffc0cb][캐릭터][-] 수호석 획득 Step.3</t>
  </si>
  <si>
    <t>[ffc0cb][캐릭터][-] 수호석 획득 Step.4</t>
  </si>
  <si>
    <t>[ffc0cb][캐릭터][-] 수호석 획득 Step.5</t>
  </si>
  <si>
    <t>[ffc0cb][캐릭터][-] 수호석 획득 Step.6</t>
  </si>
  <si>
    <t>[ffc0cb][캐릭터][-] 수호석 획득 Step.7</t>
  </si>
  <si>
    <t>[ffc0cb][캐릭터][-] 수호석 업그레이드 달성 Step.1</t>
  </si>
  <si>
    <t>[ffc0cb][캐릭터][-] 수호석 업그레이드 달성 Step.2</t>
  </si>
  <si>
    <t>[ffc0cb][캐릭터][-] 수호석 업그레이드 달성 Step.3</t>
  </si>
  <si>
    <t>[ffc0cb][캐릭터][-] 수호석 업그레이드 달성 Step.4</t>
  </si>
  <si>
    <t>[ffc0cb][캐릭터][-] 수호석 업그레이드 달성 Step.5</t>
  </si>
  <si>
    <t>[ffc0cb][캐릭터][-] 수호석 업그레이드 달성 Step.6</t>
  </si>
  <si>
    <t>[ffc0cb][캐릭터][-] 수호석 업그레이드 달성 Step.7</t>
  </si>
  <si>
    <t>[ffc0cb][캐릭터][-] 수호석 업그레이드 달성 Step.8</t>
  </si>
  <si>
    <t>[ffc0cb][캐릭터][-] 수호석 업그레이드 달성 Step.9</t>
  </si>
  <si>
    <t>[ffc0cb][캐릭터][-] 수호석 업그레이드 달성 Step.10</t>
  </si>
  <si>
    <t>[ffc0cb][캐릭터][-] 수호석 업그레이드 달성 Step.11</t>
  </si>
  <si>
    <t>[ffc0cb][캐릭터][-] 수호석 업그레이드 달성 Step.12</t>
  </si>
  <si>
    <t>[ffc0cb][캐릭터][-] 수호석 업그레이드 달성 Step.13</t>
  </si>
  <si>
    <t>[ffc0cb][캐릭터][-] 수호석 업그레이드 달성 Step.14</t>
  </si>
  <si>
    <t>[ffc0cb][캐릭터][-] 수호석 업그레이드 달성 Step.15</t>
  </si>
  <si>
    <t>[ffc0cb][캐릭터][-] 수호석 업그레이드 달성 Step.16</t>
  </si>
  <si>
    <t>[ffc0cb][캐릭터][-] 수호석 업그레이드 달성 Step.17</t>
  </si>
  <si>
    <t>[ffc0cb][캐릭터][-] 수호석 업그레이드 달성 Step.18</t>
  </si>
  <si>
    <t>[ffc0cb][캐릭터][-] 수호석 업그레이드 달성 Step.19</t>
  </si>
  <si>
    <t>[ffc0cb][캐릭터][-] 수호석 업그레이드 달성 Step.20</t>
  </si>
  <si>
    <t>[ffc0cb][캐릭터][-] 수호석 업그레이드 달성 Step.21</t>
  </si>
  <si>
    <t>[ffc0cb][캐릭터][-] 수호석 업그레이드 달성 Step.22</t>
  </si>
  <si>
    <t>[ffc0cb][캐릭터][-] 룬스톤 합성 Step.1</t>
  </si>
  <si>
    <t>[ffc0cb][캐릭터][-] 룬스톤 합성 Step.2</t>
  </si>
  <si>
    <t>[ffc0cb][캐릭터][-] 룬스톤 합성 Step.3</t>
  </si>
  <si>
    <t>[ffc0cb][캐릭터][-] 룬스톤 합성 Step.4</t>
  </si>
  <si>
    <t>[ffc0cb][캐릭터][-] 룬스톤 합성 Step.5</t>
  </si>
  <si>
    <t>[ffc0cb][캐릭터][-] 룬스톤 합성 Step.6</t>
  </si>
  <si>
    <t>[ffc0cb][캐릭터][-] 룬스톤 합성 Step.7</t>
  </si>
  <si>
    <t>[ffc0cb][캐릭터][-] 룬스톤 합성 Step.8</t>
  </si>
  <si>
    <t>[ffc0cb][캐릭터][-] 룬스톤 합성 Step.9</t>
  </si>
  <si>
    <t>[ffc0cb][캐릭터][-] 룬스톤 합성 Step.10</t>
  </si>
  <si>
    <t>[ffc0cb][캐릭터][-] 룬스톤 합성 Step.11</t>
  </si>
  <si>
    <t>[ffc0cb][캐릭터][-] 룬스톤 합성 Step.12</t>
  </si>
  <si>
    <t>[ffc0cb][캐릭터][-] 룬스톤 합성 Step.13</t>
  </si>
  <si>
    <t>[ffc0cb][캐릭터][-] 룬스톤 합성 Step.14</t>
  </si>
  <si>
    <t>[ffc0cb][캐릭터][-] 룬스톤 합성 Step.15</t>
  </si>
  <si>
    <t>[ffc0cb][캐릭터][-] 룬스톤 합성 Step.16</t>
  </si>
  <si>
    <t>[ffc0cb][캐릭터][-] 룬스톤 합성 Step.17</t>
  </si>
  <si>
    <t>[ffc0cb][캐릭터][-] 룬스톤 합성 Step.18</t>
  </si>
  <si>
    <t>[ffc0cb][캐릭터][-] 룬스톤 합성 Step.19</t>
  </si>
  <si>
    <t>[ffc0cb][캐릭터][-] 룬스톤 합성 Step.20</t>
  </si>
  <si>
    <t>[ffc0cb][캐릭터][-] 룬스톤 합성 Step.21</t>
  </si>
  <si>
    <t>[ffc0cb][캐릭터][-] 룬스톤 합성 Step.22</t>
  </si>
  <si>
    <t>[ffc0cb][캐릭터][-] 룬스톤 합성 Step.23</t>
  </si>
  <si>
    <t>[ffc0cb][캐릭터][-] 영웅 룬스톤 획득 Step.1</t>
  </si>
  <si>
    <t>[ffc0cb][캐릭터][-] 영웅 룬스톤 획득 Step.2</t>
  </si>
  <si>
    <t>[ffc0cb][캐릭터][-] 영웅 룬스톤 획득 Step.3</t>
  </si>
  <si>
    <t>[ffc0cb][캐릭터][-] 영웅 룬스톤 획득 Step.4</t>
  </si>
  <si>
    <t>[ffc0cb][캐릭터][-] 영웅 룬스톤 획득 Step.5</t>
  </si>
  <si>
    <t>[ffc0cb][캐릭터][-] 영웅 룬스톤 획득 Step.6</t>
  </si>
  <si>
    <t>[ffc0cb][캐릭터][-] 영웅 룬스톤 획득 Step.7</t>
  </si>
  <si>
    <t>[ffc0cb][캐릭터][-] 영웅 룬스톤 획득 Step.8</t>
  </si>
  <si>
    <t>[ffc0cb][캐릭터][-] 영웅 룬스톤 획득 Step.9</t>
  </si>
  <si>
    <t>[ffc0cb][캐릭터][-] 영웅 룬스톤 획득 Step.10</t>
  </si>
  <si>
    <t>[ffc0cb][캐릭터][-] 영웅 룬스톤 획득 Step.11</t>
  </si>
  <si>
    <t>[ffc0cb][캐릭터][-] 영웅 룬스톤 획득 Step.12</t>
  </si>
  <si>
    <t>[ffc0cb][캐릭터][-] 영웅 룬스톤 획득 Step.13</t>
  </si>
  <si>
    <t>[ffc0cb][캐릭터][-] 영웅 룬스톤 획득 Step.14</t>
  </si>
  <si>
    <t>[ffc0cb][캐릭터][-] 전설 룬스톤 획득 Step.1</t>
  </si>
  <si>
    <t>[ffc0cb][캐릭터][-] 전설 룬스톤 획득 Step.2</t>
  </si>
  <si>
    <t>[ffc0cb][캐릭터][-] 전설 룬스톤 획득 Step.3</t>
  </si>
  <si>
    <t>[ffc0cb][캐릭터][-] 전설 룬스톤 획득 Step.4</t>
  </si>
  <si>
    <t>[ffc0cb][캐릭터][-] 전설 룬스톤 획득 Step.5</t>
  </si>
  <si>
    <t>[ffc0cb][캐릭터][-] 전설 룬스톤 획득 Step.6</t>
  </si>
  <si>
    <t>[ffc0cb][캐릭터][-] 전설 룬스톤 획득 Step.7</t>
  </si>
  <si>
    <t>[ffc0cb][캐릭터][-] 전설 룬스톤 획득 Step.8</t>
  </si>
  <si>
    <t>[ffc0cb][캐릭터][-] 전설 룬스톤 획득 Step.9</t>
  </si>
  <si>
    <t>[ffc0cb][캐릭터][-] 전설 룬스톤 획득 Step.10</t>
  </si>
  <si>
    <t>[ffc0cb][캐릭터][-] 전설 룬스톤 획득 Step.11</t>
  </si>
  <si>
    <t>[ffc0cb][캐릭터][-] 전설 룬스톤 획득 Step.12</t>
  </si>
  <si>
    <t>[ffc0cb][캐릭터][-] 전설 룬스톤 획득 Step.13</t>
  </si>
  <si>
    <t>[ffc0cb][캐릭터][-] 전설 룬스톤 획득 Step.14</t>
  </si>
  <si>
    <t>[ffc0cb][캐릭터][-] 불멸 룬스톤 획득 Step.1</t>
  </si>
  <si>
    <t>[ffc0cb][캐릭터][-] 불멸 룬스톤 획득 Step.2</t>
  </si>
  <si>
    <t>[ffc0cb][캐릭터][-] 불멸 룬스톤 획득 Step.3</t>
  </si>
  <si>
    <t>[ffc0cb][캐릭터][-] 불멸 룬스톤 획득 Step.4</t>
  </si>
  <si>
    <t>[ffc0cb][캐릭터][-] 불멸 룬스톤 획득 Step.5</t>
  </si>
  <si>
    <t>[ffc0cb][캐릭터][-] 불멸 룬스톤 획득 Step.6</t>
  </si>
  <si>
    <t>[ffc0cb][캐릭터][-] 불멸 룬스톤 획득 Step.7</t>
  </si>
  <si>
    <t>[ffc0cb][캐릭터][-] 불멸 룬스톤 획득 Step.8</t>
  </si>
  <si>
    <t>[ffc0cb][캐릭터][-] 불멸 룬스톤 획득 Step.9</t>
  </si>
  <si>
    <t>[ffc0cb][캐릭터][-] 불멸 룬스톤 획득 Step.10</t>
  </si>
  <si>
    <t>[ffc0cb][캐릭터][-] 불멸 룬스톤 획득 Step.11</t>
  </si>
  <si>
    <t>[ffc0cb][캐릭터][-] 불멸 룬스톤 획득 Step.12</t>
  </si>
  <si>
    <t>[ffc0cb][캐릭터][-] 불멸 룬스톤 획득 Step.13</t>
  </si>
  <si>
    <t>[ffc0cb][캐릭터][-] 불멸 룬스톤 획득 Step.14</t>
  </si>
  <si>
    <t>[ffc0cb][캐릭터][-] 장비아이템 합성 Step.1</t>
  </si>
  <si>
    <t>[ffc0cb][캐릭터][-] 장비아이템 합성 Step.2</t>
  </si>
  <si>
    <t>[ffc0cb][캐릭터][-] 장비아이템 합성 Step.3</t>
  </si>
  <si>
    <t>[ffc0cb][캐릭터][-] 장비아이템 합성 Step.4</t>
  </si>
  <si>
    <t>[ffc0cb][캐릭터][-] 장비아이템 합성 Step.5</t>
  </si>
  <si>
    <t>[ffc0cb][캐릭터][-] 장비아이템 합성 Step.6</t>
  </si>
  <si>
    <t>[ffc0cb][캐릭터][-] 장비아이템 합성 Step.7</t>
  </si>
  <si>
    <t>[ffc0cb][캐릭터][-] 장비아이템 합성 Step.8</t>
  </si>
  <si>
    <t>[ffc0cb][캐릭터][-] 장비아이템 합성 Step.9</t>
  </si>
  <si>
    <t>[ffc0cb][캐릭터][-] 장비아이템 합성 Step.10</t>
  </si>
  <si>
    <t>[ffc0cb][캐릭터][-] 장비아이템 합성 Step.11</t>
  </si>
  <si>
    <t>[ffc0cb][캐릭터][-] 장비아이템 합성 Step.12</t>
  </si>
  <si>
    <t>[ffc0cb][캐릭터][-] 장비아이템 합성 Step.13</t>
  </si>
  <si>
    <t>[ffc0cb][캐릭터][-] 장비아이템 합성 Step.14</t>
  </si>
  <si>
    <t>[ffc0cb][캐릭터][-] 장비아이템 합성 Step.15</t>
  </si>
  <si>
    <t>[ffc0cb][캐릭터][-] 장비아이템 합성 Step.16</t>
  </si>
  <si>
    <t>[ffc0cb][캐릭터][-] 장비아이템 합성 Step.17</t>
  </si>
  <si>
    <t>[ffc0cb][캐릭터][-] 장비아이템 합성 Step.18</t>
  </si>
  <si>
    <t>[ffc0cb][캐릭터][-] 장비아이템 합성 Step.19</t>
  </si>
  <si>
    <t>[ffc0cb][캐릭터][-] 장비아이템 합성 Step.20</t>
  </si>
  <si>
    <t>[ffc0cb][캐릭터][-] 장비아이템 합성 Step.21</t>
  </si>
  <si>
    <t>[ffc0cb][캐릭터][-] 장비아이템 합성 Step.22</t>
  </si>
  <si>
    <t>[ffc0cb][캐릭터][-] 장비아이템 합성 Step.23</t>
  </si>
  <si>
    <t>[ffc0cb][캐릭터][-] 장비아이템 합성 Step.24</t>
  </si>
  <si>
    <t>[ffc0cb][캐릭터][-] 장비아이템 승급 Step.1</t>
  </si>
  <si>
    <t>[ffc0cb][캐릭터][-] 장비아이템 승급 Step.2</t>
  </si>
  <si>
    <t>[ffc0cb][캐릭터][-] 장비아이템 승급 Step.3</t>
  </si>
  <si>
    <t>[ffc0cb][캐릭터][-] 장비아이템 승급 Step.4</t>
  </si>
  <si>
    <t>[ffc0cb][캐릭터][-] 장비아이템 승급 Step.5</t>
  </si>
  <si>
    <t>[ffc0cb][캐릭터][-] 장비아이템 승급 Step.6</t>
  </si>
  <si>
    <t>[ffc0cb][캐릭터][-] 장비아이템 승급 Step.7</t>
  </si>
  <si>
    <t>[ffc0cb][캐릭터][-] 장비아이템 승급 Step.8</t>
  </si>
  <si>
    <t>[ffc0cb][캐릭터][-] 장비아이템 승급 Step.9</t>
  </si>
  <si>
    <t>[ffc0cb][캐릭터][-] 장비아이템 승급 Step.10</t>
  </si>
  <si>
    <t>[ffc0cb][캐릭터][-] 장비아이템 승급 Step.11</t>
  </si>
  <si>
    <t>[ffc0cb][캐릭터][-] 장비아이템 승급 Step.12</t>
  </si>
  <si>
    <t>[ffc0cb][캐릭터][-] 장비아이템 승급 Step.13</t>
  </si>
  <si>
    <t>[ffc0cb][캐릭터][-] 장비아이템 승급 Step.14</t>
  </si>
  <si>
    <t>[ffc0cb][캐릭터][-] 장비아이템 승급 Step.15</t>
  </si>
  <si>
    <t>[ffc0cb][캐릭터][-] 장비아이템 승급 Step.16</t>
  </si>
  <si>
    <t>[ffc0cb][캐릭터][-] 장비아이템 승급 Step.17</t>
  </si>
  <si>
    <t>[ffc0cb][캐릭터][-] 영웅 장비아이템 획득 Step.1</t>
  </si>
  <si>
    <t>[ffc0cb][캐릭터][-] 영웅 장비아이템 획득 Step.2</t>
  </si>
  <si>
    <t>[ffc0cb][캐릭터][-] 영웅 장비아이템 획득 Step.3</t>
  </si>
  <si>
    <t>[ffc0cb][캐릭터][-] 영웅 장비아이템 획득 Step.4</t>
  </si>
  <si>
    <t>[ffc0cb][캐릭터][-] 영웅 장비아이템 획득 Step.5</t>
  </si>
  <si>
    <t>[ffc0cb][캐릭터][-] 영웅 장비아이템 획득 Step.6</t>
  </si>
  <si>
    <t>[ffc0cb][캐릭터][-] 영웅 장비아이템 획득 Step.7</t>
  </si>
  <si>
    <t>[ffc0cb][캐릭터][-] 영웅 장비아이템 획득 Step.8</t>
  </si>
  <si>
    <t>[ffc0cb][캐릭터][-] 영웅 장비아이템 획득 Step.9</t>
  </si>
  <si>
    <t>[ffc0cb][캐릭터][-] 영웅 장비아이템 획득 Step.10</t>
  </si>
  <si>
    <t>[ffc0cb][캐릭터][-] 영웅 장비아이템 획득 Step.11</t>
  </si>
  <si>
    <t>[ffc0cb][캐릭터][-] 영웅 장비아이템 획득 Step.12</t>
  </si>
  <si>
    <t>[ffc0cb][캐릭터][-] 영웅 장비아이템 획득 Step.13</t>
  </si>
  <si>
    <t>[ffc0cb][캐릭터][-] 영웅 장비아이템 획득 Step.14</t>
  </si>
  <si>
    <t>[ffc0cb][캐릭터][-] 영웅 장비아이템 획득 Step.15</t>
  </si>
  <si>
    <t>[ffc0cb][캐릭터][-] 영웅 장비아이템 획득 Step.16</t>
  </si>
  <si>
    <t>[ffc0cb][캐릭터][-] 영웅 장비아이템 획득 Step.17</t>
  </si>
  <si>
    <t>[ffc0cb][캐릭터][-] 영웅 장비아이템 획득 Step.18</t>
  </si>
  <si>
    <t>[ffc0cb][캐릭터][-] 영웅 장비아이템 획득 Step.19</t>
  </si>
  <si>
    <t>[ffc0cb][캐릭터][-] 영웅 장비아이템 획득 Step.20</t>
  </si>
  <si>
    <t>[ffc0cb][캐릭터][-] 영웅 장비아이템 획득 Step.21</t>
  </si>
  <si>
    <t>[ffc0cb][캐릭터][-] 영웅 장비아이템 획득 Step.22</t>
  </si>
  <si>
    <t>[ffc0cb][캐릭터][-] 영웅 장비아이템 획득 Step.23</t>
  </si>
  <si>
    <t>[ffc0cb][캐릭터][-] 영웅 장비아이템 획득 Step.24</t>
  </si>
  <si>
    <t>[ffc0cb][캐릭터][-] 전설 장비아이템 획득 Step.1</t>
  </si>
  <si>
    <t>[ffc0cb][캐릭터][-] 전설 장비아이템 획득 Step.2</t>
  </si>
  <si>
    <t>[ffc0cb][캐릭터][-] 전설 장비아이템 획득 Step.3</t>
  </si>
  <si>
    <t>[ffc0cb][캐릭터][-] 전설 장비아이템 획득 Step.4</t>
  </si>
  <si>
    <t>[ffc0cb][캐릭터][-] 전설 장비아이템 획득 Step.5</t>
  </si>
  <si>
    <t>[ffc0cb][캐릭터][-] 전설 장비아이템 획득 Step.6</t>
  </si>
  <si>
    <t>[ffc0cb][캐릭터][-] 전설 장비아이템 획득 Step.7</t>
  </si>
  <si>
    <t>[ffc0cb][캐릭터][-] 전설 장비아이템 획득 Step.8</t>
  </si>
  <si>
    <t>[ffc0cb][캐릭터][-] 전설 장비아이템 획득 Step.9</t>
  </si>
  <si>
    <t>[ffc0cb][캐릭터][-] 전설 장비아이템 획득 Step.10</t>
  </si>
  <si>
    <t>[ffc0cb][캐릭터][-] 전설 장비아이템 획득 Step.11</t>
  </si>
  <si>
    <t>[ffc0cb][캐릭터][-] 전설 장비아이템 획득 Step.12</t>
  </si>
  <si>
    <t>[ffc0cb][캐릭터][-] 전설 장비아이템 획득 Step.13</t>
  </si>
  <si>
    <t>[ffc0cb][캐릭터][-] 전설 장비아이템 획득 Step.14</t>
  </si>
  <si>
    <t>[ffc0cb][캐릭터][-] 전설 장비아이템 획득 Step.15</t>
  </si>
  <si>
    <t>[ffc0cb][캐릭터][-] 전설 장비아이템 획득 Step.16</t>
  </si>
  <si>
    <t>[ffc0cb][캐릭터][-] 전설 장비아이템 획득 Step.17</t>
  </si>
  <si>
    <t>[ffc0cb][캐릭터][-] 전설 장비아이템 획득 Step.18</t>
  </si>
  <si>
    <t>[ffc0cb][캐릭터][-] 전설 장비아이템 획득 Step.19</t>
  </si>
  <si>
    <t>[ffc0cb][캐릭터][-] 전설 장비아이템 획득 Step.20</t>
  </si>
  <si>
    <t>[ffc0cb][캐릭터][-] 전설 장비아이템 획득 Step.21</t>
  </si>
  <si>
    <t>[ffc0cb][캐릭터][-] 전설 장비아이템 획득 Step.22</t>
  </si>
  <si>
    <t>[ffc0cb][캐릭터][-] 전설 장비아이템 획득 Step.23</t>
  </si>
  <si>
    <t>[ffc0cb][캐릭터][-] 전설 장비아이템 획득 Step.24</t>
  </si>
  <si>
    <t>[ffc0cb][캐릭터][-] 불멸 장비아이템 획득 Step.1</t>
  </si>
  <si>
    <t>[ffc0cb][캐릭터][-] 불멸 장비아이템 획득 Step.2</t>
  </si>
  <si>
    <t>[ffc0cb][캐릭터][-] 불멸 장비아이템 획득 Step.3</t>
  </si>
  <si>
    <t>[ffc0cb][캐릭터][-] 불멸 장비아이템 획득 Step.4</t>
  </si>
  <si>
    <t>[ffc0cb][캐릭터][-] 불멸 장비아이템 획득 Step.5</t>
  </si>
  <si>
    <t>[ffc0cb][캐릭터][-] 불멸 장비아이템 획득 Step.6</t>
  </si>
  <si>
    <t>[ffc0cb][캐릭터][-] 불멸 장비아이템 획득 Step.7</t>
  </si>
  <si>
    <t>[ffc0cb][캐릭터][-] 불멸 장비아이템 획득 Step.8</t>
  </si>
  <si>
    <t>[ffc0cb][캐릭터][-] 불멸 장비아이템 획득 Step.9</t>
  </si>
  <si>
    <t>[ffc0cb][캐릭터][-] 불멸 장비아이템 획득 Step.10</t>
  </si>
  <si>
    <t>[ffc0cb][캐릭터][-] 불멸 장비아이템 획득 Step.11</t>
  </si>
  <si>
    <t>[ffc0cb][캐릭터][-] 불멸 장비아이템 획득 Step.12</t>
  </si>
  <si>
    <t>[ffc0cb][캐릭터][-] 불멸 장비아이템 획득 Step.13</t>
  </si>
  <si>
    <t>[ffc0cb][캐릭터][-] 불멸 장비아이템 획득 Step.14</t>
  </si>
  <si>
    <t>[ffc0cb][캐릭터][-] 장비아이템 랜덤옵션변경 Step.1</t>
  </si>
  <si>
    <t>[ffc0cb][캐릭터][-] 장비아이템 랜덤옵션변경 Step.2</t>
  </si>
  <si>
    <t>[ffc0cb][캐릭터][-] 장비아이템 랜덤옵션변경 Step.3</t>
  </si>
  <si>
    <t>[ffc0cb][캐릭터][-] 장비아이템 랜덤옵션변경 Step.4</t>
  </si>
  <si>
    <t>[ffc0cb][캐릭터][-] 장비아이템 랜덤옵션변경 Step.5</t>
  </si>
  <si>
    <t>[ffc0cb][캐릭터][-] 장비아이템 랜덤옵션변경 Step.6</t>
  </si>
  <si>
    <t>[ffc0cb][캐릭터][-] 장비아이템 랜덤옵션변경 Step.7</t>
  </si>
  <si>
    <t>[ffc0cb][캐릭터][-] 장비아이템 랜덤옵션변경 Step.8</t>
  </si>
  <si>
    <t>[ffc0cb][캐릭터][-] 장비아이템 랜덤옵션변경 Step.9</t>
  </si>
  <si>
    <t>[ffc0cb][캐릭터][-] 장비아이템 랜덤옵션변경 Step.10</t>
  </si>
  <si>
    <t>[ffc0cb][캐릭터][-] 장비아이템 랜덤옵션변경 Step.11</t>
  </si>
  <si>
    <t>[ffc0cb][캐릭터][-] 장비아이템 랜덤옵션변경 Step.12</t>
  </si>
  <si>
    <t>[ffc0cb][캐릭터][-] 장비아이템 랜덤옵션변경 Step.13</t>
  </si>
  <si>
    <t>[ffc0cb][캐릭터][-] 장비아이템 랜덤옵션변경 Step.14</t>
  </si>
  <si>
    <t>[ffc0cb][캐릭터][-] 장비아이템 랜덤옵션변경 Step.15</t>
  </si>
  <si>
    <t>[ffc0cb][캐릭터][-] 장비아이템 랜덤옵션변경 Step.16</t>
  </si>
  <si>
    <t>[ffc0cb][캐릭터][-] 장비아이템 랜덤옵션변경 Step.17</t>
  </si>
  <si>
    <t>[ffc0cb][캐릭터][-] 장비아이템 랜덤옵션변경 Step.18</t>
  </si>
  <si>
    <t>[ffc0cb][캐릭터][-] 장비아이템 랜덤옵션변경 Step.19</t>
  </si>
  <si>
    <t>[ffc0cb][캐릭터][-] 장비아이템 랜덤옵션변경 Step.20</t>
  </si>
  <si>
    <t>[ffc0cb][캐릭터][-] 장비아이템 랜덤옵션변경 Step.21</t>
  </si>
  <si>
    <t>[ffc0cb][캐릭터][-] 장비아이템 랜덤옵션변경 Step.22</t>
  </si>
  <si>
    <t>[ffc0cb][캐릭터][-] 장비아이템 랜덤옵션변경 Step.23</t>
  </si>
  <si>
    <t>[ffc0cb][캐릭터][-] 장비아이템 랜덤옵션변경 Step.24</t>
  </si>
  <si>
    <t>[ffc0cb][캐릭터][-] 장비아이템 랜덤옵션변경 Step.25</t>
  </si>
  <si>
    <t>[ffc0cb][캐릭터][-] 장비아이템 랜덤옵션변경 Step.26</t>
  </si>
  <si>
    <t>[ffc0cb][캐릭터][-] 장비아이템 랜덤옵션변경 Step.27</t>
  </si>
  <si>
    <t>[ffc0cb][캐릭터][-] 장비아이템 랜덤옵션변경 Step.28</t>
  </si>
  <si>
    <t>[ffc0cb][캐릭터][-] 장비아이템 랜덤옵션변경 Step.29</t>
  </si>
  <si>
    <t>[ffc0cb][캐릭터][-] 장비아이템 랜덤옵션변경 Step.30</t>
  </si>
  <si>
    <t>[ffc0cb][캐릭터][-] 장비아이템 랜덤옵션변경 Step.31</t>
  </si>
  <si>
    <t>[ffc0cb][캐릭터][-] 장비아이템 랜덤옵션변경 Step.32</t>
  </si>
  <si>
    <t>[ffc0cb][캐릭터][-] 장비아이템 랜덤옵션변경 Step.33</t>
  </si>
  <si>
    <t>[ffc0cb][캐릭터][-] 장비아이템 랜덤옵션변경 Step.34</t>
  </si>
  <si>
    <t>[ffc0cb][캐릭터][-] 장비아이템 랜덤옵션변경 Step.35</t>
  </si>
  <si>
    <t>[ffc0cb][캐릭터][-] 장비아이템 랜덤옵션변경 Step.36</t>
  </si>
  <si>
    <t>[ffc0cb][캐릭터][-] 장비아이템 랜덤옵션변경 Step.37</t>
  </si>
  <si>
    <t>[ffc0cb][캐릭터][-] 장비아이템 랜덤옵션변경 Step.38</t>
  </si>
  <si>
    <t>[ffc0cb][캐릭터][-] 장비아이템 랜덤옵션변경 Step.39</t>
  </si>
  <si>
    <t>[ffc0cb][계정][-] 수호자 레벨 달성 Step.1</t>
  </si>
  <si>
    <t>[ffc0cb][계정][-] 수호자 레벨 달성 Step.2</t>
  </si>
  <si>
    <t>[ffc0cb][계정][-] 수호자 레벨 달성 Step.3</t>
  </si>
  <si>
    <t>[ffc0cb][계정][-] 수호자 레벨 달성 Step.4</t>
  </si>
  <si>
    <t>[ffc0cb][계정][-] 수호자 레벨 달성 Step.5</t>
  </si>
  <si>
    <t>[ffc0cb][계정][-] 수호자 레벨 달성 Step.6</t>
  </si>
  <si>
    <t>[ffc0cb][계정][-] 수호자 레벨 달성 Step.7</t>
  </si>
  <si>
    <t>[ffc0cb][계정][-] 수호자 레벨 달성 Step.8</t>
  </si>
  <si>
    <t>[ffc0cb][계정][-] 수호자 레벨 달성 Step.9</t>
  </si>
  <si>
    <t>[ffc0cb][계정][-] 수호자 레벨 달성 Step.10</t>
  </si>
  <si>
    <t>[ffc0cb][계정][-] 수호자 레벨 달성 Step.11</t>
  </si>
  <si>
    <t>[ffc0cb][계정][-] 수호자 레벨 달성 Step.12</t>
  </si>
  <si>
    <t>[ffc0cb][계정][-] 수호자 레벨 달성 Step.13</t>
  </si>
  <si>
    <t>[ffc0cb][계정][-] 수호자 레벨 달성 Step.14</t>
  </si>
  <si>
    <t>[ffc0cb][계정][-] 수호자 레벨 달성 Step.15</t>
  </si>
  <si>
    <t>[ffc0cb][계정][-] 수호자 레벨 달성 Step.16</t>
  </si>
  <si>
    <t>[ffc0cb][계정][-] 수호자 레벨 달성 Step.17</t>
  </si>
  <si>
    <t>[ffc0cb][계정][-] 수호자 레벨 달성 Step.18</t>
  </si>
  <si>
    <t>[ffc0cb][계정][-] 수호자 레벨 달성 Step.19</t>
  </si>
  <si>
    <t>[ffc0cb][계정][-] 수호자 레벨 달성 Step.20</t>
  </si>
  <si>
    <t>[ffc0cb][계정][-] 수호자 레벨 달성 Step.21</t>
  </si>
  <si>
    <t>[ffc0cb][계정][-] 수호자 레벨 달성 Step.22</t>
  </si>
  <si>
    <t>[ffc0cb][계정][-] 수호자 레벨 달성 Step.23</t>
  </si>
  <si>
    <t>[ffc0cb][계정][-] 수호자 레벨 달성 Step.24</t>
  </si>
  <si>
    <t>[ffc0cb][계정][-] 수호자 레벨 달성 Step.25</t>
  </si>
  <si>
    <t>[ffc0cb][계정][-] 수호자 레벨 달성 Step.26</t>
  </si>
  <si>
    <t>[ffc0cb][계정][-] 수호자 레벨 달성 Step.27</t>
  </si>
  <si>
    <t>[ffc0cb][계정][-] 수호자 레벨 달성 Step.28</t>
  </si>
  <si>
    <t>[ffc0cb][계정][-] 수호자 레벨 달성 Step.29</t>
  </si>
  <si>
    <t>[ffc0cb][계정][-] 수호자 레벨 달성 Step.30</t>
  </si>
  <si>
    <t>[ffc0cb][계정][-] 수호자 레벨 달성 Step.31</t>
  </si>
  <si>
    <t>[ffc0cb][계정][-] 수호자 레벨 달성 Step.32</t>
  </si>
  <si>
    <t>[ffc0cb][계정][-] 수호자 레벨 달성 Step.33</t>
  </si>
  <si>
    <t>[ffc0cb][계정][-] 수호자 레벨 달성 Step.34</t>
  </si>
  <si>
    <t>[ffc0cb][계정][-] 수호자 레벨 달성 Step.35</t>
  </si>
  <si>
    <t>[ffc0cb][계정][-] 수호자 레벨 달성 Step.36</t>
  </si>
  <si>
    <t>[ffc0cb][계정][-] 수호자 레벨 달성 Step.37</t>
  </si>
  <si>
    <t>[ffc0cb][계정][-] 수호자 레벨 달성 Step.38</t>
  </si>
  <si>
    <t>[ffc0cb][계정][-] 수호자 레벨 달성 Step.39</t>
  </si>
  <si>
    <t>[ffc0cb][계정][-] 수호자 레벨 달성 Step.40</t>
  </si>
  <si>
    <t>[ffc0cb][계정][-] 수호자 레벨 달성 Step.41</t>
  </si>
  <si>
    <t>[ffc0cb][계정][-] 수호자 레벨 달성 Step.42</t>
  </si>
  <si>
    <t>[ffc0cb][계정][-] 수호자 레벨 달성 Step.43</t>
  </si>
  <si>
    <t>[ffc0cb][계정][-] 수호자 레벨 달성 Step.44</t>
  </si>
  <si>
    <t>[ffc0cb][계정][-] 수호자 스킬 강화 Step.1</t>
  </si>
  <si>
    <t>[ffc0cb][계정][-] 수호자 스킬 강화 Step.2</t>
  </si>
  <si>
    <t>[ffc0cb][계정][-] 수호자 스킬 강화 Step.3</t>
  </si>
  <si>
    <t>[ffc0cb][계정][-] 수호자 스킬 강화 Step.4</t>
  </si>
  <si>
    <t>[ffc0cb][계정][-] 수호자 스킬 강화 Step.5</t>
  </si>
  <si>
    <t>[ffc0cb][계정][-] 수호자 스킬 강화 Step.6</t>
  </si>
  <si>
    <t>[ffc0cb][계정][-] 수호자 스킬 강화 Step.7</t>
  </si>
  <si>
    <t>[ffc0cb][계정][-] 수호자 스킬 강화 Step.8</t>
  </si>
  <si>
    <t>[ffc0cb][계정][-] 수호자 스킬 강화 Step.9</t>
  </si>
  <si>
    <t>[ffc0cb][계정][-] 수호자 스킬 강화 Step.10</t>
  </si>
  <si>
    <t>[ffc0cb][계정][-] 수호자 스킬 강화 Step.11</t>
  </si>
  <si>
    <t>[ffc0cb][계정][-] 수호자 스킬 강화 Step.12</t>
  </si>
  <si>
    <t>[ffc0cb][계정][-] 수호자 스킬 강화 Step.13</t>
  </si>
  <si>
    <t>[ffc0cb][계정][-] 수호자 스킬 초기화 Step.1</t>
  </si>
  <si>
    <t>[ffc0cb][계정][-] 수호자 스킬 초기화 Step.2</t>
  </si>
  <si>
    <t>[ffc0cb][계정][-] 균열던전 최초 완료 Step.1</t>
  </si>
  <si>
    <t>[ffc0cb][계정][-] 균열던전 최초 완료 Step.2</t>
  </si>
  <si>
    <t>[ffc0cb][계정][-] 균열던전 최초 완료 Step.3</t>
  </si>
  <si>
    <t>[ffc0cb][계정][-] 균열던전 최초 완료 Step.4</t>
  </si>
  <si>
    <t>[ffc0cb][계정][-] 균열던전 최초 완료 Step.5</t>
  </si>
  <si>
    <t>[ffc0cb][계정][-] 균열던전 최초 완료 Step.6</t>
  </si>
  <si>
    <t>[ffc0cb][계정][-] 균열던전 최초 완료 Step.7</t>
  </si>
  <si>
    <t>[ffc0cb][계정][-] 균열던전 최초 완료 Step.8</t>
  </si>
  <si>
    <t>[ffc0cb][계정][-] 균열던전 최초 완료 Step.9</t>
  </si>
  <si>
    <t>[ffc0cb][계정][-] 균열던전 최초 완료 Step.10</t>
  </si>
  <si>
    <t>[ffc0cb][계정][-] 균열던전 최초 완료 Step.11</t>
  </si>
  <si>
    <t>[ffc0cb][계정][-] 균열던전 최초 완료 Step.12</t>
  </si>
  <si>
    <t>[ffc0cb][계정][-] 균열던전 최초 완료 Step.13</t>
  </si>
  <si>
    <t>[ffc0cb][계정][-] 균열던전 최초 완료 Step.14</t>
  </si>
  <si>
    <t>[ffc0cb][계정][-] 균열던전 최초 완료 Step.15</t>
  </si>
  <si>
    <t>[ffc0cb][계정][-] 균열던전 최초 완료 Step.16</t>
  </si>
  <si>
    <t>[ffc0cb][계정][-] 균열던전 최초 완료 Step.17</t>
  </si>
  <si>
    <t>[ffc0cb][계정][-] 균열던전 최초 완료 Step.18</t>
  </si>
  <si>
    <t>[ffc0cb][계정][-] 균열던전 최초 완료 Step.19</t>
  </si>
  <si>
    <t>[ffc0cb][계정][-] 균열던전 최초 완료 Step.20</t>
  </si>
  <si>
    <t>[ffc0cb][계정][-] 균열던전 최초 완료 Step.21</t>
  </si>
  <si>
    <t>[ffc0cb][계정][-] 균열던전 최초 완료 Step.22</t>
  </si>
  <si>
    <t>[ffc0cb][계정][-] 균열던전 최초 완료 Step.23</t>
  </si>
  <si>
    <t>[ffc0cb][계정][-] 균열던전 최초 완료 Step.24</t>
  </si>
  <si>
    <t>[ffc0cb][계정][-] 균열던전 최초 완료 Step.25</t>
  </si>
  <si>
    <t>[ffc0cb][계정][-] 균열던전 최초 완료 Step.26</t>
  </si>
  <si>
    <t>[ffc0cb][계정][-] 균열던전 최초 완료 Step.27</t>
  </si>
  <si>
    <t>[ffc0cb][계정][-] 균열던전 최초 완료 Step.28</t>
  </si>
  <si>
    <t>[ffc0cb][계정][-] 균열던전 최초 완료 Step.29</t>
  </si>
  <si>
    <t>[ffc0cb][계정][-] 균열던전 최초 완료 Step.30</t>
  </si>
  <si>
    <t>[ffc0cb][계정][-] 균열던전 최초 완료 Step.31</t>
  </si>
  <si>
    <t>[ffc0cb][계정][-] 균열던전 최초 완료 Step.32</t>
  </si>
  <si>
    <t>[ffc0cb][계정][-] 균열던전 최초 완료 Step.33</t>
  </si>
  <si>
    <t>[ffc0cb][계정][-] 균열던전 최초 완료 Step.34</t>
  </si>
  <si>
    <t>[ffc0cb][계정][-] 균열던전 최초 완료 Step.35</t>
  </si>
  <si>
    <t>[ffc0cb][계정][-] 균열던전 최초 완료 Step.36</t>
  </si>
  <si>
    <t>[ffc0cb][계정][-] 균열던전 최초 완료 Step.37</t>
  </si>
  <si>
    <t>[ffc0cb][계정][-] 균열던전 최초 완료 Step.38</t>
  </si>
  <si>
    <t>[ffc0cb][계정][-] 균열던전 최초 완료 Step.39</t>
  </si>
  <si>
    <t>[ffc0cb][계정][-] 균열던전 최초 완료 Step.40</t>
  </si>
  <si>
    <t>[ffc0cb][계정][-] 결투장 연승 달성 Step.1</t>
  </si>
  <si>
    <t>[ffc0cb][계정][-] 결투장 연승 달성 Step.2</t>
  </si>
  <si>
    <t>[ffc0cb][계정][-] 결투장 연승 달성 Step.3</t>
  </si>
  <si>
    <t>[ffc0cb][계정][-] 결투장 연승 달성 Step.4</t>
  </si>
  <si>
    <t>[ffc0cb][계정][-] 결투장 연승 달성 Step.5</t>
  </si>
  <si>
    <t>[ffc0cb][계정][-] 결투장 연승 달성 Step.6</t>
  </si>
  <si>
    <t>[ffc0cb][계정][-] 결투장 연승 달성 Step.7</t>
  </si>
  <si>
    <t>[ffc0cb][계정][-] 결투장 연승 달성 Step.8</t>
  </si>
  <si>
    <t>[ffc0cb][계정][-] 결투장 연승 달성 Step.9</t>
  </si>
  <si>
    <t>[ffc0cb][계정][-] 결투장 연승 달성 Step.10</t>
  </si>
  <si>
    <t>[ffc0cb][계정][-] 결투장 연승 달성 Step.11</t>
  </si>
  <si>
    <t>[ffc0cb][계정][-] 결투장 연승 달성 Step.12</t>
  </si>
  <si>
    <t>[ffc0cb][계정][-] 결투장 연승 달성 Step.13</t>
  </si>
  <si>
    <t>[ffc0cb][계정][-] 결투장 연승 달성 Step.14</t>
  </si>
  <si>
    <t>[ffc0cb][계정][-] 결투장 연승 달성 Step.15</t>
  </si>
  <si>
    <t>[ffc0cb][계정][-] 결투장 연승 달성 Step.16</t>
  </si>
  <si>
    <t>[ffc0cb][계정][-] 결투장 연승 달성 Step.17</t>
  </si>
  <si>
    <t>[ffc0cb][계정][-] 결투장 연승 달성 Step.18</t>
  </si>
  <si>
    <t>[ffc0cb][계정][-] 결투장 연승 달성 Step.19</t>
  </si>
  <si>
    <t>[ffc0cb][계정][-] 결투장 연승 달성 Step.20</t>
  </si>
  <si>
    <t>[ffc0cb][계정][-] 결투장 연승 달성 Step.21</t>
  </si>
  <si>
    <t>[ffc0cb][계정][-] 결투장 연승 달성 Step.22</t>
  </si>
  <si>
    <t>[ffc0cb][계정][-] 결투장 연승 달성 Step.23</t>
  </si>
  <si>
    <t>[ffc0cb][계정][-] 결투장 연승 달성 Step.24</t>
  </si>
  <si>
    <t>[ffc0cb][계정][-] 결투장 연승 달성 Step.25</t>
  </si>
  <si>
    <t>[ffc0cb][계정][-] 결투장 연승 달성 Step.26</t>
  </si>
  <si>
    <t>[ffc0cb][계정][-] 결투장 연승 달성 Step.27</t>
  </si>
  <si>
    <t>[ffc0cb][계정][-] 결투장 연승 달성 Step.28</t>
  </si>
  <si>
    <t>[ffc0cb][계정][-] 결투장 연승 달성 Step.29</t>
  </si>
  <si>
    <t>[ffc0cb][계정][-] 결투장 연승 달성 Step.30</t>
  </si>
  <si>
    <t>[ffc0cb][계정][-] 결투장 연승 달성 Step.31</t>
  </si>
  <si>
    <t>[ffc0cb][계정][-] 길드전 참가 Step.1</t>
  </si>
  <si>
    <t>[ffc0cb][계정][-] 길드전 참가 Step.2</t>
  </si>
  <si>
    <t>[ffc0cb][계정][-] 길드전 참가 Step.3</t>
  </si>
  <si>
    <t>[ffc0cb][계정][-] 길드전 참가 Step.4</t>
  </si>
  <si>
    <t>[ffc0cb][계정][-] 길드전 참가 Step.5</t>
  </si>
  <si>
    <t>[ffc0cb][계정][-] 길드전 참가 Step.6</t>
  </si>
  <si>
    <t>[ffc0cb][계정][-] 길드전 참가 Step.7</t>
  </si>
  <si>
    <t>[ffc0cb][계정][-] 길드전 참가 Step.8</t>
  </si>
  <si>
    <t>[ffc0cb][계정][-] 길드전 참가 Step.9</t>
  </si>
  <si>
    <t>[ffc0cb][계정][-] 길드전 참가 Step.10</t>
  </si>
  <si>
    <t>[ffc0cb][계정][-] 길드전 참가 Step.11</t>
  </si>
  <si>
    <t>[ffc0cb][계정][-] 길드전 참가 Step.12</t>
  </si>
  <si>
    <t>[ffc0cb][계정][-] 길드전 참가 Step.13</t>
  </si>
  <si>
    <t>[ffc0cb][계정][-] 길드전 참가 Step.14</t>
  </si>
  <si>
    <t>[ffc0cb][계정][-] 길드전 승리 Step.1</t>
  </si>
  <si>
    <t>[ffc0cb][계정][-] 길드전 승리 Step.2</t>
  </si>
  <si>
    <t>[ffc0cb][계정][-] 길드전 승리 Step.3</t>
  </si>
  <si>
    <t>[ffc0cb][계정][-] 길드전 승리 Step.4</t>
  </si>
  <si>
    <t>[ffc0cb][계정][-] 길드전 승리 Step.5</t>
  </si>
  <si>
    <t>[ffc0cb][계정][-] 길드전 승리 Step.6</t>
  </si>
  <si>
    <t>[ffc0cb][계정][-] 길드전 승리 Step.7</t>
  </si>
  <si>
    <t>[ffc0cb][계정][-] 길드전 승리 Step.8</t>
  </si>
  <si>
    <t>[ffc0cb][계정][-] 길드전 승리 Step.9</t>
  </si>
  <si>
    <t>[ffc0cb][계정][-] 길드전 승리 Step.10</t>
  </si>
  <si>
    <t>[ffc0cb][계정][-] 길드전 승리 Step.11</t>
  </si>
  <si>
    <t>[ffc0cb][계정][-] 길드전 승리 Step.12</t>
  </si>
  <si>
    <t>[ffc0cb][계정][-] 길드전 승리 Step.13</t>
  </si>
  <si>
    <t>[ffc0cb][계정][-] 길드전 승리 Step.14</t>
  </si>
  <si>
    <t>[ffc0cb][Account][-] Guardian Levelup Step.1</t>
  </si>
  <si>
    <t>[ffc0cb][Account][-] Guardian Levelup Step.2</t>
  </si>
  <si>
    <t>[ffc0cb][Account][-] Guardian Levelup Step.3</t>
  </si>
  <si>
    <t>[ffc0cb][Account][-] Guardian Levelup Step.4</t>
  </si>
  <si>
    <t>[ffc0cb][Account][-] Guardian Levelup Step.5</t>
  </si>
  <si>
    <t>[ffc0cb][Account][-] Guardian Levelup Step.6</t>
  </si>
  <si>
    <t>[ffc0cb][Account][-] Guardian Levelup Step.7</t>
  </si>
  <si>
    <t>[ffc0cb][Account][-] Guardian Levelup Step.8</t>
  </si>
  <si>
    <t>[ffc0cb][Account][-] Guardian Levelup Step.9</t>
  </si>
  <si>
    <t>[ffc0cb][Account][-] Guardian Levelup Step.10</t>
  </si>
  <si>
    <t>[ffc0cb][Account][-] Guardian Levelup Step.11</t>
  </si>
  <si>
    <t>[ffc0cb][Account][-] Guardian Levelup Step.12</t>
  </si>
  <si>
    <t>[ffc0cb][Account][-] Guardian Levelup Step.13</t>
  </si>
  <si>
    <t>[ffc0cb][Account][-] Guardian Levelup Step.14</t>
  </si>
  <si>
    <t>[ffc0cb][Account][-] Guardian Levelup Step.15</t>
  </si>
  <si>
    <t>[ffc0cb][Account][-] Guardian Levelup Step.16</t>
  </si>
  <si>
    <t>[ffc0cb][Account][-] Guardian Levelup Step.17</t>
  </si>
  <si>
    <t>[ffc0cb][Account][-] Guardian Levelup Step.18</t>
  </si>
  <si>
    <t>[ffc0cb][Account][-] Guardian Levelup Step.19</t>
  </si>
  <si>
    <t>[ffc0cb][Account][-] Guardian Levelup Step.20</t>
  </si>
  <si>
    <t>[ffc0cb][Account][-] Guardian Levelup Step.21</t>
  </si>
  <si>
    <t>[ffc0cb][Account][-] Guardian Levelup Step.22</t>
  </si>
  <si>
    <t>[ffc0cb][Account][-] Guardian Levelup Step.23</t>
  </si>
  <si>
    <t>[ffc0cb][Account][-] Guardian Levelup Step.24</t>
  </si>
  <si>
    <t>[ffc0cb][Account][-] Guardian Levelup Step.25</t>
  </si>
  <si>
    <t>[ffc0cb][Account][-] Guardian Levelup Step.26</t>
  </si>
  <si>
    <t>[ffc0cb][Account][-] Guardian Levelup Step.27</t>
  </si>
  <si>
    <t>[ffc0cb][Account][-] Guardian Levelup Step.28</t>
  </si>
  <si>
    <t>[ffc0cb][Account][-] Guardian Levelup Step.29</t>
  </si>
  <si>
    <t>[ffc0cb][Account][-] Guardian Levelup Step.30</t>
  </si>
  <si>
    <t>[ffc0cb][Account][-] Guardian Levelup Step.31</t>
  </si>
  <si>
    <t>[ffc0cb][Account][-] Guardian Levelup Step.32</t>
  </si>
  <si>
    <t>[ffc0cb][Account][-] Guardian Levelup Step.33</t>
  </si>
  <si>
    <t>[ffc0cb][Account][-] Guardian Levelup Step.34</t>
  </si>
  <si>
    <t>[ffc0cb][Account][-] Guardian Levelup Step.35</t>
  </si>
  <si>
    <t>[ffc0cb][Account][-] Guardian Levelup Step.36</t>
  </si>
  <si>
    <t>[ffc0cb][Account][-] Guardian Levelup Step.37</t>
  </si>
  <si>
    <t>[ffc0cb][Account][-] Guardian Levelup Step.38</t>
  </si>
  <si>
    <t>[ffc0cb][Account][-] Guardian Levelup Step.39</t>
  </si>
  <si>
    <t>[ffc0cb][Account][-] Guardian Levelup Step.40</t>
  </si>
  <si>
    <t>[ffc0cb][Account][-] Guardian Levelup Step.41</t>
  </si>
  <si>
    <t>[ffc0cb][Account][-] Guardian Levelup Step.42</t>
  </si>
  <si>
    <t>[ffc0cb][Account][-] Guardian Levelup Step.43</t>
  </si>
  <si>
    <t>[ffc0cb][Account][-] Guardian Levelup Step.44</t>
  </si>
  <si>
    <t>[ffc0cb][Account][-] Guardian skill upgarde Step.1</t>
  </si>
  <si>
    <t>[ffc0cb][Account][-] Guardian skill upgarde Step.2</t>
  </si>
  <si>
    <t>[ffc0cb][Account][-] Guardian skill upgarde Step.3</t>
  </si>
  <si>
    <t>[ffc0cb][Account][-] Guardian skill upgarde Step.4</t>
  </si>
  <si>
    <t>[ffc0cb][Account][-] Guardian skill upgarde Step.5</t>
  </si>
  <si>
    <t>[ffc0cb][Account][-] Guardian skill upgarde Step.6</t>
  </si>
  <si>
    <t>[ffc0cb][Account][-] Guardian skill upgarde Step.7</t>
  </si>
  <si>
    <t>[ffc0cb][Account][-] Guardian skill upgarde Step.8</t>
  </si>
  <si>
    <t>[ffc0cb][Account][-] Guardian skill upgarde Step.9</t>
  </si>
  <si>
    <t>[ffc0cb][Account][-] Guardian skill upgarde Step.10</t>
  </si>
  <si>
    <t>[ffc0cb][Account][-] Guardian skill upgarde Step.11</t>
  </si>
  <si>
    <t>[ffc0cb][Account][-] Guardian skill upgarde Step.12</t>
  </si>
  <si>
    <t>[ffc0cb][Account][-] Guardian skill upgarde Step.13</t>
  </si>
  <si>
    <t>[ffc0cb][Account][-] Guardian skill reset Step.1</t>
  </si>
  <si>
    <t>[ffc0cb][Account][-] Guardian skill reset Step.2</t>
  </si>
  <si>
    <t>[ffc0cb][Account][-] The first rift clear Step.1</t>
  </si>
  <si>
    <t>[ffc0cb][Account][-] The first rift clear Step.2</t>
  </si>
  <si>
    <t>[ffc0cb][Account][-] The first rift clear Step.3</t>
  </si>
  <si>
    <t>[ffc0cb][Account][-] The first rift clear Step.4</t>
  </si>
  <si>
    <t>[ffc0cb][Account][-] The first rift clear Step.5</t>
  </si>
  <si>
    <t>[ffc0cb][Account][-] The first rift clear Step.6</t>
  </si>
  <si>
    <t>[ffc0cb][Account][-] The first rift clear Step.7</t>
  </si>
  <si>
    <t>[ffc0cb][Account][-] The first rift clear Step.8</t>
  </si>
  <si>
    <t>[ffc0cb][Account][-] The first rift clear Step.9</t>
  </si>
  <si>
    <t>[ffc0cb][Account][-] The first rift clear Step.10</t>
  </si>
  <si>
    <t>[ffc0cb][Account][-] The first rift clear Step.11</t>
  </si>
  <si>
    <t>[ffc0cb][Account][-] The first rift clear Step.12</t>
  </si>
  <si>
    <t>[ffc0cb][Account][-] The first rift clear Step.13</t>
  </si>
  <si>
    <t>[ffc0cb][Account][-] The first rift clear Step.14</t>
  </si>
  <si>
    <t>[ffc0cb][Account][-] The first rift clear Step.15</t>
  </si>
  <si>
    <t>[ffc0cb][Account][-] The first rift clear Step.16</t>
  </si>
  <si>
    <t>[ffc0cb][Account][-] The first rift clear Step.17</t>
  </si>
  <si>
    <t>[ffc0cb][Account][-] The first rift clear Step.18</t>
  </si>
  <si>
    <t>[ffc0cb][Account][-] The first rift clear Step.19</t>
  </si>
  <si>
    <t>[ffc0cb][Account][-] The first rift clear Step.20</t>
  </si>
  <si>
    <t>[ffc0cb][Account][-] The first rift clear Step.21</t>
  </si>
  <si>
    <t>[ffc0cb][Account][-] The first rift clear Step.22</t>
  </si>
  <si>
    <t>[ffc0cb][Account][-] The first rift clear Step.23</t>
  </si>
  <si>
    <t>[ffc0cb][Account][-] The first rift clear Step.24</t>
  </si>
  <si>
    <t>[ffc0cb][Account][-] The first rift clear Step.25</t>
  </si>
  <si>
    <t>[ffc0cb][Account][-] The first rift clear Step.26</t>
  </si>
  <si>
    <t>[ffc0cb][Account][-] The first rift clear Step.27</t>
  </si>
  <si>
    <t>[ffc0cb][Account][-] The first rift clear Step.28</t>
  </si>
  <si>
    <t>[ffc0cb][Account][-] The first rift clear Step.29</t>
  </si>
  <si>
    <t>[ffc0cb][Account][-] The first rift clear Step.30</t>
  </si>
  <si>
    <t>[ffc0cb][Account][-] The first rift clear Step.31</t>
  </si>
  <si>
    <t>[ffc0cb][Account][-] The first rift clear Step.32</t>
  </si>
  <si>
    <t>[ffc0cb][Account][-] The first rift clear Step.33</t>
  </si>
  <si>
    <t>[ffc0cb][Account][-] The first rift clear Step.34</t>
  </si>
  <si>
    <t>[ffc0cb][Account][-] The first rift clear Step.35</t>
  </si>
  <si>
    <t>[ffc0cb][Account][-] The first rift clear Step.36</t>
  </si>
  <si>
    <t>[ffc0cb][Account][-] The first rift clear Step.37</t>
  </si>
  <si>
    <t>[ffc0cb][Account][-] The first rift clear Step.38</t>
  </si>
  <si>
    <t>[ffc0cb][Account][-] The first rift clear Step.39</t>
  </si>
  <si>
    <t>[ffc0cb][Account][-] The first rift clear Step.40</t>
  </si>
  <si>
    <t>[ffc0cb][Account][-] Vicotry in a row Step.1</t>
  </si>
  <si>
    <t>[ffc0cb][Account][-] Vicotry in a row Step.2</t>
  </si>
  <si>
    <t>[ffc0cb][Account][-] Vicotry in a row Step.3</t>
  </si>
  <si>
    <t>[ffc0cb][Account][-] Vicotry in a row Step.4</t>
  </si>
  <si>
    <t>[ffc0cb][Account][-] Vicotry in a row Step.5</t>
  </si>
  <si>
    <t>[ffc0cb][Account][-] Vicotry in a row Step.6</t>
  </si>
  <si>
    <t>[ffc0cb][Account][-] Vicotry in a row Step.7</t>
  </si>
  <si>
    <t>[ffc0cb][Account][-] Vicotry in a row Step.8</t>
  </si>
  <si>
    <t>[ffc0cb][Account][-] Vicotry in a row Step.9</t>
  </si>
  <si>
    <t>[ffc0cb][Account][-] Vicotry in a row Step.10</t>
  </si>
  <si>
    <t>[ffc0cb][Account][-] Vicotry in a row Step.11</t>
  </si>
  <si>
    <t>[ffc0cb][Account][-] Vicotry in a row Step.12</t>
  </si>
  <si>
    <t>[ffc0cb][Account][-] Vicotry in a row Step.13</t>
  </si>
  <si>
    <t>[ffc0cb][Account][-] Vicotry in a row Step.14</t>
  </si>
  <si>
    <t>[ffc0cb][Account][-] Vicotry in a row Step.15</t>
  </si>
  <si>
    <t>[ffc0cb][Account][-] Vicotry in a row Step.16</t>
  </si>
  <si>
    <t>[ffc0cb][Account][-] Vicotry in a row Step.17</t>
  </si>
  <si>
    <t>[ffc0cb][Account][-] Vicotry in a row Step.18</t>
  </si>
  <si>
    <t>[ffc0cb][Account][-] Vicotry in a row Step.19</t>
  </si>
  <si>
    <t>[ffc0cb][Account][-] Vicotry in a row Step.20</t>
  </si>
  <si>
    <t>[ffc0cb][Account][-] Vicotry in a row Step.21</t>
  </si>
  <si>
    <t>[ffc0cb][Account][-] Vicotry in a row Step.22</t>
  </si>
  <si>
    <t>[ffc0cb][Account][-] Vicotry in a row Step.23</t>
  </si>
  <si>
    <t>[ffc0cb][Account][-] Vicotry in a row Step.24</t>
  </si>
  <si>
    <t>[ffc0cb][Account][-] Vicotry in a row Step.25</t>
  </si>
  <si>
    <t>[ffc0cb][Account][-] Vicotry in a row Step.26</t>
  </si>
  <si>
    <t>[ffc0cb][Account][-] Vicotry in a row Step.27</t>
  </si>
  <si>
    <t>[ffc0cb][Account][-] Vicotry in a row Step.28</t>
  </si>
  <si>
    <t>[ffc0cb][Account][-] Vicotry in a row Step.29</t>
  </si>
  <si>
    <t>[ffc0cb][Account][-] Vicotry in a row Step.30</t>
  </si>
  <si>
    <t>[ffc0cb][Account][-] Vicotry in a row Step.31</t>
  </si>
  <si>
    <t>[ffc0cb][Account][-] Enter the Guildwar Step.1</t>
  </si>
  <si>
    <t>[ffc0cb][Account][-] Enter the Guildwar Step.2</t>
  </si>
  <si>
    <t>[ffc0cb][Account][-] Enter the Guildwar Step.3</t>
  </si>
  <si>
    <t>[ffc0cb][Account][-] Enter the Guildwar Step.4</t>
  </si>
  <si>
    <t>[ffc0cb][Account][-] Enter the Guildwar Step.5</t>
  </si>
  <si>
    <t>[ffc0cb][Account][-] Enter the Guildwar Step.6</t>
  </si>
  <si>
    <t>[ffc0cb][Account][-] Enter the Guildwar Step.7</t>
  </si>
  <si>
    <t>[ffc0cb][Account][-] Enter the Guildwar Step.8</t>
  </si>
  <si>
    <t>[ffc0cb][Account][-] Enter the Guildwar Step.9</t>
  </si>
  <si>
    <t>[ffc0cb][Account][-] Enter the Guildwar Step.10</t>
  </si>
  <si>
    <t>[ffc0cb][Account][-] Enter the Guildwar Step.11</t>
  </si>
  <si>
    <t>[ffc0cb][Account][-] Enter the Guildwar Step.12</t>
  </si>
  <si>
    <t>[ffc0cb][Account][-] Enter the Guildwar Step.13</t>
  </si>
  <si>
    <t>[ffc0cb][Account][-] Enter the Guildwar Step.14</t>
  </si>
  <si>
    <t>[ffc0cb][Account][-] Guildwar victory Step.1</t>
  </si>
  <si>
    <t>[ffc0cb][Account][-] Guildwar victory Step.2</t>
  </si>
  <si>
    <t>[ffc0cb][Account][-] Guildwar victory Step.3</t>
  </si>
  <si>
    <t>[ffc0cb][Account][-] Guildwar victory Step.4</t>
  </si>
  <si>
    <t>[ffc0cb][Account][-] Guildwar victory Step.5</t>
  </si>
  <si>
    <t>[ffc0cb][Account][-] Guildwar victory Step.6</t>
  </si>
  <si>
    <t>[ffc0cb][Account][-] Guildwar victory Step.7</t>
  </si>
  <si>
    <t>[ffc0cb][Account][-] Guildwar victory Step.8</t>
  </si>
  <si>
    <t>[ffc0cb][Account][-] Guildwar victory Step.9</t>
  </si>
  <si>
    <t>[ffc0cb][Account][-] Guildwar victory Step.10</t>
  </si>
  <si>
    <t>[ffc0cb][Account][-] Guildwar victory Step.11</t>
  </si>
  <si>
    <t>[ffc0cb][Account][-] Guildwar victory Step.12</t>
  </si>
  <si>
    <t>[ffc0cb][Account][-] Guildwar victory Step.13</t>
  </si>
  <si>
    <t>[ffc0cb][Account][-] Guildwar victory Step.14</t>
  </si>
  <si>
    <t>[ffc0cb][Character][-] Level up mission Step.1</t>
  </si>
  <si>
    <t>[ffc0cb][Character][-] Level up mission Step.2</t>
  </si>
  <si>
    <t>[ffc0cb][Character][-] Level up mission Step.3</t>
  </si>
  <si>
    <t>[ffc0cb][Character][-] Level up mission Step.4</t>
  </si>
  <si>
    <t>[ffc0cb][Character][-] Level up mission Step.5</t>
  </si>
  <si>
    <t>[ffc0cb][Character][-] Level up mission Step.6</t>
  </si>
  <si>
    <t>[ffc0cb][Character][-] Level up mission Step.7</t>
  </si>
  <si>
    <t>[ffc0cb][Character][-] Level up mission Step.8</t>
  </si>
  <si>
    <t>[ffc0cb][Character][-] Level up mission Step.9</t>
  </si>
  <si>
    <t>[ffc0cb][Character][-] Level up mission Step.10</t>
  </si>
  <si>
    <t>[ffc0cb][Character][-] Skill upgarde Step.1</t>
  </si>
  <si>
    <t>[ffc0cb][Character][-] Skill upgarde Step.2</t>
  </si>
  <si>
    <t>[ffc0cb][Character][-] Skill upgarde Step.3</t>
  </si>
  <si>
    <t>[ffc0cb][Character][-] Skill upgarde Step.4</t>
  </si>
  <si>
    <t>[ffc0cb][Character][-] Skill upgarde Step.5</t>
  </si>
  <si>
    <t>[ffc0cb][Character][-] Skill upgarde Step.6</t>
  </si>
  <si>
    <t>[ffc0cb][Character][-] Skill upgarde Step.7</t>
  </si>
  <si>
    <t>[ffc0cb][Character][-] Skill upgarde Step.8</t>
  </si>
  <si>
    <t>[ffc0cb][Character][-] Skill reset Step.1</t>
  </si>
  <si>
    <t>[ffc0cb][Character][-] Skill reset Step.2</t>
  </si>
  <si>
    <t>[ffc0cb][Character][-] Guardian stone Step.1</t>
  </si>
  <si>
    <t>[ffc0cb][Character][-] Guardian stone Step.2</t>
  </si>
  <si>
    <t>[ffc0cb][Character][-] Guardian stone Step.3</t>
  </si>
  <si>
    <t>[ffc0cb][Character][-] Guardian stone Step.4</t>
  </si>
  <si>
    <t>[ffc0cb][Character][-] Guardian stone Step.5</t>
  </si>
  <si>
    <t>[ffc0cb][Character][-] Guardian stone Step.6</t>
  </si>
  <si>
    <t>[ffc0cb][Character][-] Guardian stone Step.7</t>
  </si>
  <si>
    <t>[ffc0cb][Character][-] Upgrade Guardian stone Step.1</t>
  </si>
  <si>
    <t>[ffc0cb][Character][-] Upgrade Guardian stone Step.2</t>
  </si>
  <si>
    <t>[ffc0cb][Character][-] Upgrade Guardian stone Step.3</t>
  </si>
  <si>
    <t>[ffc0cb][Character][-] Upgrade Guardian stone Step.4</t>
  </si>
  <si>
    <t>[ffc0cb][Character][-] Upgrade Guardian stone Step.5</t>
  </si>
  <si>
    <t>[ffc0cb][Character][-] Upgrade Guardian stone Step.6</t>
  </si>
  <si>
    <t>[ffc0cb][Character][-] Upgrade Guardian stone Step.7</t>
  </si>
  <si>
    <t>[ffc0cb][Character][-] Upgrade Guardian stone Step.8</t>
  </si>
  <si>
    <t>[ffc0cb][Character][-] Upgrade Guardian stone Step.9</t>
  </si>
  <si>
    <t>[ffc0cb][Character][-] Upgrade Guardian stone Step.10</t>
  </si>
  <si>
    <t>[ffc0cb][Character][-] Upgrade Guardian stone Step.11</t>
  </si>
  <si>
    <t>[ffc0cb][Character][-] Upgrade Guardian stone Step.12</t>
  </si>
  <si>
    <t>[ffc0cb][Character][-] Upgrade Guardian stone Step.13</t>
  </si>
  <si>
    <t>[ffc0cb][Character][-] Upgrade Guardian stone Step.14</t>
  </si>
  <si>
    <t>[ffc0cb][Character][-] Upgrade Guardian stone Step.15</t>
  </si>
  <si>
    <t>[ffc0cb][Character][-] Upgrade Guardian stone Step.16</t>
  </si>
  <si>
    <t>[ffc0cb][Character][-] Upgrade Guardian stone Step.17</t>
  </si>
  <si>
    <t>[ffc0cb][Character][-] Upgrade Guardian stone Step.18</t>
  </si>
  <si>
    <t>[ffc0cb][Character][-] Upgrade Guardian stone Step.19</t>
  </si>
  <si>
    <t>[ffc0cb][Character][-] Upgrade Guardian stone Step.20</t>
  </si>
  <si>
    <t>[ffc0cb][Character][-] Upgrade Guardian stone Step.21</t>
  </si>
  <si>
    <t>[ffc0cb][Character][-] Upgrade Guardian stone Step.22</t>
  </si>
  <si>
    <t>[ffc0cb][Character][-] Runestone upgrade Step.1</t>
  </si>
  <si>
    <t>[ffc0cb][Character][-] Runestone upgrade Step.2</t>
  </si>
  <si>
    <t>[ffc0cb][Character][-] Runestone upgrade Step.3</t>
  </si>
  <si>
    <t>[ffc0cb][Character][-] Runestone upgrade Step.4</t>
  </si>
  <si>
    <t>[ffc0cb][Character][-] Runestone upgrade Step.5</t>
  </si>
  <si>
    <t>[ffc0cb][Character][-] Runestone upgrade Step.6</t>
  </si>
  <si>
    <t>[ffc0cb][Character][-] Runestone upgrade Step.7</t>
  </si>
  <si>
    <t>[ffc0cb][Character][-] Runestone upgrade Step.8</t>
  </si>
  <si>
    <t>[ffc0cb][Character][-] Runestone upgrade Step.9</t>
  </si>
  <si>
    <t>[ffc0cb][Character][-] Runestone upgrade Step.10</t>
  </si>
  <si>
    <t>[ffc0cb][Character][-] Runestone upgrade Step.11</t>
  </si>
  <si>
    <t>[ffc0cb][Character][-] Runestone upgrade Step.12</t>
  </si>
  <si>
    <t>[ffc0cb][Character][-] Runestone upgrade Step.13</t>
  </si>
  <si>
    <t>[ffc0cb][Character][-] Runestone upgrade Step.14</t>
  </si>
  <si>
    <t>[ffc0cb][Character][-] Runestone upgrade Step.15</t>
  </si>
  <si>
    <t>[ffc0cb][Character][-] Runestone upgrade Step.16</t>
  </si>
  <si>
    <t>[ffc0cb][Character][-] Runestone upgrade Step.17</t>
  </si>
  <si>
    <t>[ffc0cb][Character][-] Runestone upgrade Step.18</t>
  </si>
  <si>
    <t>[ffc0cb][Character][-] Runestone upgrade Step.19</t>
  </si>
  <si>
    <t>[ffc0cb][Character][-] Runestone upgrade Step.20</t>
  </si>
  <si>
    <t>[ffc0cb][Character][-] Runestone upgrade Step.21</t>
  </si>
  <si>
    <t>[ffc0cb][Character][-] Runestone upgrade Step.22</t>
  </si>
  <si>
    <t>[ffc0cb][Character][-] Runestone upgrade Step.23</t>
  </si>
  <si>
    <t>[ffc0cb][Character][-] [Heroic] Runestone Step.1</t>
  </si>
  <si>
    <t>[ffc0cb][Character][-] [Heroic] Runestone Step.2</t>
  </si>
  <si>
    <t>[ffc0cb][Character][-] [Heroic] Runestone Step.3</t>
  </si>
  <si>
    <t>[ffc0cb][Character][-] [Heroic] Runestone Step.4</t>
  </si>
  <si>
    <t>[ffc0cb][Character][-] [Heroic] Runestone Step.5</t>
  </si>
  <si>
    <t>[ffc0cb][Character][-] [Heroic] Runestone Step.6</t>
  </si>
  <si>
    <t>[ffc0cb][Character][-] [Heroic] Runestone Step.7</t>
  </si>
  <si>
    <t>[ffc0cb][Character][-] [Heroic] Runestone Step.8</t>
  </si>
  <si>
    <t>[ffc0cb][Character][-] [Heroic] Runestone Step.9</t>
  </si>
  <si>
    <t>[ffc0cb][Character][-] [Heroic] Runestone Step.10</t>
  </si>
  <si>
    <t>[ffc0cb][Character][-] [Heroic] Runestone Step.11</t>
  </si>
  <si>
    <t>[ffc0cb][Character][-] [Heroic] Runestone Step.12</t>
  </si>
  <si>
    <t>[ffc0cb][Character][-] [Heroic] Runestone Step.13</t>
  </si>
  <si>
    <t>[ffc0cb][Character][-] [Heroic] Runestone Step.14</t>
  </si>
  <si>
    <t>[ffc0cb][Character][-] [Legendary] Runestone Step.1</t>
  </si>
  <si>
    <t>[ffc0cb][Character][-] [Legendary] Runestone Step.2</t>
  </si>
  <si>
    <t>[ffc0cb][Character][-] [Legendary] Runestone Step.3</t>
  </si>
  <si>
    <t>[ffc0cb][Character][-] [Legendary] Runestone Step.4</t>
  </si>
  <si>
    <t>[ffc0cb][Character][-] [Legendary] Runestone Step.5</t>
  </si>
  <si>
    <t>[ffc0cb][Character][-] [Legendary] Runestone Step.6</t>
  </si>
  <si>
    <t>[ffc0cb][Character][-] [Legendary] Runestone Step.7</t>
  </si>
  <si>
    <t>[ffc0cb][Character][-] [Legendary] Runestone Step.8</t>
  </si>
  <si>
    <t>[ffc0cb][Character][-] [Legendary] Runestone Step.9</t>
  </si>
  <si>
    <t>[ffc0cb][Character][-] [Legendary] Runestone Step.10</t>
  </si>
  <si>
    <t>[ffc0cb][Character][-] [Legendary] Runestone Step.11</t>
  </si>
  <si>
    <t>[ffc0cb][Character][-] [Legendary] Runestone Step.12</t>
  </si>
  <si>
    <t>[ffc0cb][Character][-] [Legendary] Runestone Step.13</t>
  </si>
  <si>
    <t>[ffc0cb][Character][-] [Legendary] Runestone Step.14</t>
  </si>
  <si>
    <t>[ffc0cb][Character][-] [Immortal] Runestone Step.1</t>
  </si>
  <si>
    <t>[ffc0cb][Character][-] [Immortal] Runestone Step.2</t>
  </si>
  <si>
    <t>[ffc0cb][Character][-] [Immortal] Runestone Step.3</t>
  </si>
  <si>
    <t>[ffc0cb][Character][-] [Immortal] Runestone Step.4</t>
  </si>
  <si>
    <t>[ffc0cb][Character][-] [Immortal] Runestone Step.5</t>
  </si>
  <si>
    <t>[ffc0cb][Character][-] [Immortal] Runestone Step.6</t>
  </si>
  <si>
    <t>[ffc0cb][Character][-] [Immortal] Runestone Step.7</t>
  </si>
  <si>
    <t>[ffc0cb][Character][-] [Immortal] Runestone Step.8</t>
  </si>
  <si>
    <t>[ffc0cb][Character][-] [Immortal] Runestone Step.9</t>
  </si>
  <si>
    <t>[ffc0cb][Character][-] [Immortal] Runestone Step.10</t>
  </si>
  <si>
    <t>[ffc0cb][Character][-] [Immortal] Runestone Step.11</t>
  </si>
  <si>
    <t>[ffc0cb][Character][-] [Immortal] Runestone Step.12</t>
  </si>
  <si>
    <t>[ffc0cb][Character][-] [Immortal] Runestone Step.13</t>
  </si>
  <si>
    <t>[ffc0cb][Character][-] [Immortal] Runestone Step.14</t>
  </si>
  <si>
    <t>[ffc0cb][Character][-] Gear combination Step.1</t>
  </si>
  <si>
    <t>[ffc0cb][Character][-] Gear combination Step.2</t>
  </si>
  <si>
    <t>[ffc0cb][Character][-] Gear combination Step.3</t>
  </si>
  <si>
    <t>[ffc0cb][Character][-] Gear combination Step.4</t>
  </si>
  <si>
    <t>[ffc0cb][Character][-] Gear combination Step.5</t>
  </si>
  <si>
    <t>[ffc0cb][Character][-] Gear combination Step.6</t>
  </si>
  <si>
    <t>[ffc0cb][Character][-] Gear combination Step.7</t>
  </si>
  <si>
    <t>[ffc0cb][Character][-] Gear combination Step.8</t>
  </si>
  <si>
    <t>[ffc0cb][Character][-] Gear combination Step.9</t>
  </si>
  <si>
    <t>[ffc0cb][Character][-] Gear combination Step.10</t>
  </si>
  <si>
    <t>[ffc0cb][Character][-] Gear combination Step.11</t>
  </si>
  <si>
    <t>[ffc0cb][Character][-] Gear combination Step.12</t>
  </si>
  <si>
    <t>[ffc0cb][Character][-] Gear combination Step.13</t>
  </si>
  <si>
    <t>[ffc0cb][Character][-] Gear combination Step.14</t>
  </si>
  <si>
    <t>[ffc0cb][Character][-] Gear combination Step.15</t>
  </si>
  <si>
    <t>[ffc0cb][Character][-] Gear combination Step.16</t>
  </si>
  <si>
    <t>[ffc0cb][Character][-] Gear combination Step.17</t>
  </si>
  <si>
    <t>[ffc0cb][Character][-] Gear combination Step.18</t>
  </si>
  <si>
    <t>[ffc0cb][Character][-] Gear combination Step.19</t>
  </si>
  <si>
    <t>[ffc0cb][Character][-] Gear combination Step.20</t>
  </si>
  <si>
    <t>[ffc0cb][Character][-] Gear combination Step.21</t>
  </si>
  <si>
    <t>[ffc0cb][Character][-] Gear combination Step.22</t>
  </si>
  <si>
    <t>[ffc0cb][Character][-] Gear combination Step.23</t>
  </si>
  <si>
    <t>[ffc0cb][Character][-] Gear combination Step.24</t>
  </si>
  <si>
    <t>[ffc0cb][Character][-] Gear promotion Step.1</t>
  </si>
  <si>
    <t>[ffc0cb][Character][-] Gear promotion Step.2</t>
  </si>
  <si>
    <t>[ffc0cb][Character][-] Gear promotion Step.3</t>
  </si>
  <si>
    <t>[ffc0cb][Character][-] Gear promotion Step.4</t>
  </si>
  <si>
    <t>[ffc0cb][Character][-] Gear promotion Step.5</t>
  </si>
  <si>
    <t>[ffc0cb][Character][-] Gear promotion Step.6</t>
  </si>
  <si>
    <t>[ffc0cb][Character][-] Gear promotion Step.7</t>
  </si>
  <si>
    <t>[ffc0cb][Character][-] Gear promotion Step.8</t>
  </si>
  <si>
    <t>[ffc0cb][Character][-] Gear promotion Step.9</t>
  </si>
  <si>
    <t>[ffc0cb][Character][-] Gear promotion Step.10</t>
  </si>
  <si>
    <t>[ffc0cb][Character][-] Gear promotion Step.11</t>
  </si>
  <si>
    <t>[ffc0cb][Character][-] Gear promotion Step.12</t>
  </si>
  <si>
    <t>[ffc0cb][Character][-] Gear promotion Step.13</t>
  </si>
  <si>
    <t>[ffc0cb][Character][-] Gear promotion Step.14</t>
  </si>
  <si>
    <t>[ffc0cb][Character][-] Gear promotion Step.15</t>
  </si>
  <si>
    <t>[ffc0cb][Character][-] Gear promotion Step.16</t>
  </si>
  <si>
    <t>[ffc0cb][Character][-] Gear promotion Step.17</t>
  </si>
  <si>
    <t>[ffc0cb][Character][-] [Heroic] Obtaining Gear Step.1</t>
  </si>
  <si>
    <t>[ffc0cb][Character][-] [Heroic] Obtaining Gear Step.2</t>
  </si>
  <si>
    <t>[ffc0cb][Character][-] [Heroic] Obtaining Gear Step.3</t>
  </si>
  <si>
    <t>[ffc0cb][Character][-] [Heroic] Obtaining Gear Step.4</t>
  </si>
  <si>
    <t>[ffc0cb][Character][-] [Heroic] Obtaining Gear Step.5</t>
  </si>
  <si>
    <t>[ffc0cb][Character][-] [Heroic] Obtaining Gear Step.6</t>
  </si>
  <si>
    <t>[ffc0cb][Character][-] [Heroic] Obtaining Gear Step.7</t>
  </si>
  <si>
    <t>[ffc0cb][Character][-] [Heroic] Obtaining Gear Step.8</t>
  </si>
  <si>
    <t>[ffc0cb][Character][-] [Heroic] Obtaining Gear Step.9</t>
  </si>
  <si>
    <t>[ffc0cb][Character][-] [Heroic] Obtaining Gear Step.10</t>
  </si>
  <si>
    <t>[ffc0cb][Character][-] [Heroic] Obtaining Gear Step.11</t>
  </si>
  <si>
    <t>[ffc0cb][Character][-] [Heroic] Obtaining Gear Step.12</t>
  </si>
  <si>
    <t>[ffc0cb][Character][-] [Heroic] Obtaining Gear Step.13</t>
  </si>
  <si>
    <t>[ffc0cb][Character][-] [Heroic] Obtaining Gear Step.14</t>
  </si>
  <si>
    <t>[ffc0cb][Character][-] [Heroic] Obtaining Gear Step.15</t>
  </si>
  <si>
    <t>[ffc0cb][Character][-] [Heroic] Obtaining Gear Step.16</t>
  </si>
  <si>
    <t>[ffc0cb][Character][-] [Heroic] Obtaining Gear Step.17</t>
  </si>
  <si>
    <t>[ffc0cb][Character][-] [Heroic] Obtaining Gear Step.18</t>
  </si>
  <si>
    <t>[ffc0cb][Character][-] [Heroic] Obtaining Gear Step.19</t>
  </si>
  <si>
    <t>[ffc0cb][Character][-] [Heroic] Obtaining Gear Step.20</t>
  </si>
  <si>
    <t>[ffc0cb][Character][-] [Heroic] Obtaining Gear Step.21</t>
  </si>
  <si>
    <t>[ffc0cb][Character][-] [Heroic] Obtaining Gear Step.22</t>
  </si>
  <si>
    <t>[ffc0cb][Character][-] [Heroic] Obtaining Gear Step.23</t>
  </si>
  <si>
    <t>[ffc0cb][Character][-] [Heroic] Obtaining Gear Step.24</t>
  </si>
  <si>
    <t>[ffc0cb][Character][-] [Legendary] Obtaining Gear Step.1</t>
  </si>
  <si>
    <t>[ffc0cb][Character][-] [Legendary] Obtaining Gear Step.2</t>
  </si>
  <si>
    <t>[ffc0cb][Character][-] [Legendary] Obtaining Gear Step.3</t>
  </si>
  <si>
    <t>[ffc0cb][Character][-] [Legendary] Obtaining Gear Step.4</t>
  </si>
  <si>
    <t>[ffc0cb][Character][-] [Legendary] Obtaining Gear Step.5</t>
  </si>
  <si>
    <t>[ffc0cb][Character][-] [Legendary] Obtaining Gear Step.6</t>
  </si>
  <si>
    <t>[ffc0cb][Character][-] [Legendary] Obtaining Gear Step.7</t>
  </si>
  <si>
    <t>[ffc0cb][Character][-] [Legendary] Obtaining Gear Step.8</t>
  </si>
  <si>
    <t>[ffc0cb][Character][-] [Legendary] Obtaining Gear Step.9</t>
  </si>
  <si>
    <t>[ffc0cb][Character][-] [Legendary] Obtaining Gear Step.10</t>
  </si>
  <si>
    <t>[ffc0cb][Character][-] [Legendary] Obtaining Gear Step.11</t>
  </si>
  <si>
    <t>[ffc0cb][Character][-] [Legendary] Obtaining Gear Step.12</t>
  </si>
  <si>
    <t>[ffc0cb][Character][-] [Legendary] Obtaining Gear Step.13</t>
  </si>
  <si>
    <t>[ffc0cb][Character][-] [Legendary] Obtaining Gear Step.14</t>
  </si>
  <si>
    <t>[ffc0cb][Character][-] [Legendary] Obtaining Gear Step.15</t>
  </si>
  <si>
    <t>[ffc0cb][Character][-] [Legendary] Obtaining Gear Step.16</t>
  </si>
  <si>
    <t>[ffc0cb][Character][-] [Legendary] Obtaining Gear Step.17</t>
  </si>
  <si>
    <t>[ffc0cb][Character][-] [Legendary] Obtaining Gear Step.18</t>
  </si>
  <si>
    <t>[ffc0cb][Character][-] [Legendary] Obtaining Gear Step.19</t>
  </si>
  <si>
    <t>[ffc0cb][Character][-] [Legendary] Obtaining Gear Step.20</t>
  </si>
  <si>
    <t>[ffc0cb][Character][-] [Legendary] Obtaining Gear Step.21</t>
  </si>
  <si>
    <t>[ffc0cb][Character][-] [Legendary] Obtaining Gear Step.22</t>
  </si>
  <si>
    <t>[ffc0cb][Character][-] [Legendary] Obtaining Gear Step.23</t>
  </si>
  <si>
    <t>[ffc0cb][Character][-] [Legendary] Obtaining Gear Step.24</t>
  </si>
  <si>
    <t>[ffc0cb][Character][-] Random option change Step.1</t>
  </si>
  <si>
    <t>[ffc0cb][Character][-] Random option change Step.2</t>
  </si>
  <si>
    <t>[ffc0cb][Character][-] Random option change Step.3</t>
  </si>
  <si>
    <t>[ffc0cb][Character][-] Random option change Step.4</t>
  </si>
  <si>
    <t>[ffc0cb][Character][-] Random option change Step.5</t>
  </si>
  <si>
    <t>[ffc0cb][Character][-] Random option change Step.6</t>
  </si>
  <si>
    <t>[ffc0cb][Character][-] Random option change Step.7</t>
  </si>
  <si>
    <t>[ffc0cb][Character][-] Random option change Step.8</t>
  </si>
  <si>
    <t>[ffc0cb][Character][-] Random option change Step.9</t>
  </si>
  <si>
    <t>[ffc0cb][Character][-] Random option change Step.10</t>
  </si>
  <si>
    <t>[ffc0cb][Character][-] Random option change Step.11</t>
  </si>
  <si>
    <t>[ffc0cb][Character][-] Random option change Step.12</t>
  </si>
  <si>
    <t>[ffc0cb][Character][-] Random option change Step.13</t>
  </si>
  <si>
    <t>[ffc0cb][Character][-] Random option change Step.14</t>
  </si>
  <si>
    <t>[ffc0cb][Character][-] Random option change Step.15</t>
  </si>
  <si>
    <t>[ffc0cb][Character][-] Random option change Step.16</t>
  </si>
  <si>
    <t>[ffc0cb][Character][-] Random option change Step.17</t>
  </si>
  <si>
    <t>[ffc0cb][Character][-] Random option change Step.18</t>
  </si>
  <si>
    <t>[ffc0cb][Character][-] Random option change Step.19</t>
  </si>
  <si>
    <t>[ffc0cb][Character][-] Random option change Step.20</t>
  </si>
  <si>
    <t>[ffc0cb][Character][-] Random option change Step.21</t>
  </si>
  <si>
    <t>[ffc0cb][Character][-] Random option change Step.22</t>
  </si>
  <si>
    <t>[ffc0cb][Character][-] Random option change Step.23</t>
  </si>
  <si>
    <t>[ffc0cb][Character][-] Random option change Step.24</t>
  </si>
  <si>
    <t>[ffc0cb][Character][-] Random option change Step.25</t>
  </si>
  <si>
    <t>[ffc0cb][Character][-] Random option change Step.26</t>
  </si>
  <si>
    <t>[ffc0cb][Character][-] Random option change Step.27</t>
  </si>
  <si>
    <t>[ffc0cb][Character][-] Random option change Step.28</t>
  </si>
  <si>
    <t>[ffc0cb][Character][-] Random option change Step.29</t>
  </si>
  <si>
    <t>[ffc0cb][Character][-] Random option change Step.30</t>
  </si>
  <si>
    <t>[ffc0cb][Character][-] Random option change Step.31</t>
  </si>
  <si>
    <t>[ffc0cb][Character][-] Random option change Step.32</t>
  </si>
  <si>
    <t>[ffc0cb][Character][-] Random option change Step.33</t>
  </si>
  <si>
    <t>[ffc0cb][Character][-] Random option change Step.34</t>
  </si>
  <si>
    <t>[ffc0cb][Character][-] Random option change Step.35</t>
  </si>
  <si>
    <t>[ffc0cb][Character][-] Random option change Step.36</t>
  </si>
  <si>
    <t>[ffc0cb][Character][-] Random option change Step.37</t>
  </si>
  <si>
    <t>[ffc0cb][Character][-] Random option change Step.38</t>
  </si>
  <si>
    <t>[ffc0cb][Character][-] Random option change Step.39</t>
  </si>
  <si>
    <t>미션 클리어 값</t>
  </si>
  <si>
    <t>ClearValue</t>
  </si>
  <si>
    <t>업적 타입
0. 무효값
1. 플레이어 업적
2. 캐릭터 업적</t>
  </si>
  <si>
    <t>enum : 
sbyte : 
eAchievementType</t>
  </si>
  <si>
    <t>AchievementType</t>
  </si>
  <si>
    <t>Character</t>
  </si>
  <si>
    <t>Player</t>
  </si>
  <si>
    <t>10 - 일일
70 - 주간
30 - 월간
90 - 업적</t>
  </si>
  <si>
    <t>이전 업적</t>
  </si>
  <si>
    <t>다음 업적</t>
  </si>
  <si>
    <t>미션타입구분
1. 게임모드관련
2. 장비아이템관련
3. 아이템획득관련
4. 레벨달성관련
5. 스킬강화관련
6. 수호석업그레이드관련
7. 업적관련
8. 최초달성관련</t>
  </si>
  <si>
    <t>미션타입 세부 구분</t>
  </si>
  <si>
    <t>미션 클리어 조건</t>
  </si>
  <si>
    <t>해당 아이템의
Icon Image ID</t>
  </si>
  <si>
    <t>MissionType</t>
  </si>
  <si>
    <t>SubMissionType</t>
  </si>
  <si>
    <t>ClearType</t>
  </si>
  <si>
    <t>예상 달성일</t>
    <phoneticPr fontId="21" type="noConversion"/>
  </si>
  <si>
    <t>캐릭터 레벨을 Lv.5까지 성장시키세요</t>
  </si>
  <si>
    <t>캐릭터 레벨을 Lv.10까지 성장시키세요</t>
  </si>
  <si>
    <t>캐릭터 레벨을 Lv.15까지 성장시키세요</t>
  </si>
  <si>
    <t>캐릭터 레벨을 Lv.20까지 성장시키세요</t>
  </si>
  <si>
    <t>캐릭터 레벨을 Lv.25까지 성장시키세요</t>
  </si>
  <si>
    <t>캐릭터 레벨을 Lv.30까지 성장시키세요</t>
  </si>
  <si>
    <t>캐릭터 레벨을 Lv.35까지 성장시키세요</t>
  </si>
  <si>
    <t>캐릭터 레벨을 Lv.40까지 성장시키세요</t>
  </si>
  <si>
    <t>캐릭터 레벨을 Lv.45까지 성장시키세요</t>
  </si>
  <si>
    <t>캐릭터 레벨을 Lv.50까지 성장시키세요</t>
  </si>
  <si>
    <t>수호석 업그레이드를 10회 시도하세요</t>
  </si>
  <si>
    <t>Gem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</si>
</sst>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6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49" fontId="20" fillId="33" borderId="10" xfId="42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49" fontId="19" fillId="0" borderId="0" xfId="0" applyNumberFormat="1" applyFont="1">
      <alignment vertical="center"/>
    </xf>
    <xf numFmtId="49" fontId="19" fillId="35" borderId="11" xfId="43" applyNumberFormat="1" applyFont="1" applyFill="1" applyBorder="1" applyAlignment="1">
      <alignment horizontal="center" vertical="center"/>
    </xf>
    <xf numFmtId="49" fontId="19" fillId="35" borderId="11" xfId="43" applyNumberFormat="1" applyFont="1" applyFill="1" applyBorder="1" applyAlignment="1">
      <alignment horizontal="left" vertical="center" wrapText="1"/>
    </xf>
    <xf numFmtId="49" fontId="19" fillId="35" borderId="11" xfId="43" applyNumberFormat="1" applyFont="1" applyFill="1" applyBorder="1" applyAlignment="1">
      <alignment horizontal="center" vertical="center" wrapText="1"/>
    </xf>
    <xf numFmtId="49" fontId="20" fillId="36" borderId="12" xfId="42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49" fontId="20" fillId="38" borderId="13" xfId="43" applyNumberFormat="1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/>
    </xf>
    <xf numFmtId="49" fontId="20" fillId="38" borderId="14" xfId="0" applyNumberFormat="1" applyFont="1" applyFill="1" applyBorder="1" applyAlignment="1">
      <alignment horizontal="center" vertical="center"/>
    </xf>
    <xf numFmtId="0" fontId="19" fillId="41" borderId="14" xfId="0" applyFont="1" applyFill="1" applyBorder="1" applyAlignment="1">
      <alignment horizontal="center" vertical="center"/>
    </xf>
    <xf numFmtId="0" fontId="19" fillId="41" borderId="14" xfId="0" applyFont="1" applyFill="1" applyBorder="1" applyAlignment="1">
      <alignment horizontal="left" vertical="center"/>
    </xf>
    <xf numFmtId="0" fontId="19" fillId="40" borderId="14" xfId="0" applyFont="1" applyFill="1" applyBorder="1" applyAlignment="1">
      <alignment horizontal="center" vertical="center"/>
    </xf>
    <xf numFmtId="0" fontId="19" fillId="42" borderId="14" xfId="0" applyFont="1" applyFill="1" applyBorder="1" applyAlignment="1">
      <alignment horizontal="center" vertical="center"/>
    </xf>
    <xf numFmtId="0" fontId="19" fillId="42" borderId="14" xfId="0" applyFont="1" applyFill="1" applyBorder="1" applyAlignment="1">
      <alignment horizontal="left" vertical="center"/>
    </xf>
    <xf numFmtId="0" fontId="19" fillId="39" borderId="14" xfId="0" applyFont="1" applyFill="1" applyBorder="1" applyAlignment="1">
      <alignment horizontal="left" vertical="center"/>
    </xf>
    <xf numFmtId="0" fontId="19" fillId="43" borderId="14" xfId="0" applyFont="1" applyFill="1" applyBorder="1" applyAlignment="1">
      <alignment horizontal="center" vertical="center"/>
    </xf>
    <xf numFmtId="0" fontId="19" fillId="44" borderId="14" xfId="0" applyFont="1" applyFill="1" applyBorder="1" applyAlignment="1">
      <alignment horizontal="center" vertical="center"/>
    </xf>
    <xf numFmtId="49" fontId="20" fillId="37" borderId="15" xfId="0" applyNumberFormat="1" applyFont="1" applyFill="1" applyBorder="1" applyAlignment="1">
      <alignment horizontal="center" vertical="center"/>
    </xf>
    <xf numFmtId="49" fontId="20" fillId="38" borderId="15" xfId="0" applyNumberFormat="1" applyFont="1" applyFill="1" applyBorder="1" applyAlignment="1">
      <alignment horizontal="center" vertical="center"/>
    </xf>
    <xf numFmtId="49" fontId="20" fillId="38" borderId="15" xfId="43" applyNumberFormat="1" applyFont="1" applyFill="1" applyBorder="1" applyAlignment="1">
      <alignment horizontal="center" vertical="center"/>
    </xf>
    <xf numFmtId="49" fontId="19" fillId="10" borderId="15" xfId="19" applyNumberFormat="1" applyFont="1" applyBorder="1" applyAlignment="1">
      <alignment horizontal="center" vertical="center"/>
    </xf>
    <xf numFmtId="0" fontId="19" fillId="39" borderId="15" xfId="0" applyFont="1" applyFill="1" applyBorder="1" applyAlignment="1">
      <alignment horizontal="left" vertical="center"/>
    </xf>
    <xf numFmtId="0" fontId="19" fillId="39" borderId="15" xfId="0" applyFont="1" applyFill="1" applyBorder="1" applyAlignment="1">
      <alignment horizontal="center" vertical="center"/>
    </xf>
    <xf numFmtId="0" fontId="19" fillId="44" borderId="15" xfId="0" applyFont="1" applyFill="1" applyBorder="1" applyAlignment="1">
      <alignment horizontal="center" vertical="center"/>
    </xf>
    <xf numFmtId="0" fontId="19" fillId="44" borderId="15" xfId="0" applyFont="1" applyFill="1" applyBorder="1" applyAlignment="1">
      <alignment horizontal="left" vertical="center"/>
    </xf>
    <xf numFmtId="0" fontId="19" fillId="45" borderId="15" xfId="0" applyFont="1" applyFill="1" applyBorder="1" applyAlignment="1">
      <alignment horizontal="center" vertical="center"/>
    </xf>
    <xf numFmtId="0" fontId="19" fillId="45" borderId="15" xfId="0" applyFont="1" applyFill="1" applyBorder="1" applyAlignment="1">
      <alignment horizontal="left" vertical="center"/>
    </xf>
    <xf numFmtId="0" fontId="19" fillId="43" borderId="15" xfId="0" applyFont="1" applyFill="1" applyBorder="1" applyAlignment="1">
      <alignment horizontal="center" vertical="center"/>
    </xf>
    <xf numFmtId="0" fontId="19" fillId="43" borderId="15" xfId="0" applyFont="1" applyFill="1" applyBorder="1" applyAlignment="1">
      <alignment horizontal="left" vertical="center"/>
    </xf>
    <xf numFmtId="49" fontId="20" fillId="38" borderId="17" xfId="43" applyNumberFormat="1" applyFont="1" applyFill="1" applyBorder="1" applyAlignment="1">
      <alignment horizontal="center" vertical="center"/>
    </xf>
    <xf numFmtId="0" fontId="19" fillId="43" borderId="16" xfId="0" applyFont="1" applyFill="1" applyBorder="1" applyAlignment="1">
      <alignment horizontal="center" vertical="center"/>
    </xf>
    <xf numFmtId="0" fontId="19" fillId="40" borderId="15" xfId="0" applyFont="1" applyFill="1" applyBorder="1" applyAlignment="1">
      <alignment horizontal="center" vertical="center"/>
    </xf>
    <xf numFmtId="0" fontId="19" fillId="44" borderId="16" xfId="0" applyFont="1" applyFill="1" applyBorder="1" applyAlignment="1">
      <alignment horizontal="center" vertical="center"/>
    </xf>
    <xf numFmtId="0" fontId="19" fillId="44" borderId="16" xfId="0" applyFont="1" applyFill="1" applyBorder="1" applyAlignment="1">
      <alignment horizontal="left" vertical="center"/>
    </xf>
    <xf numFmtId="0" fontId="19" fillId="40" borderId="16" xfId="0" applyFont="1" applyFill="1" applyBorder="1" applyAlignment="1">
      <alignment horizontal="center" vertical="center"/>
    </xf>
    <xf numFmtId="0" fontId="19" fillId="43" borderId="16" xfId="0" applyFont="1" applyFill="1" applyBorder="1" applyAlignment="1">
      <alignment horizontal="left" vertical="center"/>
    </xf>
    <xf numFmtId="0" fontId="19" fillId="39" borderId="16" xfId="0" applyFont="1" applyFill="1" applyBorder="1" applyAlignment="1">
      <alignment horizontal="left" vertical="center"/>
    </xf>
    <xf numFmtId="0" fontId="19" fillId="40" borderId="16" xfId="0" applyFont="1" applyFill="1" applyBorder="1" applyAlignment="1">
      <alignment horizontal="left" vertical="center"/>
    </xf>
    <xf numFmtId="0" fontId="19" fillId="45" borderId="16" xfId="0" applyFont="1" applyFill="1" applyBorder="1" applyAlignment="1">
      <alignment horizontal="left" vertical="center"/>
    </xf>
    <xf numFmtId="0" fontId="19" fillId="39" borderId="16" xfId="0" applyFont="1" applyFill="1" applyBorder="1" applyAlignment="1">
      <alignment horizontal="center" vertical="center"/>
    </xf>
    <xf numFmtId="0" fontId="19" fillId="42" borderId="16" xfId="0" applyFont="1" applyFill="1" applyBorder="1" applyAlignment="1">
      <alignment horizontal="center" vertical="center"/>
    </xf>
    <xf numFmtId="0" fontId="19" fillId="41" borderId="16" xfId="0" applyFont="1" applyFill="1" applyBorder="1" applyAlignment="1">
      <alignment horizontal="center" vertical="center"/>
    </xf>
    <xf numFmtId="0" fontId="19" fillId="47" borderId="16" xfId="0" applyFont="1" applyFill="1" applyBorder="1" applyAlignment="1">
      <alignment horizontal="center" vertical="center"/>
    </xf>
    <xf numFmtId="0" fontId="19" fillId="48" borderId="16" xfId="0" applyFont="1" applyFill="1" applyBorder="1" applyAlignment="1">
      <alignment horizontal="center" vertical="center"/>
    </xf>
    <xf numFmtId="0" fontId="19" fillId="49" borderId="16" xfId="0" applyFont="1" applyFill="1" applyBorder="1" applyAlignment="1">
      <alignment horizontal="center" vertical="center"/>
    </xf>
    <xf numFmtId="41" fontId="19" fillId="44" borderId="16" xfId="44" applyFont="1" applyFill="1" applyBorder="1" applyAlignment="1">
      <alignment horizontal="center" vertical="center"/>
    </xf>
    <xf numFmtId="41" fontId="19" fillId="42" borderId="16" xfId="44" applyFont="1" applyFill="1" applyBorder="1" applyAlignment="1">
      <alignment horizontal="center" vertical="center"/>
    </xf>
    <xf numFmtId="0" fontId="19" fillId="50" borderId="14" xfId="0" applyFont="1" applyFill="1" applyBorder="1" applyAlignment="1">
      <alignment horizontal="left" vertical="center"/>
    </xf>
    <xf numFmtId="0" fontId="19" fillId="50" borderId="14" xfId="0" applyFont="1" applyFill="1" applyBorder="1" applyAlignment="1">
      <alignment horizontal="center" vertical="center"/>
    </xf>
    <xf numFmtId="41" fontId="19" fillId="50" borderId="16" xfId="44" applyFont="1" applyFill="1" applyBorder="1" applyAlignment="1">
      <alignment horizontal="center" vertical="center"/>
    </xf>
    <xf numFmtId="0" fontId="19" fillId="50" borderId="16" xfId="0" applyFont="1" applyFill="1" applyBorder="1" applyAlignment="1">
      <alignment horizontal="center" vertical="center"/>
    </xf>
    <xf numFmtId="0" fontId="19" fillId="51" borderId="14" xfId="0" applyFont="1" applyFill="1" applyBorder="1" applyAlignment="1">
      <alignment horizontal="left" vertical="center"/>
    </xf>
    <xf numFmtId="0" fontId="19" fillId="51" borderId="14" xfId="0" applyFont="1" applyFill="1" applyBorder="1" applyAlignment="1">
      <alignment horizontal="center" vertical="center"/>
    </xf>
    <xf numFmtId="41" fontId="19" fillId="51" borderId="16" xfId="44" applyFont="1" applyFill="1" applyBorder="1" applyAlignment="1">
      <alignment horizontal="center" vertical="center"/>
    </xf>
    <xf numFmtId="0" fontId="19" fillId="51" borderId="16" xfId="0" applyFont="1" applyFill="1" applyBorder="1" applyAlignment="1">
      <alignment horizontal="center" vertical="center"/>
    </xf>
    <xf numFmtId="41" fontId="19" fillId="47" borderId="16" xfId="44" applyFont="1" applyFill="1" applyBorder="1" applyAlignment="1">
      <alignment horizontal="center" vertical="center"/>
    </xf>
    <xf numFmtId="41" fontId="19" fillId="40" borderId="16" xfId="44" applyFont="1" applyFill="1" applyBorder="1" applyAlignment="1">
      <alignment horizontal="center" vertical="center"/>
    </xf>
    <xf numFmtId="49" fontId="20" fillId="38" borderId="18" xfId="0" applyNumberFormat="1" applyFont="1" applyFill="1" applyBorder="1" applyAlignment="1">
      <alignment horizontal="center" vertical="center"/>
    </xf>
    <xf numFmtId="0" fontId="23" fillId="52" borderId="16" xfId="0" applyFont="1" applyFill="1" applyBorder="1" applyAlignment="1">
      <alignment horizontal="center" vertical="center"/>
    </xf>
    <xf numFmtId="41" fontId="19" fillId="53" borderId="16" xfId="44" applyFont="1" applyFill="1" applyBorder="1">
      <alignment vertical="center"/>
    </xf>
    <xf numFmtId="41" fontId="19" fillId="0" borderId="0" xfId="0" applyNumberFormat="1" applyFont="1">
      <alignment vertical="center"/>
    </xf>
    <xf numFmtId="49" fontId="25" fillId="42" borderId="17" xfId="43" applyNumberFormat="1" applyFont="1" applyFill="1" applyBorder="1" applyAlignment="1">
      <alignment horizontal="center" vertical="center"/>
    </xf>
    <xf numFmtId="49" fontId="25" fillId="48" borderId="17" xfId="43" applyNumberFormat="1" applyFont="1" applyFill="1" applyBorder="1" applyAlignment="1">
      <alignment horizontal="center" vertical="center"/>
    </xf>
    <xf numFmtId="49" fontId="25" fillId="47" borderId="17" xfId="43" applyNumberFormat="1" applyFont="1" applyFill="1" applyBorder="1" applyAlignment="1">
      <alignment horizontal="center" vertical="center"/>
    </xf>
    <xf numFmtId="41" fontId="25" fillId="42" borderId="13" xfId="44" applyFont="1" applyFill="1" applyBorder="1" applyAlignment="1">
      <alignment horizontal="center" vertical="center"/>
    </xf>
    <xf numFmtId="41" fontId="25" fillId="48" borderId="13" xfId="44" applyFont="1" applyFill="1" applyBorder="1" applyAlignment="1">
      <alignment horizontal="center" vertical="center"/>
    </xf>
    <xf numFmtId="41" fontId="25" fillId="47" borderId="13" xfId="44" applyFont="1" applyFill="1" applyBorder="1" applyAlignment="1">
      <alignment horizontal="center" vertical="center"/>
    </xf>
    <xf numFmtId="0" fontId="23" fillId="52" borderId="14" xfId="0" applyFont="1" applyFill="1" applyBorder="1" applyAlignment="1">
      <alignment horizontal="left" vertical="center"/>
    </xf>
    <xf numFmtId="0" fontId="23" fillId="52" borderId="14" xfId="0" applyFont="1" applyFill="1" applyBorder="1" applyAlignment="1">
      <alignment horizontal="center" vertical="center"/>
    </xf>
    <xf numFmtId="49" fontId="20" fillId="37" borderId="25" xfId="0" applyNumberFormat="1" applyFont="1" applyFill="1" applyBorder="1" applyAlignment="1">
      <alignment horizontal="center" vertical="center"/>
    </xf>
    <xf numFmtId="49" fontId="20" fillId="38" borderId="25" xfId="0" applyNumberFormat="1" applyFont="1" applyFill="1" applyBorder="1" applyAlignment="1">
      <alignment horizontal="center" vertical="center"/>
    </xf>
    <xf numFmtId="0" fontId="19" fillId="39" borderId="25" xfId="0" applyFont="1" applyFill="1" applyBorder="1" applyAlignment="1">
      <alignment horizontal="center" vertical="center"/>
    </xf>
    <xf numFmtId="0" fontId="19" fillId="45" borderId="25" xfId="0" applyFont="1" applyFill="1" applyBorder="1" applyAlignment="1">
      <alignment horizontal="center" vertical="center"/>
    </xf>
    <xf numFmtId="0" fontId="19" fillId="46" borderId="25" xfId="0" applyFont="1" applyFill="1" applyBorder="1" applyAlignment="1">
      <alignment horizontal="center" vertical="center"/>
    </xf>
    <xf numFmtId="2" fontId="19" fillId="0" borderId="0" xfId="0" applyNumberFormat="1" applyFont="1">
      <alignment vertical="center"/>
    </xf>
    <xf numFmtId="49" fontId="20" fillId="37" borderId="25" xfId="0" applyNumberFormat="1" applyFont="1" applyFill="1" applyBorder="1" applyAlignment="1">
      <alignment horizontal="center" vertical="center" wrapText="1"/>
    </xf>
    <xf numFmtId="49" fontId="20" fillId="37" borderId="26" xfId="0" applyNumberFormat="1" applyFont="1" applyFill="1" applyBorder="1" applyAlignment="1">
      <alignment horizontal="center" vertical="center" wrapText="1"/>
    </xf>
    <xf numFmtId="49" fontId="20" fillId="37" borderId="26" xfId="0" applyNumberFormat="1" applyFont="1" applyFill="1" applyBorder="1" applyAlignment="1">
      <alignment horizontal="center" vertical="center"/>
    </xf>
    <xf numFmtId="49" fontId="20" fillId="38" borderId="27" xfId="43" applyNumberFormat="1" applyFont="1" applyFill="1" applyBorder="1" applyAlignment="1">
      <alignment horizontal="center" vertical="center"/>
    </xf>
    <xf numFmtId="49" fontId="20" fillId="38" borderId="26" xfId="43" applyNumberFormat="1" applyFont="1" applyFill="1" applyBorder="1" applyAlignment="1">
      <alignment horizontal="center" vertical="center"/>
    </xf>
    <xf numFmtId="0" fontId="19" fillId="39" borderId="25" xfId="0" applyFont="1" applyFill="1" applyBorder="1" applyAlignment="1">
      <alignment horizontal="left" vertical="center"/>
    </xf>
    <xf numFmtId="0" fontId="19" fillId="43" borderId="25" xfId="0" applyFont="1" applyFill="1" applyBorder="1" applyAlignment="1">
      <alignment horizontal="center" vertical="center"/>
    </xf>
    <xf numFmtId="0" fontId="19" fillId="40" borderId="25" xfId="0" applyFont="1" applyFill="1" applyBorder="1" applyAlignment="1">
      <alignment horizontal="center" vertical="center"/>
    </xf>
    <xf numFmtId="0" fontId="19" fillId="45" borderId="25" xfId="0" applyFont="1" applyFill="1" applyBorder="1" applyAlignment="1">
      <alignment horizontal="left" vertical="center"/>
    </xf>
    <xf numFmtId="49" fontId="20" fillId="37" borderId="28" xfId="0" applyNumberFormat="1" applyFont="1" applyFill="1" applyBorder="1" applyAlignment="1">
      <alignment horizontal="center" vertical="center" wrapText="1"/>
    </xf>
    <xf numFmtId="49" fontId="20" fillId="38" borderId="29" xfId="43" applyNumberFormat="1" applyFont="1" applyFill="1" applyBorder="1" applyAlignment="1">
      <alignment horizontal="center" vertical="center"/>
    </xf>
    <xf numFmtId="0" fontId="19" fillId="44" borderId="28" xfId="0" applyFont="1" applyFill="1" applyBorder="1" applyAlignment="1">
      <alignment horizontal="center" vertical="center"/>
    </xf>
    <xf numFmtId="0" fontId="19" fillId="43" borderId="28" xfId="0" applyFont="1" applyFill="1" applyBorder="1" applyAlignment="1">
      <alignment horizontal="center" vertical="center"/>
    </xf>
    <xf numFmtId="0" fontId="19" fillId="39" borderId="28" xfId="0" applyFont="1" applyFill="1" applyBorder="1" applyAlignment="1">
      <alignment horizontal="center" vertical="center"/>
    </xf>
    <xf numFmtId="49" fontId="20" fillId="37" borderId="28" xfId="0" applyNumberFormat="1" applyFont="1" applyFill="1" applyBorder="1" applyAlignment="1">
      <alignment horizontal="center" vertical="center"/>
    </xf>
    <xf numFmtId="49" fontId="20" fillId="37" borderId="29" xfId="0" applyNumberFormat="1" applyFont="1" applyFill="1" applyBorder="1" applyAlignment="1">
      <alignment horizontal="center" vertical="center"/>
    </xf>
    <xf numFmtId="49" fontId="20" fillId="37" borderId="29" xfId="0" applyNumberFormat="1" applyFont="1" applyFill="1" applyBorder="1" applyAlignment="1">
      <alignment horizontal="center" vertical="center" wrapText="1"/>
    </xf>
    <xf numFmtId="49" fontId="20" fillId="38" borderId="28" xfId="0" applyNumberFormat="1" applyFont="1" applyFill="1" applyBorder="1" applyAlignment="1">
      <alignment horizontal="center" vertical="center"/>
    </xf>
    <xf numFmtId="49" fontId="20" fillId="38" borderId="30" xfId="43" applyNumberFormat="1" applyFont="1" applyFill="1" applyBorder="1" applyAlignment="1">
      <alignment horizontal="center" vertical="center"/>
    </xf>
    <xf numFmtId="0" fontId="19" fillId="40" borderId="25" xfId="0" applyFont="1" applyFill="1" applyBorder="1" applyAlignment="1">
      <alignment horizontal="left" vertical="center"/>
    </xf>
    <xf numFmtId="0" fontId="19" fillId="41" borderId="28" xfId="0" applyFont="1" applyFill="1" applyBorder="1" applyAlignment="1">
      <alignment horizontal="center" vertical="center"/>
    </xf>
    <xf numFmtId="0" fontId="23" fillId="52" borderId="28" xfId="0" applyFont="1" applyFill="1" applyBorder="1" applyAlignment="1">
      <alignment horizontal="center" vertical="center"/>
    </xf>
    <xf numFmtId="0" fontId="19" fillId="41" borderId="16" xfId="0" applyFont="1" applyFill="1" applyBorder="1" applyAlignment="1">
      <alignment horizontal="left" vertical="center"/>
    </xf>
    <xf numFmtId="0" fontId="19" fillId="41" borderId="15" xfId="0" applyFont="1" applyFill="1" applyBorder="1" applyAlignment="1">
      <alignment horizontal="center" vertical="center"/>
    </xf>
    <xf numFmtId="0" fontId="19" fillId="41" borderId="15" xfId="0" applyFont="1" applyFill="1" applyBorder="1" applyAlignment="1">
      <alignment horizontal="left" vertical="center"/>
    </xf>
    <xf numFmtId="0" fontId="19" fillId="41" borderId="24" xfId="0" applyFont="1" applyFill="1" applyBorder="1" applyAlignment="1">
      <alignment horizontal="left" vertical="center"/>
    </xf>
    <xf numFmtId="0" fontId="23" fillId="52" borderId="23" xfId="0" applyFont="1" applyFill="1" applyBorder="1" applyAlignment="1">
      <alignment horizontal="center" vertical="center"/>
    </xf>
    <xf numFmtId="0" fontId="23" fillId="52" borderId="16" xfId="0" applyFont="1" applyFill="1" applyBorder="1" applyAlignment="1">
      <alignment horizontal="left" vertical="center"/>
    </xf>
    <xf numFmtId="0" fontId="19" fillId="40" borderId="15" xfId="0" applyFont="1" applyFill="1" applyBorder="1" applyAlignment="1">
      <alignment horizontal="left" vertical="center"/>
    </xf>
    <xf numFmtId="49" fontId="20" fillId="38" borderId="31" xfId="43" applyNumberFormat="1" applyFont="1" applyFill="1" applyBorder="1" applyAlignment="1">
      <alignment horizontal="center" vertical="center"/>
    </xf>
    <xf numFmtId="49" fontId="20" fillId="38" borderId="0" xfId="43" applyNumberFormat="1" applyFont="1" applyFill="1" applyBorder="1" applyAlignment="1">
      <alignment horizontal="center" vertical="center"/>
    </xf>
    <xf numFmtId="41" fontId="25" fillId="42" borderId="21" xfId="44" applyFont="1" applyFill="1" applyBorder="1" applyAlignment="1">
      <alignment horizontal="center" vertical="center"/>
    </xf>
    <xf numFmtId="41" fontId="25" fillId="42" borderId="22" xfId="44" applyFont="1" applyFill="1" applyBorder="1" applyAlignment="1">
      <alignment horizontal="center" vertical="center"/>
    </xf>
    <xf numFmtId="41" fontId="25" fillId="48" borderId="21" xfId="44" applyFont="1" applyFill="1" applyBorder="1" applyAlignment="1">
      <alignment horizontal="center" vertical="center"/>
    </xf>
    <xf numFmtId="41" fontId="25" fillId="48" borderId="22" xfId="44" applyFont="1" applyFill="1" applyBorder="1" applyAlignment="1">
      <alignment horizontal="center" vertical="center"/>
    </xf>
    <xf numFmtId="41" fontId="25" fillId="47" borderId="21" xfId="44" applyFont="1" applyFill="1" applyBorder="1" applyAlignment="1">
      <alignment horizontal="center" vertical="center"/>
    </xf>
    <xf numFmtId="41" fontId="25" fillId="47" borderId="22" xfId="44" applyFont="1" applyFill="1" applyBorder="1" applyAlignment="1">
      <alignment horizontal="center" vertical="center"/>
    </xf>
    <xf numFmtId="41" fontId="24" fillId="42" borderId="16" xfId="44" applyFont="1" applyFill="1" applyBorder="1" applyAlignment="1">
      <alignment horizontal="center" vertical="center"/>
    </xf>
    <xf numFmtId="41" fontId="24" fillId="41" borderId="16" xfId="44" applyFont="1" applyFill="1" applyBorder="1" applyAlignment="1">
      <alignment horizontal="center" vertical="center"/>
    </xf>
    <xf numFmtId="41" fontId="24" fillId="41" borderId="17" xfId="44" applyFont="1" applyFill="1" applyBorder="1" applyAlignment="1">
      <alignment horizontal="center" vertical="center"/>
    </xf>
    <xf numFmtId="41" fontId="24" fillId="41" borderId="19" xfId="44" applyFont="1" applyFill="1" applyBorder="1" applyAlignment="1">
      <alignment horizontal="center" vertical="center"/>
    </xf>
    <xf numFmtId="41" fontId="24" fillId="41" borderId="20" xfId="44" applyFont="1" applyFill="1" applyBorder="1" applyAlignment="1">
      <alignment horizontal="center" vertical="center"/>
    </xf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4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J21" sqref="J21"/>
    </sheetView>
  </sheetViews>
  <sheetFormatPr defaultColWidth="9" defaultRowHeight="16.5" customHeight="1" x14ac:dyDescent="0.3"/>
  <cols>
    <col min="1" max="1" width="11.75" style="1" bestFit="1" customWidth="1"/>
    <col min="2" max="2" width="34.25" style="2" bestFit="1" customWidth="1"/>
    <col min="3" max="3" width="15.5" style="2" bestFit="1" customWidth="1"/>
    <col min="4" max="4" width="15.5" style="2" customWidth="1"/>
    <col min="5" max="5" width="18.875" style="2" bestFit="1" customWidth="1"/>
    <col min="6" max="6" width="16.375" style="2" bestFit="1" customWidth="1"/>
    <col min="7" max="7" width="14.625" style="2" bestFit="1" customWidth="1"/>
    <col min="8" max="8" width="12.75" style="2" bestFit="1" customWidth="1"/>
    <col min="9" max="9" width="22.875" style="2" bestFit="1" customWidth="1"/>
    <col min="10" max="10" width="12.125" style="2" bestFit="1" customWidth="1"/>
    <col min="11" max="11" width="10.5" style="2" bestFit="1" customWidth="1"/>
    <col min="12" max="12" width="18.375" style="2" bestFit="1" customWidth="1"/>
    <col min="13" max="13" width="18.5" style="1" bestFit="1" customWidth="1"/>
    <col min="14" max="14" width="13.75" style="1" bestFit="1" customWidth="1"/>
    <col min="15" max="15" width="3.625" style="1" customWidth="1"/>
    <col min="16" max="16384" width="9" style="1"/>
  </cols>
  <sheetData>
    <row r="1" spans="1:17" ht="16.5" customHeight="1" x14ac:dyDescent="0.3">
      <c r="A1" s="3" t="s">
        <v>58</v>
      </c>
      <c r="B1" s="4" t="s">
        <v>57</v>
      </c>
      <c r="C1" s="5"/>
      <c r="D1" s="5"/>
      <c r="E1" s="5"/>
      <c r="F1" s="5"/>
      <c r="G1" s="5"/>
      <c r="H1" s="5"/>
      <c r="I1" s="5"/>
      <c r="J1" s="1"/>
      <c r="K1" s="1"/>
      <c r="L1" s="1"/>
    </row>
    <row r="2" spans="1:17" ht="50.1" customHeight="1" x14ac:dyDescent="0.3">
      <c r="A2" s="6" t="s">
        <v>0</v>
      </c>
      <c r="B2" s="6" t="s">
        <v>0</v>
      </c>
      <c r="C2" s="7" t="s">
        <v>52</v>
      </c>
      <c r="D2" s="7" t="s">
        <v>102</v>
      </c>
      <c r="E2" s="7" t="s">
        <v>45</v>
      </c>
      <c r="F2" s="6" t="s">
        <v>29</v>
      </c>
      <c r="G2" s="6" t="s">
        <v>30</v>
      </c>
      <c r="H2" s="6" t="s">
        <v>1099</v>
      </c>
      <c r="I2" s="7" t="s">
        <v>209</v>
      </c>
      <c r="J2" s="6" t="s">
        <v>0</v>
      </c>
      <c r="K2" s="6" t="s">
        <v>0</v>
      </c>
      <c r="L2" s="8" t="s">
        <v>1</v>
      </c>
      <c r="M2" s="8" t="s">
        <v>2</v>
      </c>
      <c r="N2" s="8" t="s">
        <v>44</v>
      </c>
    </row>
    <row r="3" spans="1:17" ht="16.5" customHeight="1" x14ac:dyDescent="0.3">
      <c r="A3" s="9" t="s">
        <v>3</v>
      </c>
      <c r="B3" s="9" t="s">
        <v>3</v>
      </c>
      <c r="C3" s="9" t="s">
        <v>4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54</v>
      </c>
      <c r="M3" s="9" t="s">
        <v>54</v>
      </c>
      <c r="N3" s="9" t="s">
        <v>54</v>
      </c>
    </row>
    <row r="4" spans="1:17" ht="40.5" customHeight="1" x14ac:dyDescent="0.3">
      <c r="A4" s="74" t="s">
        <v>5</v>
      </c>
      <c r="B4" s="74" t="s">
        <v>6</v>
      </c>
      <c r="C4" s="74" t="s">
        <v>7</v>
      </c>
      <c r="D4" s="80" t="s">
        <v>103</v>
      </c>
      <c r="E4" s="74" t="s">
        <v>7</v>
      </c>
      <c r="F4" s="74" t="s">
        <v>7</v>
      </c>
      <c r="G4" s="74" t="s">
        <v>7</v>
      </c>
      <c r="H4" s="74" t="s">
        <v>7</v>
      </c>
      <c r="I4" s="74" t="s">
        <v>7</v>
      </c>
      <c r="J4" s="74" t="s">
        <v>7</v>
      </c>
      <c r="K4" s="81" t="s">
        <v>8</v>
      </c>
      <c r="L4" s="82" t="s">
        <v>7</v>
      </c>
      <c r="M4" s="74" t="s">
        <v>7</v>
      </c>
      <c r="N4" s="74" t="s">
        <v>7</v>
      </c>
    </row>
    <row r="5" spans="1:17" ht="16.5" customHeight="1" x14ac:dyDescent="0.3">
      <c r="A5" s="75" t="s">
        <v>9</v>
      </c>
      <c r="B5" s="75" t="s">
        <v>10</v>
      </c>
      <c r="C5" s="83" t="s">
        <v>11</v>
      </c>
      <c r="D5" s="84" t="s">
        <v>104</v>
      </c>
      <c r="E5" s="75" t="s">
        <v>25</v>
      </c>
      <c r="F5" s="75" t="s">
        <v>26</v>
      </c>
      <c r="G5" s="75" t="s">
        <v>27</v>
      </c>
      <c r="H5" s="75" t="s">
        <v>1100</v>
      </c>
      <c r="I5" s="75" t="s">
        <v>12</v>
      </c>
      <c r="J5" s="75" t="s">
        <v>13</v>
      </c>
      <c r="K5" s="83" t="s">
        <v>14</v>
      </c>
      <c r="L5" s="83" t="s">
        <v>15</v>
      </c>
      <c r="M5" s="83" t="s">
        <v>16</v>
      </c>
      <c r="N5" s="83" t="s">
        <v>17</v>
      </c>
      <c r="P5" s="109" t="s">
        <v>1116</v>
      </c>
      <c r="Q5" s="110"/>
    </row>
    <row r="6" spans="1:17" ht="16.5" customHeight="1" x14ac:dyDescent="0.3">
      <c r="A6" s="76" t="b">
        <v>1</v>
      </c>
      <c r="B6" s="85" t="str">
        <f>"일일 - 일일미션 클리어 항목 누적 횟수 " &amp; H6 &amp; "회"</f>
        <v>일일 - 일일미션 클리어 항목 누적 횟수 6회</v>
      </c>
      <c r="C6" s="86" t="str">
        <f>10&amp;E6&amp;F6&amp;G6&amp;1001</f>
        <v>107111001</v>
      </c>
      <c r="D6" s="86" t="s">
        <v>105</v>
      </c>
      <c r="E6" s="76">
        <v>7</v>
      </c>
      <c r="F6" s="76">
        <v>1</v>
      </c>
      <c r="G6" s="76">
        <v>1</v>
      </c>
      <c r="H6" s="76">
        <v>6</v>
      </c>
      <c r="I6" s="76">
        <v>160001002</v>
      </c>
      <c r="J6" s="76">
        <v>30</v>
      </c>
      <c r="K6" s="76" t="s">
        <v>53</v>
      </c>
      <c r="L6" s="87">
        <v>51001</v>
      </c>
      <c r="M6" s="76">
        <f>L6+1000</f>
        <v>52001</v>
      </c>
      <c r="N6" s="76">
        <v>530800019</v>
      </c>
    </row>
    <row r="7" spans="1:17" ht="16.5" customHeight="1" x14ac:dyDescent="0.3">
      <c r="A7" s="76" t="b">
        <v>1</v>
      </c>
      <c r="B7" s="85" t="str">
        <f>"일일 - 일반던전 클리어 누적 횟수 " &amp; H7 &amp; "회"</f>
        <v>일일 - 일반던전 클리어 누적 횟수 5회</v>
      </c>
      <c r="C7" s="86" t="str">
        <f t="shared" ref="C7:C12" si="0">10&amp;E7&amp;F7&amp;G7&amp;1001</f>
        <v>101111001</v>
      </c>
      <c r="D7" s="86" t="s">
        <v>105</v>
      </c>
      <c r="E7" s="76">
        <v>1</v>
      </c>
      <c r="F7" s="76">
        <v>1</v>
      </c>
      <c r="G7" s="76">
        <v>1</v>
      </c>
      <c r="H7" s="76">
        <v>5</v>
      </c>
      <c r="I7" s="76">
        <v>160002003</v>
      </c>
      <c r="J7" s="76">
        <v>20</v>
      </c>
      <c r="K7" s="76" t="s">
        <v>19</v>
      </c>
      <c r="L7" s="76">
        <f t="shared" ref="L7:M12" si="1">L6+1</f>
        <v>51002</v>
      </c>
      <c r="M7" s="76">
        <f t="shared" si="1"/>
        <v>52002</v>
      </c>
      <c r="N7" s="76">
        <v>530800001</v>
      </c>
    </row>
    <row r="8" spans="1:17" ht="16.5" customHeight="1" x14ac:dyDescent="0.3">
      <c r="A8" s="76" t="b">
        <v>1</v>
      </c>
      <c r="B8" s="85" t="str">
        <f>"일일 - 정예던전 클리어 누적 횟수 " &amp; H8 &amp; "회"</f>
        <v>일일 - 정예던전 클리어 누적 횟수 3회</v>
      </c>
      <c r="C8" s="86" t="str">
        <f t="shared" si="0"/>
        <v>101211001</v>
      </c>
      <c r="D8" s="86" t="s">
        <v>105</v>
      </c>
      <c r="E8" s="76">
        <v>1</v>
      </c>
      <c r="F8" s="76">
        <v>2</v>
      </c>
      <c r="G8" s="76">
        <v>1</v>
      </c>
      <c r="H8" s="76">
        <v>3</v>
      </c>
      <c r="I8" s="76">
        <v>160002003</v>
      </c>
      <c r="J8" s="76">
        <v>20</v>
      </c>
      <c r="K8" s="76" t="s">
        <v>19</v>
      </c>
      <c r="L8" s="76">
        <f t="shared" si="1"/>
        <v>51003</v>
      </c>
      <c r="M8" s="76">
        <f t="shared" si="1"/>
        <v>52003</v>
      </c>
      <c r="N8" s="76">
        <v>530800002</v>
      </c>
    </row>
    <row r="9" spans="1:17" ht="16.5" customHeight="1" x14ac:dyDescent="0.3">
      <c r="A9" s="76" t="b">
        <v>1</v>
      </c>
      <c r="B9" s="85" t="str">
        <f>"일일 - 요일던전 클리어 누적 횟수 " &amp; H9 &amp; "회"</f>
        <v>일일 - 요일던전 클리어 누적 횟수 2회</v>
      </c>
      <c r="C9" s="86" t="str">
        <f t="shared" si="0"/>
        <v>101311001</v>
      </c>
      <c r="D9" s="86" t="s">
        <v>105</v>
      </c>
      <c r="E9" s="76">
        <v>1</v>
      </c>
      <c r="F9" s="76">
        <v>3</v>
      </c>
      <c r="G9" s="76">
        <v>1</v>
      </c>
      <c r="H9" s="76">
        <v>2</v>
      </c>
      <c r="I9" s="76">
        <v>160002003</v>
      </c>
      <c r="J9" s="76">
        <v>20</v>
      </c>
      <c r="K9" s="76" t="s">
        <v>19</v>
      </c>
      <c r="L9" s="76">
        <f t="shared" si="1"/>
        <v>51004</v>
      </c>
      <c r="M9" s="76">
        <f t="shared" si="1"/>
        <v>52004</v>
      </c>
      <c r="N9" s="76">
        <v>530800003</v>
      </c>
    </row>
    <row r="10" spans="1:17" ht="16.5" customHeight="1" x14ac:dyDescent="0.3">
      <c r="A10" s="76" t="b">
        <v>1</v>
      </c>
      <c r="B10" s="85" t="str">
        <f>"일일 - 균열던전 참가 누적 횟수 " &amp; H10 &amp; "회"</f>
        <v>일일 - 균열던전 참가 누적 횟수 3회</v>
      </c>
      <c r="C10" s="86" t="str">
        <f t="shared" si="0"/>
        <v>101421001</v>
      </c>
      <c r="D10" s="86" t="s">
        <v>105</v>
      </c>
      <c r="E10" s="76">
        <v>1</v>
      </c>
      <c r="F10" s="76">
        <v>4</v>
      </c>
      <c r="G10" s="76">
        <v>2</v>
      </c>
      <c r="H10" s="76">
        <v>3</v>
      </c>
      <c r="I10" s="76">
        <v>160002003</v>
      </c>
      <c r="J10" s="76">
        <v>20</v>
      </c>
      <c r="K10" s="76" t="s">
        <v>19</v>
      </c>
      <c r="L10" s="76">
        <f t="shared" si="1"/>
        <v>51005</v>
      </c>
      <c r="M10" s="76">
        <f t="shared" si="1"/>
        <v>52005</v>
      </c>
      <c r="N10" s="76">
        <v>530800004</v>
      </c>
    </row>
    <row r="11" spans="1:17" ht="16.5" customHeight="1" x14ac:dyDescent="0.3">
      <c r="A11" s="76" t="b">
        <v>1</v>
      </c>
      <c r="B11" s="85" t="str">
        <f>"일일 - 결투장 참가 누적 횟수 " &amp; H11 &amp; "회"</f>
        <v>일일 - 결투장 참가 누적 횟수 5회</v>
      </c>
      <c r="C11" s="86" t="str">
        <f t="shared" si="0"/>
        <v>101621001</v>
      </c>
      <c r="D11" s="86" t="s">
        <v>105</v>
      </c>
      <c r="E11" s="76">
        <v>1</v>
      </c>
      <c r="F11" s="76">
        <v>6</v>
      </c>
      <c r="G11" s="76">
        <v>2</v>
      </c>
      <c r="H11" s="78">
        <v>5</v>
      </c>
      <c r="I11" s="76">
        <v>160002003</v>
      </c>
      <c r="J11" s="76">
        <v>20</v>
      </c>
      <c r="K11" s="76" t="s">
        <v>19</v>
      </c>
      <c r="L11" s="76">
        <f t="shared" si="1"/>
        <v>51006</v>
      </c>
      <c r="M11" s="76">
        <f t="shared" si="1"/>
        <v>52006</v>
      </c>
      <c r="N11" s="76">
        <v>530800006</v>
      </c>
    </row>
    <row r="12" spans="1:17" ht="16.5" customHeight="1" x14ac:dyDescent="0.3">
      <c r="A12" s="76" t="b">
        <v>1</v>
      </c>
      <c r="B12" s="85" t="str">
        <f>"일일 - 장비아이템 획득 누적 갯수 " &amp; H12 &amp; "회"</f>
        <v>일일 - 장비아이템 획득 누적 갯수 50회</v>
      </c>
      <c r="C12" s="86" t="str">
        <f t="shared" si="0"/>
        <v>103111001</v>
      </c>
      <c r="D12" s="86" t="s">
        <v>105</v>
      </c>
      <c r="E12" s="76">
        <v>3</v>
      </c>
      <c r="F12" s="76">
        <v>1</v>
      </c>
      <c r="G12" s="76">
        <v>1</v>
      </c>
      <c r="H12" s="78">
        <v>50</v>
      </c>
      <c r="I12" s="76">
        <v>160002003</v>
      </c>
      <c r="J12" s="76">
        <v>20</v>
      </c>
      <c r="K12" s="76" t="s">
        <v>19</v>
      </c>
      <c r="L12" s="76">
        <f t="shared" si="1"/>
        <v>51007</v>
      </c>
      <c r="M12" s="76">
        <f t="shared" si="1"/>
        <v>52007</v>
      </c>
      <c r="N12" s="76">
        <v>530800009</v>
      </c>
    </row>
    <row r="13" spans="1:17" ht="16.5" customHeight="1" x14ac:dyDescent="0.3">
      <c r="A13" s="77" t="b">
        <v>1</v>
      </c>
      <c r="B13" s="88" t="str">
        <f>"주간 - 주간미션 클리어 항목 누적 횟수 " &amp; H13 &amp; "회"</f>
        <v>주간 - 주간미션 클리어 항목 누적 횟수 7회</v>
      </c>
      <c r="C13" s="77" t="str">
        <f>70&amp;E13&amp;F13&amp;G13&amp;1001</f>
        <v>707211001</v>
      </c>
      <c r="D13" s="77" t="s">
        <v>106</v>
      </c>
      <c r="E13" s="77">
        <v>7</v>
      </c>
      <c r="F13" s="77">
        <v>2</v>
      </c>
      <c r="G13" s="77">
        <v>1</v>
      </c>
      <c r="H13" s="77">
        <v>7</v>
      </c>
      <c r="I13" s="77">
        <v>160001002</v>
      </c>
      <c r="J13" s="77">
        <v>100</v>
      </c>
      <c r="K13" s="77" t="s">
        <v>51</v>
      </c>
      <c r="L13" s="77">
        <v>51101</v>
      </c>
      <c r="M13" s="77">
        <f>L13+1000</f>
        <v>52101</v>
      </c>
      <c r="N13" s="77">
        <v>530800019</v>
      </c>
    </row>
    <row r="14" spans="1:17" ht="16.5" customHeight="1" x14ac:dyDescent="0.3">
      <c r="A14" s="77" t="b">
        <v>1</v>
      </c>
      <c r="B14" s="88" t="str">
        <f>"주간 - 일일미션 올클리어 항목 누적 횟수 " &amp; H14 &amp; "회"</f>
        <v>주간 - 일일미션 올클리어 항목 누적 횟수 4회</v>
      </c>
      <c r="C14" s="77" t="str">
        <f t="shared" ref="C14:C21" si="2">70&amp;E14&amp;F14&amp;G14&amp;1001</f>
        <v>707121001</v>
      </c>
      <c r="D14" s="77" t="s">
        <v>106</v>
      </c>
      <c r="E14" s="77">
        <v>7</v>
      </c>
      <c r="F14" s="77">
        <v>1</v>
      </c>
      <c r="G14" s="77">
        <v>2</v>
      </c>
      <c r="H14" s="77">
        <v>4</v>
      </c>
      <c r="I14" s="77">
        <v>160001002</v>
      </c>
      <c r="J14" s="77">
        <v>50</v>
      </c>
      <c r="K14" s="77" t="s">
        <v>20</v>
      </c>
      <c r="L14" s="77">
        <f t="shared" ref="L14:M21" si="3">L13+1</f>
        <v>51102</v>
      </c>
      <c r="M14" s="77">
        <f t="shared" si="3"/>
        <v>52102</v>
      </c>
      <c r="N14" s="77">
        <v>530800019</v>
      </c>
      <c r="P14" s="1">
        <v>1</v>
      </c>
      <c r="Q14" s="1">
        <f>H14*P14</f>
        <v>4</v>
      </c>
    </row>
    <row r="15" spans="1:17" ht="16.5" customHeight="1" x14ac:dyDescent="0.3">
      <c r="A15" s="77" t="b">
        <v>1</v>
      </c>
      <c r="B15" s="88" t="str">
        <f>"주간 - 수호석 업그레이드 성공 누적 횟수 " &amp; H15 &amp; "회"</f>
        <v>주간 - 수호석 업그레이드 성공 누적 횟수 10회</v>
      </c>
      <c r="C15" s="77" t="str">
        <f t="shared" si="2"/>
        <v>706111001</v>
      </c>
      <c r="D15" s="77" t="s">
        <v>106</v>
      </c>
      <c r="E15" s="77">
        <v>6</v>
      </c>
      <c r="F15" s="77">
        <v>1</v>
      </c>
      <c r="G15" s="77">
        <v>1</v>
      </c>
      <c r="H15" s="78">
        <v>10</v>
      </c>
      <c r="I15" s="77">
        <v>160001002</v>
      </c>
      <c r="J15" s="77">
        <v>50</v>
      </c>
      <c r="K15" s="77" t="s">
        <v>20</v>
      </c>
      <c r="L15" s="77">
        <f t="shared" si="3"/>
        <v>51103</v>
      </c>
      <c r="M15" s="77">
        <f t="shared" si="3"/>
        <v>52103</v>
      </c>
      <c r="N15" s="77">
        <v>530800013</v>
      </c>
      <c r="P15" s="1">
        <v>10</v>
      </c>
      <c r="Q15" s="79">
        <f>H15/P15</f>
        <v>1</v>
      </c>
    </row>
    <row r="16" spans="1:17" ht="16.5" customHeight="1" x14ac:dyDescent="0.3">
      <c r="A16" s="77" t="b">
        <v>1</v>
      </c>
      <c r="B16" s="88" t="str">
        <f>"주간 - 결투장 승리 누적 횟수 " &amp; H16 &amp; "회"</f>
        <v>주간 - 결투장 승리 누적 횟수 20회</v>
      </c>
      <c r="C16" s="77" t="str">
        <f t="shared" si="2"/>
        <v>701631001</v>
      </c>
      <c r="D16" s="77" t="s">
        <v>106</v>
      </c>
      <c r="E16" s="77">
        <v>1</v>
      </c>
      <c r="F16" s="77">
        <v>6</v>
      </c>
      <c r="G16" s="77">
        <v>3</v>
      </c>
      <c r="H16" s="77">
        <v>20</v>
      </c>
      <c r="I16" s="77">
        <v>160001002</v>
      </c>
      <c r="J16" s="77">
        <v>50</v>
      </c>
      <c r="K16" s="77" t="s">
        <v>20</v>
      </c>
      <c r="L16" s="77">
        <f t="shared" si="3"/>
        <v>51104</v>
      </c>
      <c r="M16" s="77">
        <f t="shared" si="3"/>
        <v>52104</v>
      </c>
      <c r="N16" s="77">
        <v>530800006</v>
      </c>
      <c r="P16" s="1">
        <v>3</v>
      </c>
      <c r="Q16" s="79">
        <f>H16/P16</f>
        <v>6.666666666666667</v>
      </c>
    </row>
    <row r="17" spans="1:17" ht="16.5" customHeight="1" x14ac:dyDescent="0.3">
      <c r="A17" s="87" t="b">
        <v>0</v>
      </c>
      <c r="B17" s="99" t="str">
        <f>"주간 - 수호레이드 참가 누적 횟수 " &amp; H17 &amp; "개"</f>
        <v>주간 - 수호레이드 참가 누적 횟수 10개</v>
      </c>
      <c r="C17" s="87" t="str">
        <f t="shared" si="2"/>
        <v>701821001</v>
      </c>
      <c r="D17" s="87" t="s">
        <v>106</v>
      </c>
      <c r="E17" s="87">
        <v>1</v>
      </c>
      <c r="F17" s="87">
        <v>8</v>
      </c>
      <c r="G17" s="87">
        <v>2</v>
      </c>
      <c r="H17" s="87">
        <v>10</v>
      </c>
      <c r="I17" s="87">
        <v>160001002</v>
      </c>
      <c r="J17" s="87">
        <v>50</v>
      </c>
      <c r="K17" s="87" t="s">
        <v>20</v>
      </c>
      <c r="L17" s="87">
        <f t="shared" si="3"/>
        <v>51105</v>
      </c>
      <c r="M17" s="87">
        <f t="shared" si="3"/>
        <v>52105</v>
      </c>
      <c r="N17" s="87">
        <v>530800008</v>
      </c>
      <c r="P17" s="1">
        <v>3</v>
      </c>
      <c r="Q17" s="79">
        <f t="shared" ref="Q17:Q21" si="4">H17/P17</f>
        <v>3.3333333333333335</v>
      </c>
    </row>
    <row r="18" spans="1:17" ht="16.5" customHeight="1" x14ac:dyDescent="0.3">
      <c r="A18" s="77" t="b">
        <v>1</v>
      </c>
      <c r="B18" s="88" t="str">
        <f>"주간 - 균열석 획득 누적 갯수 " &amp; H18 &amp; "개"</f>
        <v>주간 - 균열석 획득 누적 갯수 30개</v>
      </c>
      <c r="C18" s="77" t="str">
        <f t="shared" si="2"/>
        <v>703411001</v>
      </c>
      <c r="D18" s="77" t="s">
        <v>106</v>
      </c>
      <c r="E18" s="77">
        <v>3</v>
      </c>
      <c r="F18" s="77">
        <v>4</v>
      </c>
      <c r="G18" s="77">
        <v>1</v>
      </c>
      <c r="H18" s="78">
        <v>30</v>
      </c>
      <c r="I18" s="77">
        <v>160001002</v>
      </c>
      <c r="J18" s="77">
        <v>50</v>
      </c>
      <c r="K18" s="77" t="s">
        <v>20</v>
      </c>
      <c r="L18" s="77">
        <f t="shared" si="3"/>
        <v>51106</v>
      </c>
      <c r="M18" s="77">
        <f t="shared" si="3"/>
        <v>52106</v>
      </c>
      <c r="N18" s="77">
        <v>530800012</v>
      </c>
      <c r="P18" s="1">
        <v>30</v>
      </c>
      <c r="Q18" s="79">
        <f t="shared" si="4"/>
        <v>1</v>
      </c>
    </row>
    <row r="19" spans="1:17" ht="16.5" customHeight="1" x14ac:dyDescent="0.3">
      <c r="A19" s="77" t="b">
        <v>1</v>
      </c>
      <c r="B19" s="88" t="str">
        <f>"주간 - 장비아이템 획득 누적 갯수 " &amp; H19 &amp; "개"</f>
        <v>주간 - 장비아이템 획득 누적 갯수 300개</v>
      </c>
      <c r="C19" s="77" t="str">
        <f t="shared" si="2"/>
        <v>703111001</v>
      </c>
      <c r="D19" s="77" t="s">
        <v>106</v>
      </c>
      <c r="E19" s="77">
        <v>3</v>
      </c>
      <c r="F19" s="77">
        <v>1</v>
      </c>
      <c r="G19" s="77">
        <v>1</v>
      </c>
      <c r="H19" s="78">
        <v>300</v>
      </c>
      <c r="I19" s="77">
        <v>160001002</v>
      </c>
      <c r="J19" s="77">
        <v>50</v>
      </c>
      <c r="K19" s="77" t="s">
        <v>20</v>
      </c>
      <c r="L19" s="77">
        <f t="shared" si="3"/>
        <v>51107</v>
      </c>
      <c r="M19" s="77">
        <f t="shared" si="3"/>
        <v>52107</v>
      </c>
      <c r="N19" s="77">
        <v>530800009</v>
      </c>
      <c r="P19" s="1">
        <v>180</v>
      </c>
      <c r="Q19" s="1">
        <f t="shared" si="4"/>
        <v>1.6666666666666667</v>
      </c>
    </row>
    <row r="20" spans="1:17" ht="16.5" customHeight="1" x14ac:dyDescent="0.3">
      <c r="A20" s="77" t="b">
        <v>1</v>
      </c>
      <c r="B20" s="88" t="str">
        <f>"주간 - 장비아이템 강화 누적 횟수 " &amp; H20 &amp; "회"</f>
        <v>주간 - 장비아이템 강화 누적 횟수 30회</v>
      </c>
      <c r="C20" s="77" t="str">
        <f t="shared" si="2"/>
        <v>702121001</v>
      </c>
      <c r="D20" s="77" t="s">
        <v>106</v>
      </c>
      <c r="E20" s="77">
        <v>2</v>
      </c>
      <c r="F20" s="77">
        <v>1</v>
      </c>
      <c r="G20" s="77">
        <v>2</v>
      </c>
      <c r="H20" s="78">
        <v>30</v>
      </c>
      <c r="I20" s="77">
        <v>160001002</v>
      </c>
      <c r="J20" s="77">
        <v>50</v>
      </c>
      <c r="K20" s="77" t="s">
        <v>20</v>
      </c>
      <c r="L20" s="77">
        <f t="shared" si="3"/>
        <v>51108</v>
      </c>
      <c r="M20" s="77">
        <f t="shared" si="3"/>
        <v>52108</v>
      </c>
      <c r="N20" s="77">
        <v>530800009</v>
      </c>
      <c r="P20" s="1">
        <v>10</v>
      </c>
      <c r="Q20" s="1">
        <f t="shared" si="4"/>
        <v>3</v>
      </c>
    </row>
    <row r="21" spans="1:17" ht="16.5" customHeight="1" x14ac:dyDescent="0.3">
      <c r="A21" s="77" t="b">
        <v>1</v>
      </c>
      <c r="B21" s="88" t="str">
        <f>"주간 - 장비아이템 분해 누적 갯수 " &amp; H21 &amp; "개"</f>
        <v>주간 - 장비아이템 분해 누적 갯수 300개</v>
      </c>
      <c r="C21" s="77" t="str">
        <f t="shared" si="2"/>
        <v>702111001</v>
      </c>
      <c r="D21" s="77" t="s">
        <v>106</v>
      </c>
      <c r="E21" s="77">
        <v>2</v>
      </c>
      <c r="F21" s="77">
        <v>1</v>
      </c>
      <c r="G21" s="77">
        <v>1</v>
      </c>
      <c r="H21" s="78">
        <v>300</v>
      </c>
      <c r="I21" s="77">
        <v>160001002</v>
      </c>
      <c r="J21" s="77">
        <v>50</v>
      </c>
      <c r="K21" s="77" t="s">
        <v>20</v>
      </c>
      <c r="L21" s="77">
        <f t="shared" si="3"/>
        <v>51109</v>
      </c>
      <c r="M21" s="77">
        <f t="shared" si="3"/>
        <v>52109</v>
      </c>
      <c r="N21" s="77">
        <v>530800009</v>
      </c>
      <c r="P21" s="1">
        <v>180</v>
      </c>
      <c r="Q21" s="1">
        <f t="shared" si="4"/>
        <v>1.6666666666666667</v>
      </c>
    </row>
    <row r="22" spans="1:17" ht="16.5" customHeight="1" x14ac:dyDescent="0.3">
      <c r="A22" s="76" t="b">
        <v>1</v>
      </c>
      <c r="B22" s="85" t="str">
        <f>"월간 - 주간미션 올클리어 항목 누적 횟수 " &amp; H22 &amp; "회"</f>
        <v>월간 - 주간미션 올클리어 항목 누적 횟수 3회</v>
      </c>
      <c r="C22" s="86" t="str">
        <f>30&amp;E22&amp;F22&amp;G22&amp;1001</f>
        <v>307221001</v>
      </c>
      <c r="D22" s="86" t="s">
        <v>107</v>
      </c>
      <c r="E22" s="76">
        <v>7</v>
      </c>
      <c r="F22" s="76">
        <v>2</v>
      </c>
      <c r="G22" s="76">
        <v>2</v>
      </c>
      <c r="H22" s="76">
        <v>3</v>
      </c>
      <c r="I22" s="76">
        <v>156101003</v>
      </c>
      <c r="J22" s="76">
        <v>1</v>
      </c>
      <c r="K22" s="76" t="s">
        <v>21</v>
      </c>
      <c r="L22" s="87">
        <v>51201</v>
      </c>
      <c r="M22" s="76">
        <f>L22+1000</f>
        <v>52201</v>
      </c>
      <c r="N22" s="76">
        <v>530800019</v>
      </c>
      <c r="P22" s="1">
        <v>7</v>
      </c>
      <c r="Q22" s="1">
        <f>H22*P22</f>
        <v>21</v>
      </c>
    </row>
    <row r="23" spans="1:17" ht="16.5" customHeight="1" x14ac:dyDescent="0.3">
      <c r="A23" s="76" t="b">
        <v>1</v>
      </c>
      <c r="B23" s="85" t="str">
        <f>"월간 - 일반던전 클리어 누적 횟수 " &amp; H23 &amp; "회"</f>
        <v>월간 - 일반던전 클리어 누적 횟수 500회</v>
      </c>
      <c r="C23" s="86" t="str">
        <f t="shared" ref="C23:C30" si="5">30&amp;E23&amp;F23&amp;G23&amp;1001</f>
        <v>301111001</v>
      </c>
      <c r="D23" s="86" t="s">
        <v>107</v>
      </c>
      <c r="E23" s="76">
        <v>1</v>
      </c>
      <c r="F23" s="76">
        <v>1</v>
      </c>
      <c r="G23" s="76">
        <v>1</v>
      </c>
      <c r="H23" s="78">
        <v>500</v>
      </c>
      <c r="I23" s="76">
        <v>156105003</v>
      </c>
      <c r="J23" s="76">
        <v>1</v>
      </c>
      <c r="K23" s="76" t="s">
        <v>21</v>
      </c>
      <c r="L23" s="76">
        <f t="shared" ref="L23:M30" si="6">L22+1</f>
        <v>51202</v>
      </c>
      <c r="M23" s="76">
        <f t="shared" si="6"/>
        <v>52202</v>
      </c>
      <c r="N23" s="76">
        <v>530800001</v>
      </c>
      <c r="P23" s="1">
        <v>70</v>
      </c>
      <c r="Q23" s="79">
        <f t="shared" ref="Q23:Q30" si="7">H23/P23</f>
        <v>7.1428571428571432</v>
      </c>
    </row>
    <row r="24" spans="1:17" ht="16.5" customHeight="1" x14ac:dyDescent="0.3">
      <c r="A24" s="76" t="b">
        <v>1</v>
      </c>
      <c r="B24" s="85" t="str">
        <f>"월간 - 정예던전 클리어 누적 횟수 " &amp; H24 &amp; "회"</f>
        <v>월간 - 정예던전 클리어 누적 횟수 300회</v>
      </c>
      <c r="C24" s="86" t="str">
        <f t="shared" si="5"/>
        <v>301211001</v>
      </c>
      <c r="D24" s="86" t="s">
        <v>107</v>
      </c>
      <c r="E24" s="76">
        <v>1</v>
      </c>
      <c r="F24" s="76">
        <v>2</v>
      </c>
      <c r="G24" s="76">
        <v>1</v>
      </c>
      <c r="H24" s="78">
        <v>300</v>
      </c>
      <c r="I24" s="76">
        <v>156106003</v>
      </c>
      <c r="J24" s="76">
        <v>1</v>
      </c>
      <c r="K24" s="76" t="s">
        <v>21</v>
      </c>
      <c r="L24" s="76">
        <f t="shared" si="6"/>
        <v>51203</v>
      </c>
      <c r="M24" s="76">
        <f t="shared" si="6"/>
        <v>52203</v>
      </c>
      <c r="N24" s="76">
        <v>530800002</v>
      </c>
      <c r="P24" s="1">
        <v>70</v>
      </c>
      <c r="Q24" s="79">
        <f t="shared" si="7"/>
        <v>4.2857142857142856</v>
      </c>
    </row>
    <row r="25" spans="1:17" ht="16.5" customHeight="1" x14ac:dyDescent="0.3">
      <c r="A25" s="76" t="b">
        <v>1</v>
      </c>
      <c r="B25" s="85" t="str">
        <f>"월간 - 요일던전 클리어 누적 횟수 " &amp; H25 &amp; "회"</f>
        <v>월간 - 요일던전 클리어 누적 횟수 50회</v>
      </c>
      <c r="C25" s="86" t="str">
        <f t="shared" si="5"/>
        <v>301311001</v>
      </c>
      <c r="D25" s="86" t="s">
        <v>107</v>
      </c>
      <c r="E25" s="76">
        <v>1</v>
      </c>
      <c r="F25" s="76">
        <v>3</v>
      </c>
      <c r="G25" s="76">
        <v>1</v>
      </c>
      <c r="H25" s="78">
        <v>50</v>
      </c>
      <c r="I25" s="76">
        <v>156107003</v>
      </c>
      <c r="J25" s="76">
        <v>1</v>
      </c>
      <c r="K25" s="76" t="s">
        <v>21</v>
      </c>
      <c r="L25" s="76">
        <f t="shared" si="6"/>
        <v>51204</v>
      </c>
      <c r="M25" s="76">
        <f t="shared" si="6"/>
        <v>52204</v>
      </c>
      <c r="N25" s="76">
        <v>530800003</v>
      </c>
      <c r="P25" s="1">
        <v>3</v>
      </c>
      <c r="Q25" s="79">
        <f t="shared" si="7"/>
        <v>16.666666666666668</v>
      </c>
    </row>
    <row r="26" spans="1:17" ht="16.5" customHeight="1" x14ac:dyDescent="0.3">
      <c r="A26" s="76" t="b">
        <v>1</v>
      </c>
      <c r="B26" s="85" t="str">
        <f>"월간 - 균열던전 참가 누적 횟수 " &amp; H26 &amp; "회"</f>
        <v>월간 - 균열던전 참가 누적 횟수 100회</v>
      </c>
      <c r="C26" s="86" t="str">
        <f t="shared" si="5"/>
        <v>301421001</v>
      </c>
      <c r="D26" s="86" t="s">
        <v>107</v>
      </c>
      <c r="E26" s="76">
        <v>1</v>
      </c>
      <c r="F26" s="76">
        <v>4</v>
      </c>
      <c r="G26" s="76">
        <v>2</v>
      </c>
      <c r="H26" s="76">
        <v>100</v>
      </c>
      <c r="I26" s="76">
        <v>156108003</v>
      </c>
      <c r="J26" s="76">
        <v>1</v>
      </c>
      <c r="K26" s="76" t="s">
        <v>21</v>
      </c>
      <c r="L26" s="76">
        <f t="shared" si="6"/>
        <v>51205</v>
      </c>
      <c r="M26" s="76">
        <f t="shared" si="6"/>
        <v>52205</v>
      </c>
      <c r="N26" s="76">
        <v>530800004</v>
      </c>
      <c r="P26" s="1">
        <v>10</v>
      </c>
      <c r="Q26" s="79">
        <f t="shared" si="7"/>
        <v>10</v>
      </c>
    </row>
    <row r="27" spans="1:17" ht="16.5" customHeight="1" x14ac:dyDescent="0.3">
      <c r="A27" s="76" t="b">
        <v>1</v>
      </c>
      <c r="B27" s="85" t="str">
        <f>"월간 - 초월던전 참가 누적 횟수 " &amp; H27 &amp; "회"</f>
        <v>월간 - 초월던전 참가 누적 횟수 200회</v>
      </c>
      <c r="C27" s="86" t="str">
        <f t="shared" si="5"/>
        <v>301521001</v>
      </c>
      <c r="D27" s="86" t="s">
        <v>107</v>
      </c>
      <c r="E27" s="76">
        <v>1</v>
      </c>
      <c r="F27" s="76">
        <v>5</v>
      </c>
      <c r="G27" s="76">
        <v>2</v>
      </c>
      <c r="H27" s="78">
        <v>200</v>
      </c>
      <c r="I27" s="76">
        <v>156109003</v>
      </c>
      <c r="J27" s="76">
        <v>1</v>
      </c>
      <c r="K27" s="76" t="s">
        <v>21</v>
      </c>
      <c r="L27" s="76">
        <f t="shared" si="6"/>
        <v>51206</v>
      </c>
      <c r="M27" s="76">
        <f t="shared" si="6"/>
        <v>52206</v>
      </c>
      <c r="N27" s="76">
        <v>530800005</v>
      </c>
      <c r="P27" s="1">
        <v>30</v>
      </c>
      <c r="Q27" s="79">
        <f t="shared" si="7"/>
        <v>6.666666666666667</v>
      </c>
    </row>
    <row r="28" spans="1:17" ht="16.5" customHeight="1" x14ac:dyDescent="0.3">
      <c r="A28" s="76" t="b">
        <v>1</v>
      </c>
      <c r="B28" s="85" t="str">
        <f>"월간 - 결투장 참가 누적 횟수 " &amp; H28 &amp; "회"</f>
        <v>월간 - 결투장 참가 누적 횟수 200회</v>
      </c>
      <c r="C28" s="86" t="str">
        <f t="shared" si="5"/>
        <v>301621001</v>
      </c>
      <c r="D28" s="86" t="s">
        <v>107</v>
      </c>
      <c r="E28" s="76">
        <v>1</v>
      </c>
      <c r="F28" s="76">
        <v>6</v>
      </c>
      <c r="G28" s="76">
        <v>2</v>
      </c>
      <c r="H28" s="78">
        <v>200</v>
      </c>
      <c r="I28" s="76">
        <v>156104003</v>
      </c>
      <c r="J28" s="76">
        <v>1</v>
      </c>
      <c r="K28" s="76" t="s">
        <v>21</v>
      </c>
      <c r="L28" s="76">
        <f t="shared" si="6"/>
        <v>51207</v>
      </c>
      <c r="M28" s="76">
        <f t="shared" si="6"/>
        <v>52207</v>
      </c>
      <c r="N28" s="76">
        <v>530800006</v>
      </c>
      <c r="P28" s="1">
        <v>10</v>
      </c>
      <c r="Q28" s="79">
        <f t="shared" si="7"/>
        <v>20</v>
      </c>
    </row>
    <row r="29" spans="1:17" ht="16.5" customHeight="1" x14ac:dyDescent="0.3">
      <c r="A29" s="76" t="b">
        <v>1</v>
      </c>
      <c r="B29" s="85" t="str">
        <f>"월간 - 룬스톤 획득 누적 갯수 " &amp; H29 &amp; "회"</f>
        <v>월간 - 룬스톤 획득 누적 갯수 1000회</v>
      </c>
      <c r="C29" s="86" t="str">
        <f t="shared" si="5"/>
        <v>303211001</v>
      </c>
      <c r="D29" s="86" t="s">
        <v>107</v>
      </c>
      <c r="E29" s="76">
        <v>3</v>
      </c>
      <c r="F29" s="76">
        <v>2</v>
      </c>
      <c r="G29" s="76">
        <v>1</v>
      </c>
      <c r="H29" s="78">
        <v>1000</v>
      </c>
      <c r="I29" s="76">
        <v>156110003</v>
      </c>
      <c r="J29" s="76">
        <v>1</v>
      </c>
      <c r="K29" s="76" t="s">
        <v>21</v>
      </c>
      <c r="L29" s="76">
        <f t="shared" si="6"/>
        <v>51208</v>
      </c>
      <c r="M29" s="76">
        <f t="shared" si="6"/>
        <v>52208</v>
      </c>
      <c r="N29" s="76">
        <v>530800010</v>
      </c>
      <c r="P29" s="1">
        <v>70</v>
      </c>
      <c r="Q29" s="79">
        <f t="shared" si="7"/>
        <v>14.285714285714286</v>
      </c>
    </row>
    <row r="30" spans="1:17" ht="16.5" customHeight="1" x14ac:dyDescent="0.3">
      <c r="A30" s="76" t="b">
        <v>1</v>
      </c>
      <c r="B30" s="85" t="str">
        <f>"월간 - 균열석 획득 누적 갯수 " &amp; H30 &amp; "회"</f>
        <v>월간 - 균열석 획득 누적 갯수 200회</v>
      </c>
      <c r="C30" s="86" t="str">
        <f t="shared" si="5"/>
        <v>303411001</v>
      </c>
      <c r="D30" s="86" t="s">
        <v>107</v>
      </c>
      <c r="E30" s="76">
        <v>3</v>
      </c>
      <c r="F30" s="76">
        <v>4</v>
      </c>
      <c r="G30" s="76">
        <v>1</v>
      </c>
      <c r="H30" s="78">
        <v>200</v>
      </c>
      <c r="I30" s="76">
        <v>156111003</v>
      </c>
      <c r="J30" s="76">
        <v>1</v>
      </c>
      <c r="K30" s="76" t="s">
        <v>21</v>
      </c>
      <c r="L30" s="76">
        <f t="shared" si="6"/>
        <v>51209</v>
      </c>
      <c r="M30" s="76">
        <f t="shared" si="6"/>
        <v>52209</v>
      </c>
      <c r="N30" s="76">
        <v>530800012</v>
      </c>
      <c r="P30" s="1">
        <v>30</v>
      </c>
      <c r="Q30" s="79">
        <f t="shared" si="7"/>
        <v>6.666666666666667</v>
      </c>
    </row>
  </sheetData>
  <mergeCells count="1">
    <mergeCell ref="P5:Q5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9"/>
  <sheetViews>
    <sheetView tabSelected="1" workbookViewId="0">
      <pane xSplit="3" ySplit="5" topLeftCell="K174" activePane="bottomRight" state="frozen"/>
      <selection pane="topRight" activeCell="D1" sqref="D1"/>
      <selection pane="bottomLeft" activeCell="A6" sqref="A6"/>
      <selection pane="bottomRight" activeCell="B182" sqref="A1:P419"/>
    </sheetView>
  </sheetViews>
  <sheetFormatPr defaultColWidth="9" defaultRowHeight="16.5" customHeight="1" x14ac:dyDescent="0.3"/>
  <cols>
    <col min="1" max="1" width="13.5" style="1" bestFit="1" customWidth="1"/>
    <col min="2" max="2" width="38.5" style="2" bestFit="1" customWidth="1"/>
    <col min="3" max="3" width="17.375" style="2" bestFit="1" customWidth="1"/>
    <col min="4" max="4" width="18.875" style="2" bestFit="1" customWidth="1"/>
    <col min="5" max="5" width="15.5" style="2" bestFit="1" customWidth="1"/>
    <col min="6" max="7" width="15.5" style="2" customWidth="1"/>
    <col min="8" max="8" width="16.375" style="2" bestFit="1" customWidth="1"/>
    <col min="9" max="9" width="14.625" style="2" bestFit="1" customWidth="1"/>
    <col min="10" max="10" width="12.75" style="2" bestFit="1" customWidth="1"/>
    <col min="11" max="11" width="22.875" style="2" customWidth="1"/>
    <col min="12" max="12" width="12.125" style="2" customWidth="1"/>
    <col min="13" max="13" width="10.5" style="2" customWidth="1"/>
    <col min="14" max="14" width="18.375" style="2" customWidth="1"/>
    <col min="15" max="15" width="18.5" style="2" customWidth="1"/>
    <col min="16" max="16" width="14.875" style="1" bestFit="1" customWidth="1"/>
    <col min="17" max="16384" width="9" style="1"/>
  </cols>
  <sheetData>
    <row r="1" spans="1:16" ht="16.5" customHeight="1" x14ac:dyDescent="0.3">
      <c r="A1" s="3" t="s">
        <v>22</v>
      </c>
      <c r="B1" s="4" t="s">
        <v>22</v>
      </c>
      <c r="C1" s="5"/>
      <c r="D1" s="5"/>
      <c r="E1" s="5"/>
      <c r="F1" s="5"/>
      <c r="G1" s="5"/>
      <c r="H1" s="5"/>
      <c r="I1" s="5"/>
      <c r="J1" s="5"/>
      <c r="K1" s="5"/>
      <c r="L1" s="10"/>
      <c r="M1" s="10"/>
      <c r="N1" s="10"/>
      <c r="O1" s="10"/>
    </row>
    <row r="2" spans="1:16" ht="50.1" customHeight="1" x14ac:dyDescent="0.3">
      <c r="A2" s="6" t="s">
        <v>0</v>
      </c>
      <c r="B2" s="6" t="s">
        <v>0</v>
      </c>
      <c r="C2" s="7" t="s">
        <v>1106</v>
      </c>
      <c r="D2" s="8" t="s">
        <v>1107</v>
      </c>
      <c r="E2" s="8" t="s">
        <v>1108</v>
      </c>
      <c r="F2" s="7" t="s">
        <v>1101</v>
      </c>
      <c r="G2" s="7" t="s">
        <v>1109</v>
      </c>
      <c r="H2" s="6" t="s">
        <v>1110</v>
      </c>
      <c r="I2" s="6" t="s">
        <v>1111</v>
      </c>
      <c r="J2" s="6" t="s">
        <v>1099</v>
      </c>
      <c r="K2" s="7" t="s">
        <v>49</v>
      </c>
      <c r="L2" s="6" t="s">
        <v>0</v>
      </c>
      <c r="M2" s="8"/>
      <c r="N2" s="8" t="s">
        <v>1</v>
      </c>
      <c r="O2" s="8" t="s">
        <v>2</v>
      </c>
      <c r="P2" s="8" t="s">
        <v>1112</v>
      </c>
    </row>
    <row r="3" spans="1:16" ht="16.5" customHeight="1" x14ac:dyDescent="0.3">
      <c r="A3" s="9" t="s">
        <v>3</v>
      </c>
      <c r="B3" s="9" t="s">
        <v>3</v>
      </c>
      <c r="C3" s="9" t="s">
        <v>4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61</v>
      </c>
      <c r="O3" s="9" t="s">
        <v>61</v>
      </c>
      <c r="P3" s="9" t="s">
        <v>61</v>
      </c>
    </row>
    <row r="4" spans="1:16" ht="40.5" customHeight="1" x14ac:dyDescent="0.3">
      <c r="A4" s="94" t="s">
        <v>5</v>
      </c>
      <c r="B4" s="94" t="s">
        <v>6</v>
      </c>
      <c r="C4" s="94" t="s">
        <v>7</v>
      </c>
      <c r="D4" s="94" t="s">
        <v>7</v>
      </c>
      <c r="E4" s="94" t="s">
        <v>7</v>
      </c>
      <c r="F4" s="89" t="s">
        <v>1102</v>
      </c>
      <c r="G4" s="95" t="s">
        <v>7</v>
      </c>
      <c r="H4" s="95" t="s">
        <v>7</v>
      </c>
      <c r="I4" s="95" t="s">
        <v>7</v>
      </c>
      <c r="J4" s="95" t="s">
        <v>7</v>
      </c>
      <c r="K4" s="94" t="s">
        <v>7</v>
      </c>
      <c r="L4" s="94" t="s">
        <v>7</v>
      </c>
      <c r="M4" s="96" t="s">
        <v>8</v>
      </c>
      <c r="N4" s="94" t="s">
        <v>7</v>
      </c>
      <c r="O4" s="94" t="s">
        <v>7</v>
      </c>
      <c r="P4" s="94" t="s">
        <v>7</v>
      </c>
    </row>
    <row r="5" spans="1:16" ht="16.5" customHeight="1" x14ac:dyDescent="0.3">
      <c r="A5" s="97" t="s">
        <v>9</v>
      </c>
      <c r="B5" s="97" t="s">
        <v>10</v>
      </c>
      <c r="C5" s="98" t="s">
        <v>11</v>
      </c>
      <c r="D5" s="90" t="s">
        <v>23</v>
      </c>
      <c r="E5" s="90" t="s">
        <v>24</v>
      </c>
      <c r="F5" s="90" t="s">
        <v>1103</v>
      </c>
      <c r="G5" s="97" t="s">
        <v>1113</v>
      </c>
      <c r="H5" s="97" t="s">
        <v>1114</v>
      </c>
      <c r="I5" s="97" t="s">
        <v>1115</v>
      </c>
      <c r="J5" s="97" t="s">
        <v>1100</v>
      </c>
      <c r="K5" s="97" t="s">
        <v>12</v>
      </c>
      <c r="L5" s="97" t="s">
        <v>13</v>
      </c>
      <c r="M5" s="98" t="s">
        <v>14</v>
      </c>
      <c r="N5" s="97" t="s">
        <v>15</v>
      </c>
      <c r="O5" s="97" t="s">
        <v>16</v>
      </c>
      <c r="P5" s="98" t="s">
        <v>17</v>
      </c>
    </row>
    <row r="6" spans="1:16" ht="16.5" customHeight="1" x14ac:dyDescent="0.3">
      <c r="A6" s="46" t="b">
        <v>1</v>
      </c>
      <c r="B6" s="102" t="str">
        <f t="shared" ref="B6:B15" si="0">"업적 - 캐릭터 레벨 달성 " &amp; "Lv." &amp; J6</f>
        <v>업적 - 캐릭터 레벨 달성 Lv.5</v>
      </c>
      <c r="C6" s="39" t="str">
        <f>90&amp;G6&amp;H6&amp;I6&amp;1001</f>
        <v>904111001</v>
      </c>
      <c r="D6" s="39">
        <v>0</v>
      </c>
      <c r="E6" s="39">
        <f>C7</f>
        <v>904111002</v>
      </c>
      <c r="F6" s="100" t="s">
        <v>1104</v>
      </c>
      <c r="G6" s="39">
        <v>4</v>
      </c>
      <c r="H6" s="39">
        <v>1</v>
      </c>
      <c r="I6" s="39">
        <v>1</v>
      </c>
      <c r="J6" s="39">
        <f>'Achievement Reward Base'!B5</f>
        <v>5</v>
      </c>
      <c r="K6" s="39" t="str">
        <f>IF(M6="Gem","160001002",IF(M6="Gold","160001001"))</f>
        <v>160001002</v>
      </c>
      <c r="L6" s="39">
        <f>'Achievement Reward Base'!D5</f>
        <v>5</v>
      </c>
      <c r="M6" s="39" t="s">
        <v>20</v>
      </c>
      <c r="N6" s="39">
        <v>51301</v>
      </c>
      <c r="O6" s="39">
        <f>N6+1000</f>
        <v>52301</v>
      </c>
      <c r="P6" s="39">
        <v>530800014</v>
      </c>
    </row>
    <row r="7" spans="1:16" ht="16.5" customHeight="1" x14ac:dyDescent="0.3">
      <c r="A7" s="46" t="b">
        <v>1</v>
      </c>
      <c r="B7" s="102" t="str">
        <f t="shared" si="0"/>
        <v>업적 - 캐릭터 레벨 달성 Lv.10</v>
      </c>
      <c r="C7" s="46">
        <f>C6+1</f>
        <v>904111002</v>
      </c>
      <c r="D7" s="46" t="str">
        <f>C6</f>
        <v>904111001</v>
      </c>
      <c r="E7" s="46">
        <f t="shared" ref="E7:E14" si="1">C8</f>
        <v>904111003</v>
      </c>
      <c r="F7" s="100" t="s">
        <v>1104</v>
      </c>
      <c r="G7" s="46">
        <f>G6</f>
        <v>4</v>
      </c>
      <c r="H7" s="46">
        <f t="shared" ref="H7:I15" si="2">H6</f>
        <v>1</v>
      </c>
      <c r="I7" s="46">
        <f t="shared" si="2"/>
        <v>1</v>
      </c>
      <c r="J7" s="46">
        <f>'Achievement Reward Base'!B6</f>
        <v>10</v>
      </c>
      <c r="K7" s="46" t="str">
        <f>K6</f>
        <v>160001002</v>
      </c>
      <c r="L7" s="46">
        <f>'Achievement Reward Base'!D6</f>
        <v>10</v>
      </c>
      <c r="M7" s="46" t="s">
        <v>20</v>
      </c>
      <c r="N7" s="46">
        <f t="shared" ref="N7:O70" si="3">N6+1</f>
        <v>51302</v>
      </c>
      <c r="O7" s="46">
        <f t="shared" si="3"/>
        <v>52302</v>
      </c>
      <c r="P7" s="46">
        <f>P6</f>
        <v>530800014</v>
      </c>
    </row>
    <row r="8" spans="1:16" ht="16.5" customHeight="1" x14ac:dyDescent="0.3">
      <c r="A8" s="46" t="b">
        <v>1</v>
      </c>
      <c r="B8" s="102" t="str">
        <f t="shared" si="0"/>
        <v>업적 - 캐릭터 레벨 달성 Lv.15</v>
      </c>
      <c r="C8" s="46">
        <f t="shared" ref="C8:C15" si="4">C7+1</f>
        <v>904111003</v>
      </c>
      <c r="D8" s="46">
        <f t="shared" ref="D8:D15" si="5">C7</f>
        <v>904111002</v>
      </c>
      <c r="E8" s="46">
        <f t="shared" si="1"/>
        <v>904111004</v>
      </c>
      <c r="F8" s="100" t="s">
        <v>1104</v>
      </c>
      <c r="G8" s="46">
        <f t="shared" ref="G8:G15" si="6">G7</f>
        <v>4</v>
      </c>
      <c r="H8" s="46">
        <f t="shared" si="2"/>
        <v>1</v>
      </c>
      <c r="I8" s="46">
        <f t="shared" si="2"/>
        <v>1</v>
      </c>
      <c r="J8" s="46">
        <f>'Achievement Reward Base'!B7</f>
        <v>15</v>
      </c>
      <c r="K8" s="46" t="str">
        <f t="shared" ref="K8:K15" si="7">K7</f>
        <v>160001002</v>
      </c>
      <c r="L8" s="46">
        <f>'Achievement Reward Base'!D7</f>
        <v>15</v>
      </c>
      <c r="M8" s="46" t="s">
        <v>20</v>
      </c>
      <c r="N8" s="46">
        <f t="shared" si="3"/>
        <v>51303</v>
      </c>
      <c r="O8" s="46">
        <f t="shared" si="3"/>
        <v>52303</v>
      </c>
      <c r="P8" s="46">
        <f t="shared" ref="P8:P15" si="8">P7</f>
        <v>530800014</v>
      </c>
    </row>
    <row r="9" spans="1:16" ht="16.5" customHeight="1" x14ac:dyDescent="0.3">
      <c r="A9" s="46" t="b">
        <v>1</v>
      </c>
      <c r="B9" s="102" t="str">
        <f t="shared" si="0"/>
        <v>업적 - 캐릭터 레벨 달성 Lv.20</v>
      </c>
      <c r="C9" s="46">
        <f t="shared" si="4"/>
        <v>904111004</v>
      </c>
      <c r="D9" s="46">
        <f t="shared" si="5"/>
        <v>904111003</v>
      </c>
      <c r="E9" s="46">
        <f t="shared" si="1"/>
        <v>904111005</v>
      </c>
      <c r="F9" s="100" t="s">
        <v>1104</v>
      </c>
      <c r="G9" s="46">
        <f t="shared" si="6"/>
        <v>4</v>
      </c>
      <c r="H9" s="46">
        <f t="shared" si="2"/>
        <v>1</v>
      </c>
      <c r="I9" s="46">
        <f t="shared" si="2"/>
        <v>1</v>
      </c>
      <c r="J9" s="46">
        <f>'Achievement Reward Base'!B8</f>
        <v>20</v>
      </c>
      <c r="K9" s="46" t="str">
        <f t="shared" si="7"/>
        <v>160001002</v>
      </c>
      <c r="L9" s="46">
        <f>'Achievement Reward Base'!D8</f>
        <v>20</v>
      </c>
      <c r="M9" s="46" t="s">
        <v>20</v>
      </c>
      <c r="N9" s="46">
        <f t="shared" si="3"/>
        <v>51304</v>
      </c>
      <c r="O9" s="46">
        <f t="shared" si="3"/>
        <v>52304</v>
      </c>
      <c r="P9" s="46">
        <f t="shared" si="8"/>
        <v>530800014</v>
      </c>
    </row>
    <row r="10" spans="1:16" ht="16.5" customHeight="1" x14ac:dyDescent="0.3">
      <c r="A10" s="46" t="b">
        <v>1</v>
      </c>
      <c r="B10" s="102" t="str">
        <f t="shared" si="0"/>
        <v>업적 - 캐릭터 레벨 달성 Lv.25</v>
      </c>
      <c r="C10" s="46">
        <f t="shared" si="4"/>
        <v>904111005</v>
      </c>
      <c r="D10" s="46">
        <f t="shared" si="5"/>
        <v>904111004</v>
      </c>
      <c r="E10" s="46">
        <f t="shared" si="1"/>
        <v>904111006</v>
      </c>
      <c r="F10" s="100" t="s">
        <v>1104</v>
      </c>
      <c r="G10" s="46">
        <f t="shared" si="6"/>
        <v>4</v>
      </c>
      <c r="H10" s="46">
        <f t="shared" si="2"/>
        <v>1</v>
      </c>
      <c r="I10" s="46">
        <f t="shared" si="2"/>
        <v>1</v>
      </c>
      <c r="J10" s="46">
        <f>'Achievement Reward Base'!B9</f>
        <v>25</v>
      </c>
      <c r="K10" s="46" t="str">
        <f t="shared" si="7"/>
        <v>160001002</v>
      </c>
      <c r="L10" s="46">
        <f>'Achievement Reward Base'!D9</f>
        <v>25</v>
      </c>
      <c r="M10" s="46" t="s">
        <v>20</v>
      </c>
      <c r="N10" s="46">
        <f t="shared" si="3"/>
        <v>51305</v>
      </c>
      <c r="O10" s="46">
        <f t="shared" si="3"/>
        <v>52305</v>
      </c>
      <c r="P10" s="46">
        <f t="shared" si="8"/>
        <v>530800014</v>
      </c>
    </row>
    <row r="11" spans="1:16" ht="16.5" customHeight="1" x14ac:dyDescent="0.3">
      <c r="A11" s="46" t="b">
        <v>1</v>
      </c>
      <c r="B11" s="102" t="str">
        <f t="shared" si="0"/>
        <v>업적 - 캐릭터 레벨 달성 Lv.30</v>
      </c>
      <c r="C11" s="46">
        <f t="shared" si="4"/>
        <v>904111006</v>
      </c>
      <c r="D11" s="46">
        <f t="shared" si="5"/>
        <v>904111005</v>
      </c>
      <c r="E11" s="46">
        <f t="shared" si="1"/>
        <v>904111007</v>
      </c>
      <c r="F11" s="100" t="s">
        <v>1104</v>
      </c>
      <c r="G11" s="46">
        <f t="shared" si="6"/>
        <v>4</v>
      </c>
      <c r="H11" s="46">
        <f t="shared" si="2"/>
        <v>1</v>
      </c>
      <c r="I11" s="46">
        <f t="shared" si="2"/>
        <v>1</v>
      </c>
      <c r="J11" s="46">
        <f>'Achievement Reward Base'!B10</f>
        <v>30</v>
      </c>
      <c r="K11" s="46" t="str">
        <f t="shared" si="7"/>
        <v>160001002</v>
      </c>
      <c r="L11" s="46">
        <f>'Achievement Reward Base'!D10</f>
        <v>30</v>
      </c>
      <c r="M11" s="46" t="s">
        <v>20</v>
      </c>
      <c r="N11" s="46">
        <f t="shared" si="3"/>
        <v>51306</v>
      </c>
      <c r="O11" s="46">
        <f t="shared" si="3"/>
        <v>52306</v>
      </c>
      <c r="P11" s="46">
        <f t="shared" si="8"/>
        <v>530800014</v>
      </c>
    </row>
    <row r="12" spans="1:16" ht="16.5" customHeight="1" x14ac:dyDescent="0.3">
      <c r="A12" s="46" t="b">
        <v>1</v>
      </c>
      <c r="B12" s="102" t="str">
        <f t="shared" si="0"/>
        <v>업적 - 캐릭터 레벨 달성 Lv.35</v>
      </c>
      <c r="C12" s="46">
        <f t="shared" si="4"/>
        <v>904111007</v>
      </c>
      <c r="D12" s="46">
        <f t="shared" si="5"/>
        <v>904111006</v>
      </c>
      <c r="E12" s="46">
        <f t="shared" si="1"/>
        <v>904111008</v>
      </c>
      <c r="F12" s="100" t="s">
        <v>1104</v>
      </c>
      <c r="G12" s="46">
        <f t="shared" si="6"/>
        <v>4</v>
      </c>
      <c r="H12" s="46">
        <f t="shared" si="2"/>
        <v>1</v>
      </c>
      <c r="I12" s="46">
        <f t="shared" si="2"/>
        <v>1</v>
      </c>
      <c r="J12" s="46">
        <f>'Achievement Reward Base'!B11</f>
        <v>35</v>
      </c>
      <c r="K12" s="46" t="str">
        <f t="shared" si="7"/>
        <v>160001002</v>
      </c>
      <c r="L12" s="46">
        <f>'Achievement Reward Base'!D11</f>
        <v>35</v>
      </c>
      <c r="M12" s="46" t="s">
        <v>20</v>
      </c>
      <c r="N12" s="46">
        <f t="shared" si="3"/>
        <v>51307</v>
      </c>
      <c r="O12" s="46">
        <f t="shared" si="3"/>
        <v>52307</v>
      </c>
      <c r="P12" s="46">
        <f t="shared" si="8"/>
        <v>530800014</v>
      </c>
    </row>
    <row r="13" spans="1:16" ht="16.5" customHeight="1" x14ac:dyDescent="0.3">
      <c r="A13" s="46" t="b">
        <v>1</v>
      </c>
      <c r="B13" s="102" t="str">
        <f t="shared" si="0"/>
        <v>업적 - 캐릭터 레벨 달성 Lv.40</v>
      </c>
      <c r="C13" s="46">
        <f t="shared" si="4"/>
        <v>904111008</v>
      </c>
      <c r="D13" s="46">
        <f t="shared" si="5"/>
        <v>904111007</v>
      </c>
      <c r="E13" s="46">
        <f t="shared" si="1"/>
        <v>904111009</v>
      </c>
      <c r="F13" s="100" t="s">
        <v>1104</v>
      </c>
      <c r="G13" s="46">
        <f t="shared" si="6"/>
        <v>4</v>
      </c>
      <c r="H13" s="46">
        <f t="shared" si="2"/>
        <v>1</v>
      </c>
      <c r="I13" s="46">
        <f t="shared" si="2"/>
        <v>1</v>
      </c>
      <c r="J13" s="46">
        <f>'Achievement Reward Base'!B12</f>
        <v>40</v>
      </c>
      <c r="K13" s="46" t="str">
        <f t="shared" si="7"/>
        <v>160001002</v>
      </c>
      <c r="L13" s="46">
        <f>'Achievement Reward Base'!D12</f>
        <v>40</v>
      </c>
      <c r="M13" s="46" t="s">
        <v>20</v>
      </c>
      <c r="N13" s="46">
        <f t="shared" si="3"/>
        <v>51308</v>
      </c>
      <c r="O13" s="46">
        <f t="shared" si="3"/>
        <v>52308</v>
      </c>
      <c r="P13" s="46">
        <f t="shared" si="8"/>
        <v>530800014</v>
      </c>
    </row>
    <row r="14" spans="1:16" ht="16.5" customHeight="1" x14ac:dyDescent="0.3">
      <c r="A14" s="46" t="b">
        <v>1</v>
      </c>
      <c r="B14" s="102" t="str">
        <f t="shared" si="0"/>
        <v>업적 - 캐릭터 레벨 달성 Lv.45</v>
      </c>
      <c r="C14" s="46">
        <f t="shared" si="4"/>
        <v>904111009</v>
      </c>
      <c r="D14" s="46">
        <f t="shared" si="5"/>
        <v>904111008</v>
      </c>
      <c r="E14" s="46">
        <f t="shared" si="1"/>
        <v>904111010</v>
      </c>
      <c r="F14" s="100" t="s">
        <v>1104</v>
      </c>
      <c r="G14" s="46">
        <f t="shared" si="6"/>
        <v>4</v>
      </c>
      <c r="H14" s="46">
        <f t="shared" si="2"/>
        <v>1</v>
      </c>
      <c r="I14" s="46">
        <f t="shared" si="2"/>
        <v>1</v>
      </c>
      <c r="J14" s="46">
        <f>'Achievement Reward Base'!B13</f>
        <v>45</v>
      </c>
      <c r="K14" s="46" t="str">
        <f t="shared" si="7"/>
        <v>160001002</v>
      </c>
      <c r="L14" s="46">
        <f>'Achievement Reward Base'!D13</f>
        <v>45</v>
      </c>
      <c r="M14" s="46" t="s">
        <v>20</v>
      </c>
      <c r="N14" s="46">
        <f t="shared" si="3"/>
        <v>51309</v>
      </c>
      <c r="O14" s="46">
        <f t="shared" si="3"/>
        <v>52309</v>
      </c>
      <c r="P14" s="46">
        <f t="shared" si="8"/>
        <v>530800014</v>
      </c>
    </row>
    <row r="15" spans="1:16" ht="16.5" customHeight="1" x14ac:dyDescent="0.3">
      <c r="A15" s="46" t="b">
        <v>1</v>
      </c>
      <c r="B15" s="102" t="str">
        <f t="shared" si="0"/>
        <v>업적 - 캐릭터 레벨 달성 Lv.50</v>
      </c>
      <c r="C15" s="46">
        <f t="shared" si="4"/>
        <v>904111010</v>
      </c>
      <c r="D15" s="46">
        <f t="shared" si="5"/>
        <v>904111009</v>
      </c>
      <c r="E15" s="46">
        <v>0</v>
      </c>
      <c r="F15" s="100" t="s">
        <v>1104</v>
      </c>
      <c r="G15" s="46">
        <f t="shared" si="6"/>
        <v>4</v>
      </c>
      <c r="H15" s="46">
        <f t="shared" si="2"/>
        <v>1</v>
      </c>
      <c r="I15" s="46">
        <f t="shared" si="2"/>
        <v>1</v>
      </c>
      <c r="J15" s="46">
        <f>'Achievement Reward Base'!B14</f>
        <v>50</v>
      </c>
      <c r="K15" s="46" t="str">
        <f t="shared" si="7"/>
        <v>160001002</v>
      </c>
      <c r="L15" s="46">
        <f>'Achievement Reward Base'!D14</f>
        <v>50</v>
      </c>
      <c r="M15" s="46" t="s">
        <v>20</v>
      </c>
      <c r="N15" s="46">
        <f t="shared" si="3"/>
        <v>51310</v>
      </c>
      <c r="O15" s="46">
        <f t="shared" si="3"/>
        <v>52310</v>
      </c>
      <c r="P15" s="46">
        <f t="shared" si="8"/>
        <v>530800014</v>
      </c>
    </row>
    <row r="16" spans="1:16" ht="16.5" customHeight="1" x14ac:dyDescent="0.3">
      <c r="A16" s="17" t="b">
        <v>1</v>
      </c>
      <c r="B16" s="18" t="str">
        <f t="shared" ref="B16:B59" si="9">"업적 - 수호자 레벨 달성 " &amp; "Lv." &amp; J16</f>
        <v>업적 - 수호자 레벨 달성 Lv.10</v>
      </c>
      <c r="C16" s="16" t="str">
        <f>90&amp;G16&amp;H16&amp;I16&amp;1001</f>
        <v>904211001</v>
      </c>
      <c r="D16" s="16">
        <v>0</v>
      </c>
      <c r="E16" s="17">
        <f t="shared" ref="E16:E58" si="10">C17</f>
        <v>904211002</v>
      </c>
      <c r="F16" s="91" t="s">
        <v>1105</v>
      </c>
      <c r="G16" s="16">
        <v>4</v>
      </c>
      <c r="H16" s="16">
        <v>2</v>
      </c>
      <c r="I16" s="16">
        <v>1</v>
      </c>
      <c r="J16" s="16">
        <f>'Achievement Reward Base'!B45</f>
        <v>10</v>
      </c>
      <c r="K16" s="16" t="str">
        <f>IF(M16="Gem","160001002",IF(M16="Gold","160001001"))</f>
        <v>160001002</v>
      </c>
      <c r="L16" s="16">
        <f>'Achievement Reward Base'!D45</f>
        <v>10</v>
      </c>
      <c r="M16" s="21" t="s">
        <v>20</v>
      </c>
      <c r="N16" s="16">
        <f t="shared" si="3"/>
        <v>51311</v>
      </c>
      <c r="O16" s="16">
        <f t="shared" si="3"/>
        <v>52311</v>
      </c>
      <c r="P16" s="16">
        <v>530800014</v>
      </c>
    </row>
    <row r="17" spans="1:16" ht="16.5" customHeight="1" x14ac:dyDescent="0.3">
      <c r="A17" s="17" t="b">
        <v>1</v>
      </c>
      <c r="B17" s="18" t="str">
        <f t="shared" si="9"/>
        <v>업적 - 수호자 레벨 달성 Lv.20</v>
      </c>
      <c r="C17" s="17">
        <f t="shared" ref="C17:C59" si="11">C16+1</f>
        <v>904211002</v>
      </c>
      <c r="D17" s="17" t="str">
        <f t="shared" ref="D17:D59" si="12">C16</f>
        <v>904211001</v>
      </c>
      <c r="E17" s="17">
        <f t="shared" si="10"/>
        <v>904211003</v>
      </c>
      <c r="F17" s="91" t="s">
        <v>1105</v>
      </c>
      <c r="G17" s="17">
        <f>G16</f>
        <v>4</v>
      </c>
      <c r="H17" s="17">
        <f t="shared" ref="H17:I32" si="13">H16</f>
        <v>2</v>
      </c>
      <c r="I17" s="17">
        <f t="shared" si="13"/>
        <v>1</v>
      </c>
      <c r="J17" s="17">
        <f>'Achievement Reward Base'!B46</f>
        <v>20</v>
      </c>
      <c r="K17" s="17" t="str">
        <f>K16</f>
        <v>160001002</v>
      </c>
      <c r="L17" s="17">
        <f>'Achievement Reward Base'!D46</f>
        <v>15</v>
      </c>
      <c r="M17" s="21" t="s">
        <v>20</v>
      </c>
      <c r="N17" s="17">
        <f t="shared" si="3"/>
        <v>51312</v>
      </c>
      <c r="O17" s="17">
        <f t="shared" si="3"/>
        <v>52312</v>
      </c>
      <c r="P17" s="21">
        <f>P16</f>
        <v>530800014</v>
      </c>
    </row>
    <row r="18" spans="1:16" ht="16.5" customHeight="1" x14ac:dyDescent="0.3">
      <c r="A18" s="17" t="b">
        <v>1</v>
      </c>
      <c r="B18" s="18" t="str">
        <f t="shared" si="9"/>
        <v>업적 - 수호자 레벨 달성 Lv.30</v>
      </c>
      <c r="C18" s="17">
        <f t="shared" si="11"/>
        <v>904211003</v>
      </c>
      <c r="D18" s="17">
        <f t="shared" si="12"/>
        <v>904211002</v>
      </c>
      <c r="E18" s="17">
        <f t="shared" si="10"/>
        <v>904211004</v>
      </c>
      <c r="F18" s="91" t="s">
        <v>1105</v>
      </c>
      <c r="G18" s="17">
        <f t="shared" ref="G18:I33" si="14">G17</f>
        <v>4</v>
      </c>
      <c r="H18" s="17">
        <f t="shared" si="13"/>
        <v>2</v>
      </c>
      <c r="I18" s="17">
        <f t="shared" si="13"/>
        <v>1</v>
      </c>
      <c r="J18" s="17">
        <f>'Achievement Reward Base'!B47</f>
        <v>30</v>
      </c>
      <c r="K18" s="17" t="str">
        <f t="shared" ref="K18:K59" si="15">K17</f>
        <v>160001002</v>
      </c>
      <c r="L18" s="17">
        <f>'Achievement Reward Base'!D47</f>
        <v>20</v>
      </c>
      <c r="M18" s="21" t="s">
        <v>20</v>
      </c>
      <c r="N18" s="17">
        <f t="shared" si="3"/>
        <v>51313</v>
      </c>
      <c r="O18" s="17">
        <f t="shared" si="3"/>
        <v>52313</v>
      </c>
      <c r="P18" s="21">
        <f t="shared" ref="P18:P59" si="16">P17</f>
        <v>530800014</v>
      </c>
    </row>
    <row r="19" spans="1:16" ht="16.5" customHeight="1" x14ac:dyDescent="0.3">
      <c r="A19" s="17" t="b">
        <v>1</v>
      </c>
      <c r="B19" s="18" t="str">
        <f t="shared" si="9"/>
        <v>업적 - 수호자 레벨 달성 Lv.50</v>
      </c>
      <c r="C19" s="17">
        <f t="shared" si="11"/>
        <v>904211004</v>
      </c>
      <c r="D19" s="17">
        <f t="shared" si="12"/>
        <v>904211003</v>
      </c>
      <c r="E19" s="17">
        <f t="shared" si="10"/>
        <v>904211005</v>
      </c>
      <c r="F19" s="91" t="s">
        <v>1105</v>
      </c>
      <c r="G19" s="17">
        <f t="shared" si="14"/>
        <v>4</v>
      </c>
      <c r="H19" s="17">
        <f t="shared" si="13"/>
        <v>2</v>
      </c>
      <c r="I19" s="17">
        <f t="shared" si="13"/>
        <v>1</v>
      </c>
      <c r="J19" s="17">
        <f>'Achievement Reward Base'!B48</f>
        <v>50</v>
      </c>
      <c r="K19" s="17" t="str">
        <f t="shared" si="15"/>
        <v>160001002</v>
      </c>
      <c r="L19" s="17">
        <f>'Achievement Reward Base'!D48</f>
        <v>25</v>
      </c>
      <c r="M19" s="21" t="s">
        <v>20</v>
      </c>
      <c r="N19" s="17">
        <f t="shared" si="3"/>
        <v>51314</v>
      </c>
      <c r="O19" s="17">
        <f t="shared" si="3"/>
        <v>52314</v>
      </c>
      <c r="P19" s="21">
        <f t="shared" si="16"/>
        <v>530800014</v>
      </c>
    </row>
    <row r="20" spans="1:16" ht="16.5" customHeight="1" x14ac:dyDescent="0.3">
      <c r="A20" s="17" t="b">
        <v>1</v>
      </c>
      <c r="B20" s="18" t="str">
        <f t="shared" si="9"/>
        <v>업적 - 수호자 레벨 달성 Lv.75</v>
      </c>
      <c r="C20" s="17">
        <f t="shared" si="11"/>
        <v>904211005</v>
      </c>
      <c r="D20" s="17">
        <f t="shared" si="12"/>
        <v>904211004</v>
      </c>
      <c r="E20" s="17">
        <f t="shared" si="10"/>
        <v>904211006</v>
      </c>
      <c r="F20" s="91" t="s">
        <v>1105</v>
      </c>
      <c r="G20" s="17">
        <f t="shared" si="14"/>
        <v>4</v>
      </c>
      <c r="H20" s="17">
        <f t="shared" si="13"/>
        <v>2</v>
      </c>
      <c r="I20" s="17">
        <f t="shared" si="13"/>
        <v>1</v>
      </c>
      <c r="J20" s="17">
        <f>'Achievement Reward Base'!B49</f>
        <v>75</v>
      </c>
      <c r="K20" s="17" t="str">
        <f t="shared" si="15"/>
        <v>160001002</v>
      </c>
      <c r="L20" s="17">
        <f>'Achievement Reward Base'!D49</f>
        <v>30</v>
      </c>
      <c r="M20" s="21" t="s">
        <v>20</v>
      </c>
      <c r="N20" s="17">
        <f t="shared" si="3"/>
        <v>51315</v>
      </c>
      <c r="O20" s="17">
        <f t="shared" si="3"/>
        <v>52315</v>
      </c>
      <c r="P20" s="21">
        <f t="shared" si="16"/>
        <v>530800014</v>
      </c>
    </row>
    <row r="21" spans="1:16" ht="16.5" customHeight="1" x14ac:dyDescent="0.3">
      <c r="A21" s="17" t="b">
        <v>1</v>
      </c>
      <c r="B21" s="18" t="str">
        <f t="shared" si="9"/>
        <v>업적 - 수호자 레벨 달성 Lv.100</v>
      </c>
      <c r="C21" s="17">
        <f t="shared" si="11"/>
        <v>904211006</v>
      </c>
      <c r="D21" s="17">
        <f t="shared" si="12"/>
        <v>904211005</v>
      </c>
      <c r="E21" s="17">
        <f t="shared" si="10"/>
        <v>904211007</v>
      </c>
      <c r="F21" s="91" t="s">
        <v>1105</v>
      </c>
      <c r="G21" s="17">
        <f t="shared" si="14"/>
        <v>4</v>
      </c>
      <c r="H21" s="17">
        <f t="shared" si="13"/>
        <v>2</v>
      </c>
      <c r="I21" s="17">
        <f t="shared" si="13"/>
        <v>1</v>
      </c>
      <c r="J21" s="17">
        <f>'Achievement Reward Base'!B50</f>
        <v>100</v>
      </c>
      <c r="K21" s="17" t="str">
        <f t="shared" si="15"/>
        <v>160001002</v>
      </c>
      <c r="L21" s="17">
        <f>'Achievement Reward Base'!D50</f>
        <v>35</v>
      </c>
      <c r="M21" s="21" t="s">
        <v>20</v>
      </c>
      <c r="N21" s="17">
        <f t="shared" si="3"/>
        <v>51316</v>
      </c>
      <c r="O21" s="17">
        <f t="shared" si="3"/>
        <v>52316</v>
      </c>
      <c r="P21" s="21">
        <f t="shared" si="16"/>
        <v>530800014</v>
      </c>
    </row>
    <row r="22" spans="1:16" ht="16.5" customHeight="1" x14ac:dyDescent="0.3">
      <c r="A22" s="17" t="b">
        <v>1</v>
      </c>
      <c r="B22" s="18" t="str">
        <f t="shared" si="9"/>
        <v>업적 - 수호자 레벨 달성 Lv.150</v>
      </c>
      <c r="C22" s="17">
        <f t="shared" si="11"/>
        <v>904211007</v>
      </c>
      <c r="D22" s="17">
        <f t="shared" si="12"/>
        <v>904211006</v>
      </c>
      <c r="E22" s="17">
        <f t="shared" si="10"/>
        <v>904211008</v>
      </c>
      <c r="F22" s="91" t="s">
        <v>1105</v>
      </c>
      <c r="G22" s="17">
        <f t="shared" si="14"/>
        <v>4</v>
      </c>
      <c r="H22" s="17">
        <f t="shared" si="13"/>
        <v>2</v>
      </c>
      <c r="I22" s="17">
        <f t="shared" si="13"/>
        <v>1</v>
      </c>
      <c r="J22" s="17">
        <f>'Achievement Reward Base'!B51</f>
        <v>150</v>
      </c>
      <c r="K22" s="17" t="str">
        <f t="shared" si="15"/>
        <v>160001002</v>
      </c>
      <c r="L22" s="17">
        <f>'Achievement Reward Base'!D51</f>
        <v>40</v>
      </c>
      <c r="M22" s="21" t="s">
        <v>20</v>
      </c>
      <c r="N22" s="17">
        <f t="shared" si="3"/>
        <v>51317</v>
      </c>
      <c r="O22" s="17">
        <f t="shared" si="3"/>
        <v>52317</v>
      </c>
      <c r="P22" s="21">
        <f t="shared" si="16"/>
        <v>530800014</v>
      </c>
    </row>
    <row r="23" spans="1:16" ht="16.5" customHeight="1" x14ac:dyDescent="0.3">
      <c r="A23" s="17" t="b">
        <v>1</v>
      </c>
      <c r="B23" s="18" t="str">
        <f t="shared" si="9"/>
        <v>업적 - 수호자 레벨 달성 Lv.200</v>
      </c>
      <c r="C23" s="17">
        <f t="shared" si="11"/>
        <v>904211008</v>
      </c>
      <c r="D23" s="17">
        <f t="shared" si="12"/>
        <v>904211007</v>
      </c>
      <c r="E23" s="17">
        <f t="shared" si="10"/>
        <v>904211009</v>
      </c>
      <c r="F23" s="91" t="s">
        <v>1105</v>
      </c>
      <c r="G23" s="17">
        <f t="shared" si="14"/>
        <v>4</v>
      </c>
      <c r="H23" s="17">
        <f t="shared" si="13"/>
        <v>2</v>
      </c>
      <c r="I23" s="17">
        <f t="shared" si="13"/>
        <v>1</v>
      </c>
      <c r="J23" s="17">
        <f>'Achievement Reward Base'!B52</f>
        <v>200</v>
      </c>
      <c r="K23" s="17" t="str">
        <f t="shared" si="15"/>
        <v>160001002</v>
      </c>
      <c r="L23" s="17">
        <f>'Achievement Reward Base'!D52</f>
        <v>45</v>
      </c>
      <c r="M23" s="21" t="s">
        <v>20</v>
      </c>
      <c r="N23" s="17">
        <f t="shared" si="3"/>
        <v>51318</v>
      </c>
      <c r="O23" s="17">
        <f t="shared" si="3"/>
        <v>52318</v>
      </c>
      <c r="P23" s="21">
        <f t="shared" si="16"/>
        <v>530800014</v>
      </c>
    </row>
    <row r="24" spans="1:16" ht="16.5" customHeight="1" x14ac:dyDescent="0.3">
      <c r="A24" s="17" t="b">
        <v>1</v>
      </c>
      <c r="B24" s="18" t="str">
        <f t="shared" si="9"/>
        <v>업적 - 수호자 레벨 달성 Lv.250</v>
      </c>
      <c r="C24" s="17">
        <f t="shared" si="11"/>
        <v>904211009</v>
      </c>
      <c r="D24" s="17">
        <f t="shared" si="12"/>
        <v>904211008</v>
      </c>
      <c r="E24" s="17">
        <f t="shared" si="10"/>
        <v>904211010</v>
      </c>
      <c r="F24" s="91" t="s">
        <v>1105</v>
      </c>
      <c r="G24" s="17">
        <f t="shared" si="14"/>
        <v>4</v>
      </c>
      <c r="H24" s="17">
        <f t="shared" si="13"/>
        <v>2</v>
      </c>
      <c r="I24" s="17">
        <f t="shared" si="13"/>
        <v>1</v>
      </c>
      <c r="J24" s="17">
        <f>'Achievement Reward Base'!B53</f>
        <v>250</v>
      </c>
      <c r="K24" s="17" t="str">
        <f t="shared" si="15"/>
        <v>160001002</v>
      </c>
      <c r="L24" s="17">
        <f>'Achievement Reward Base'!D53</f>
        <v>50</v>
      </c>
      <c r="M24" s="21" t="s">
        <v>20</v>
      </c>
      <c r="N24" s="17">
        <f t="shared" si="3"/>
        <v>51319</v>
      </c>
      <c r="O24" s="17">
        <f t="shared" si="3"/>
        <v>52319</v>
      </c>
      <c r="P24" s="21">
        <f t="shared" si="16"/>
        <v>530800014</v>
      </c>
    </row>
    <row r="25" spans="1:16" ht="16.5" customHeight="1" x14ac:dyDescent="0.3">
      <c r="A25" s="17" t="b">
        <v>1</v>
      </c>
      <c r="B25" s="18" t="str">
        <f t="shared" si="9"/>
        <v>업적 - 수호자 레벨 달성 Lv.300</v>
      </c>
      <c r="C25" s="17">
        <f t="shared" si="11"/>
        <v>904211010</v>
      </c>
      <c r="D25" s="17">
        <f t="shared" si="12"/>
        <v>904211009</v>
      </c>
      <c r="E25" s="17">
        <f t="shared" si="10"/>
        <v>904211011</v>
      </c>
      <c r="F25" s="91" t="s">
        <v>1105</v>
      </c>
      <c r="G25" s="17">
        <f t="shared" si="14"/>
        <v>4</v>
      </c>
      <c r="H25" s="17">
        <f t="shared" si="13"/>
        <v>2</v>
      </c>
      <c r="I25" s="17">
        <f t="shared" si="13"/>
        <v>1</v>
      </c>
      <c r="J25" s="17">
        <f>'Achievement Reward Base'!B54</f>
        <v>300</v>
      </c>
      <c r="K25" s="17" t="str">
        <f t="shared" si="15"/>
        <v>160001002</v>
      </c>
      <c r="L25" s="17">
        <f>'Achievement Reward Base'!D54</f>
        <v>55</v>
      </c>
      <c r="M25" s="21" t="s">
        <v>20</v>
      </c>
      <c r="N25" s="17">
        <f t="shared" si="3"/>
        <v>51320</v>
      </c>
      <c r="O25" s="17">
        <f t="shared" si="3"/>
        <v>52320</v>
      </c>
      <c r="P25" s="21">
        <f t="shared" si="16"/>
        <v>530800014</v>
      </c>
    </row>
    <row r="26" spans="1:16" ht="16.5" customHeight="1" x14ac:dyDescent="0.3">
      <c r="A26" s="17" t="b">
        <v>1</v>
      </c>
      <c r="B26" s="18" t="str">
        <f>"업적 - 수호자 레벨 달성 " &amp; "Lv." &amp; J26</f>
        <v>업적 - 수호자 레벨 달성 Lv.350</v>
      </c>
      <c r="C26" s="17">
        <f t="shared" si="11"/>
        <v>904211011</v>
      </c>
      <c r="D26" s="17">
        <f t="shared" si="12"/>
        <v>904211010</v>
      </c>
      <c r="E26" s="17">
        <f t="shared" si="10"/>
        <v>904211012</v>
      </c>
      <c r="F26" s="91" t="s">
        <v>1105</v>
      </c>
      <c r="G26" s="17">
        <f t="shared" si="14"/>
        <v>4</v>
      </c>
      <c r="H26" s="17">
        <f t="shared" si="13"/>
        <v>2</v>
      </c>
      <c r="I26" s="17">
        <f t="shared" si="13"/>
        <v>1</v>
      </c>
      <c r="J26" s="17">
        <f>'Achievement Reward Base'!B55</f>
        <v>350</v>
      </c>
      <c r="K26" s="17" t="str">
        <f t="shared" si="15"/>
        <v>160001002</v>
      </c>
      <c r="L26" s="17">
        <f>'Achievement Reward Base'!D55</f>
        <v>60</v>
      </c>
      <c r="M26" s="21" t="s">
        <v>20</v>
      </c>
      <c r="N26" s="17">
        <f t="shared" si="3"/>
        <v>51321</v>
      </c>
      <c r="O26" s="17">
        <f t="shared" si="3"/>
        <v>52321</v>
      </c>
      <c r="P26" s="21">
        <f t="shared" si="16"/>
        <v>530800014</v>
      </c>
    </row>
    <row r="27" spans="1:16" ht="16.5" customHeight="1" x14ac:dyDescent="0.3">
      <c r="A27" s="17" t="b">
        <v>1</v>
      </c>
      <c r="B27" s="18" t="str">
        <f t="shared" si="9"/>
        <v>업적 - 수호자 레벨 달성 Lv.400</v>
      </c>
      <c r="C27" s="17">
        <f t="shared" si="11"/>
        <v>904211012</v>
      </c>
      <c r="D27" s="17">
        <f t="shared" si="12"/>
        <v>904211011</v>
      </c>
      <c r="E27" s="17">
        <f t="shared" si="10"/>
        <v>904211013</v>
      </c>
      <c r="F27" s="91" t="s">
        <v>1105</v>
      </c>
      <c r="G27" s="17">
        <f t="shared" si="14"/>
        <v>4</v>
      </c>
      <c r="H27" s="17">
        <f t="shared" si="13"/>
        <v>2</v>
      </c>
      <c r="I27" s="17">
        <f t="shared" si="13"/>
        <v>1</v>
      </c>
      <c r="J27" s="17">
        <f>'Achievement Reward Base'!B56</f>
        <v>400</v>
      </c>
      <c r="K27" s="17" t="str">
        <f t="shared" si="15"/>
        <v>160001002</v>
      </c>
      <c r="L27" s="17">
        <f>'Achievement Reward Base'!D56</f>
        <v>65</v>
      </c>
      <c r="M27" s="21" t="s">
        <v>20</v>
      </c>
      <c r="N27" s="17">
        <f t="shared" si="3"/>
        <v>51322</v>
      </c>
      <c r="O27" s="17">
        <f t="shared" si="3"/>
        <v>52322</v>
      </c>
      <c r="P27" s="21">
        <f t="shared" si="16"/>
        <v>530800014</v>
      </c>
    </row>
    <row r="28" spans="1:16" ht="16.5" customHeight="1" x14ac:dyDescent="0.3">
      <c r="A28" s="17" t="b">
        <v>1</v>
      </c>
      <c r="B28" s="18" t="str">
        <f t="shared" si="9"/>
        <v>업적 - 수호자 레벨 달성 Lv.450</v>
      </c>
      <c r="C28" s="17">
        <f t="shared" si="11"/>
        <v>904211013</v>
      </c>
      <c r="D28" s="17">
        <f t="shared" si="12"/>
        <v>904211012</v>
      </c>
      <c r="E28" s="17">
        <f t="shared" si="10"/>
        <v>904211014</v>
      </c>
      <c r="F28" s="91" t="s">
        <v>1105</v>
      </c>
      <c r="G28" s="17">
        <f t="shared" si="14"/>
        <v>4</v>
      </c>
      <c r="H28" s="17">
        <f t="shared" si="13"/>
        <v>2</v>
      </c>
      <c r="I28" s="17">
        <f t="shared" si="13"/>
        <v>1</v>
      </c>
      <c r="J28" s="17">
        <f>'Achievement Reward Base'!B57</f>
        <v>450</v>
      </c>
      <c r="K28" s="17" t="str">
        <f t="shared" si="15"/>
        <v>160001002</v>
      </c>
      <c r="L28" s="17">
        <f>'Achievement Reward Base'!D57</f>
        <v>70</v>
      </c>
      <c r="M28" s="21" t="s">
        <v>20</v>
      </c>
      <c r="N28" s="17">
        <f t="shared" si="3"/>
        <v>51323</v>
      </c>
      <c r="O28" s="17">
        <f t="shared" si="3"/>
        <v>52323</v>
      </c>
      <c r="P28" s="21">
        <f t="shared" si="16"/>
        <v>530800014</v>
      </c>
    </row>
    <row r="29" spans="1:16" ht="16.5" customHeight="1" x14ac:dyDescent="0.3">
      <c r="A29" s="17" t="b">
        <v>1</v>
      </c>
      <c r="B29" s="18" t="str">
        <f t="shared" si="9"/>
        <v>업적 - 수호자 레벨 달성 Lv.500</v>
      </c>
      <c r="C29" s="17">
        <f t="shared" si="11"/>
        <v>904211014</v>
      </c>
      <c r="D29" s="17">
        <f t="shared" si="12"/>
        <v>904211013</v>
      </c>
      <c r="E29" s="17">
        <f t="shared" si="10"/>
        <v>904211015</v>
      </c>
      <c r="F29" s="91" t="s">
        <v>1105</v>
      </c>
      <c r="G29" s="17">
        <f t="shared" si="14"/>
        <v>4</v>
      </c>
      <c r="H29" s="17">
        <f t="shared" si="13"/>
        <v>2</v>
      </c>
      <c r="I29" s="17">
        <f t="shared" si="13"/>
        <v>1</v>
      </c>
      <c r="J29" s="17">
        <f>'Achievement Reward Base'!B58</f>
        <v>500</v>
      </c>
      <c r="K29" s="17" t="str">
        <f t="shared" si="15"/>
        <v>160001002</v>
      </c>
      <c r="L29" s="17">
        <f>'Achievement Reward Base'!D58</f>
        <v>75</v>
      </c>
      <c r="M29" s="21" t="s">
        <v>20</v>
      </c>
      <c r="N29" s="17">
        <f t="shared" si="3"/>
        <v>51324</v>
      </c>
      <c r="O29" s="17">
        <f t="shared" si="3"/>
        <v>52324</v>
      </c>
      <c r="P29" s="21">
        <f t="shared" si="16"/>
        <v>530800014</v>
      </c>
    </row>
    <row r="30" spans="1:16" ht="16.5" customHeight="1" x14ac:dyDescent="0.3">
      <c r="A30" s="17" t="b">
        <v>1</v>
      </c>
      <c r="B30" s="18" t="str">
        <f t="shared" si="9"/>
        <v>업적 - 수호자 레벨 달성 Lv.550</v>
      </c>
      <c r="C30" s="17">
        <f t="shared" si="11"/>
        <v>904211015</v>
      </c>
      <c r="D30" s="17">
        <f t="shared" si="12"/>
        <v>904211014</v>
      </c>
      <c r="E30" s="17">
        <f t="shared" si="10"/>
        <v>904211016</v>
      </c>
      <c r="F30" s="91" t="s">
        <v>1105</v>
      </c>
      <c r="G30" s="17">
        <f t="shared" si="14"/>
        <v>4</v>
      </c>
      <c r="H30" s="17">
        <f t="shared" si="13"/>
        <v>2</v>
      </c>
      <c r="I30" s="17">
        <f t="shared" si="13"/>
        <v>1</v>
      </c>
      <c r="J30" s="17">
        <f>'Achievement Reward Base'!B59</f>
        <v>550</v>
      </c>
      <c r="K30" s="17" t="str">
        <f t="shared" si="15"/>
        <v>160001002</v>
      </c>
      <c r="L30" s="17">
        <f>'Achievement Reward Base'!D59</f>
        <v>80</v>
      </c>
      <c r="M30" s="21" t="s">
        <v>20</v>
      </c>
      <c r="N30" s="17">
        <f t="shared" si="3"/>
        <v>51325</v>
      </c>
      <c r="O30" s="17">
        <f t="shared" si="3"/>
        <v>52325</v>
      </c>
      <c r="P30" s="21">
        <f t="shared" si="16"/>
        <v>530800014</v>
      </c>
    </row>
    <row r="31" spans="1:16" ht="16.5" customHeight="1" x14ac:dyDescent="0.3">
      <c r="A31" s="17" t="b">
        <v>1</v>
      </c>
      <c r="B31" s="18" t="str">
        <f t="shared" si="9"/>
        <v>업적 - 수호자 레벨 달성 Lv.600</v>
      </c>
      <c r="C31" s="17">
        <f t="shared" si="11"/>
        <v>904211016</v>
      </c>
      <c r="D31" s="17">
        <f t="shared" si="12"/>
        <v>904211015</v>
      </c>
      <c r="E31" s="17">
        <f t="shared" si="10"/>
        <v>904211017</v>
      </c>
      <c r="F31" s="91" t="s">
        <v>1105</v>
      </c>
      <c r="G31" s="17">
        <f t="shared" si="14"/>
        <v>4</v>
      </c>
      <c r="H31" s="17">
        <f t="shared" si="13"/>
        <v>2</v>
      </c>
      <c r="I31" s="17">
        <f t="shared" si="13"/>
        <v>1</v>
      </c>
      <c r="J31" s="17">
        <f>'Achievement Reward Base'!B60</f>
        <v>600</v>
      </c>
      <c r="K31" s="17" t="str">
        <f t="shared" si="15"/>
        <v>160001002</v>
      </c>
      <c r="L31" s="17">
        <f>'Achievement Reward Base'!D60</f>
        <v>85</v>
      </c>
      <c r="M31" s="21" t="s">
        <v>20</v>
      </c>
      <c r="N31" s="17">
        <f t="shared" si="3"/>
        <v>51326</v>
      </c>
      <c r="O31" s="17">
        <f t="shared" si="3"/>
        <v>52326</v>
      </c>
      <c r="P31" s="21">
        <f t="shared" si="16"/>
        <v>530800014</v>
      </c>
    </row>
    <row r="32" spans="1:16" ht="16.5" customHeight="1" x14ac:dyDescent="0.3">
      <c r="A32" s="17" t="b">
        <v>1</v>
      </c>
      <c r="B32" s="18" t="str">
        <f t="shared" si="9"/>
        <v>업적 - 수호자 레벨 달성 Lv.650</v>
      </c>
      <c r="C32" s="17">
        <f t="shared" si="11"/>
        <v>904211017</v>
      </c>
      <c r="D32" s="17">
        <f t="shared" si="12"/>
        <v>904211016</v>
      </c>
      <c r="E32" s="17">
        <f t="shared" si="10"/>
        <v>904211018</v>
      </c>
      <c r="F32" s="91" t="s">
        <v>1105</v>
      </c>
      <c r="G32" s="17">
        <f t="shared" si="14"/>
        <v>4</v>
      </c>
      <c r="H32" s="17">
        <f t="shared" si="13"/>
        <v>2</v>
      </c>
      <c r="I32" s="17">
        <f t="shared" si="13"/>
        <v>1</v>
      </c>
      <c r="J32" s="17">
        <f>'Achievement Reward Base'!B61</f>
        <v>650</v>
      </c>
      <c r="K32" s="17" t="str">
        <f t="shared" si="15"/>
        <v>160001002</v>
      </c>
      <c r="L32" s="17">
        <f>'Achievement Reward Base'!D61</f>
        <v>90</v>
      </c>
      <c r="M32" s="21" t="s">
        <v>20</v>
      </c>
      <c r="N32" s="17">
        <f t="shared" si="3"/>
        <v>51327</v>
      </c>
      <c r="O32" s="17">
        <f t="shared" si="3"/>
        <v>52327</v>
      </c>
      <c r="P32" s="21">
        <f t="shared" si="16"/>
        <v>530800014</v>
      </c>
    </row>
    <row r="33" spans="1:16" ht="16.5" customHeight="1" x14ac:dyDescent="0.3">
      <c r="A33" s="17" t="b">
        <v>1</v>
      </c>
      <c r="B33" s="18" t="str">
        <f t="shared" si="9"/>
        <v>업적 - 수호자 레벨 달성 Lv.700</v>
      </c>
      <c r="C33" s="17">
        <f t="shared" si="11"/>
        <v>904211018</v>
      </c>
      <c r="D33" s="17">
        <f t="shared" si="12"/>
        <v>904211017</v>
      </c>
      <c r="E33" s="17">
        <f t="shared" si="10"/>
        <v>904211019</v>
      </c>
      <c r="F33" s="91" t="s">
        <v>1105</v>
      </c>
      <c r="G33" s="17">
        <f t="shared" si="14"/>
        <v>4</v>
      </c>
      <c r="H33" s="17">
        <f t="shared" si="14"/>
        <v>2</v>
      </c>
      <c r="I33" s="17">
        <f t="shared" si="14"/>
        <v>1</v>
      </c>
      <c r="J33" s="17">
        <f>'Achievement Reward Base'!B62</f>
        <v>700</v>
      </c>
      <c r="K33" s="17" t="str">
        <f t="shared" si="15"/>
        <v>160001002</v>
      </c>
      <c r="L33" s="17">
        <f>'Achievement Reward Base'!D62</f>
        <v>95</v>
      </c>
      <c r="M33" s="21" t="s">
        <v>20</v>
      </c>
      <c r="N33" s="17">
        <f t="shared" si="3"/>
        <v>51328</v>
      </c>
      <c r="O33" s="17">
        <f t="shared" si="3"/>
        <v>52328</v>
      </c>
      <c r="P33" s="21">
        <f t="shared" si="16"/>
        <v>530800014</v>
      </c>
    </row>
    <row r="34" spans="1:16" ht="16.5" customHeight="1" x14ac:dyDescent="0.3">
      <c r="A34" s="17" t="b">
        <v>1</v>
      </c>
      <c r="B34" s="18" t="str">
        <f t="shared" si="9"/>
        <v>업적 - 수호자 레벨 달성 Lv.750</v>
      </c>
      <c r="C34" s="17">
        <f t="shared" si="11"/>
        <v>904211019</v>
      </c>
      <c r="D34" s="17">
        <f t="shared" si="12"/>
        <v>904211018</v>
      </c>
      <c r="E34" s="17">
        <f t="shared" si="10"/>
        <v>904211020</v>
      </c>
      <c r="F34" s="91" t="s">
        <v>1105</v>
      </c>
      <c r="G34" s="17">
        <f t="shared" ref="G34:I49" si="17">G33</f>
        <v>4</v>
      </c>
      <c r="H34" s="17">
        <f t="shared" si="17"/>
        <v>2</v>
      </c>
      <c r="I34" s="17">
        <f t="shared" si="17"/>
        <v>1</v>
      </c>
      <c r="J34" s="17">
        <f>'Achievement Reward Base'!B63</f>
        <v>750</v>
      </c>
      <c r="K34" s="17" t="str">
        <f t="shared" si="15"/>
        <v>160001002</v>
      </c>
      <c r="L34" s="17">
        <f>'Achievement Reward Base'!D63</f>
        <v>100</v>
      </c>
      <c r="M34" s="21" t="s">
        <v>20</v>
      </c>
      <c r="N34" s="17">
        <f t="shared" si="3"/>
        <v>51329</v>
      </c>
      <c r="O34" s="17">
        <f t="shared" si="3"/>
        <v>52329</v>
      </c>
      <c r="P34" s="21">
        <f t="shared" si="16"/>
        <v>530800014</v>
      </c>
    </row>
    <row r="35" spans="1:16" ht="16.5" customHeight="1" x14ac:dyDescent="0.3">
      <c r="A35" s="17" t="b">
        <v>1</v>
      </c>
      <c r="B35" s="18" t="str">
        <f t="shared" si="9"/>
        <v>업적 - 수호자 레벨 달성 Lv.800</v>
      </c>
      <c r="C35" s="17">
        <f t="shared" si="11"/>
        <v>904211020</v>
      </c>
      <c r="D35" s="17">
        <f t="shared" si="12"/>
        <v>904211019</v>
      </c>
      <c r="E35" s="17">
        <f t="shared" si="10"/>
        <v>904211021</v>
      </c>
      <c r="F35" s="91" t="s">
        <v>1105</v>
      </c>
      <c r="G35" s="17">
        <f t="shared" si="17"/>
        <v>4</v>
      </c>
      <c r="H35" s="17">
        <f t="shared" si="17"/>
        <v>2</v>
      </c>
      <c r="I35" s="17">
        <f t="shared" si="17"/>
        <v>1</v>
      </c>
      <c r="J35" s="17">
        <f>'Achievement Reward Base'!B64</f>
        <v>800</v>
      </c>
      <c r="K35" s="17" t="str">
        <f t="shared" si="15"/>
        <v>160001002</v>
      </c>
      <c r="L35" s="17">
        <f>'Achievement Reward Base'!D64</f>
        <v>105</v>
      </c>
      <c r="M35" s="21" t="s">
        <v>20</v>
      </c>
      <c r="N35" s="17">
        <f t="shared" si="3"/>
        <v>51330</v>
      </c>
      <c r="O35" s="17">
        <f t="shared" si="3"/>
        <v>52330</v>
      </c>
      <c r="P35" s="21">
        <f t="shared" si="16"/>
        <v>530800014</v>
      </c>
    </row>
    <row r="36" spans="1:16" ht="16.5" customHeight="1" x14ac:dyDescent="0.3">
      <c r="A36" s="17" t="b">
        <v>1</v>
      </c>
      <c r="B36" s="18" t="str">
        <f t="shared" si="9"/>
        <v>업적 - 수호자 레벨 달성 Lv.850</v>
      </c>
      <c r="C36" s="17">
        <f t="shared" si="11"/>
        <v>904211021</v>
      </c>
      <c r="D36" s="17">
        <f t="shared" si="12"/>
        <v>904211020</v>
      </c>
      <c r="E36" s="17">
        <f t="shared" si="10"/>
        <v>904211022</v>
      </c>
      <c r="F36" s="91" t="s">
        <v>1105</v>
      </c>
      <c r="G36" s="17">
        <f t="shared" si="17"/>
        <v>4</v>
      </c>
      <c r="H36" s="17">
        <f t="shared" si="17"/>
        <v>2</v>
      </c>
      <c r="I36" s="17">
        <f t="shared" si="17"/>
        <v>1</v>
      </c>
      <c r="J36" s="17">
        <f>'Achievement Reward Base'!B65</f>
        <v>850</v>
      </c>
      <c r="K36" s="17" t="str">
        <f t="shared" si="15"/>
        <v>160001002</v>
      </c>
      <c r="L36" s="17">
        <f>'Achievement Reward Base'!D65</f>
        <v>110</v>
      </c>
      <c r="M36" s="21" t="s">
        <v>20</v>
      </c>
      <c r="N36" s="17">
        <f t="shared" si="3"/>
        <v>51331</v>
      </c>
      <c r="O36" s="17">
        <f t="shared" si="3"/>
        <v>52331</v>
      </c>
      <c r="P36" s="21">
        <f t="shared" si="16"/>
        <v>530800014</v>
      </c>
    </row>
    <row r="37" spans="1:16" ht="16.5" customHeight="1" x14ac:dyDescent="0.3">
      <c r="A37" s="17" t="b">
        <v>1</v>
      </c>
      <c r="B37" s="18" t="str">
        <f t="shared" si="9"/>
        <v>업적 - 수호자 레벨 달성 Lv.900</v>
      </c>
      <c r="C37" s="17">
        <f t="shared" si="11"/>
        <v>904211022</v>
      </c>
      <c r="D37" s="17">
        <f t="shared" si="12"/>
        <v>904211021</v>
      </c>
      <c r="E37" s="17">
        <f t="shared" si="10"/>
        <v>904211023</v>
      </c>
      <c r="F37" s="91" t="s">
        <v>1105</v>
      </c>
      <c r="G37" s="17">
        <f t="shared" si="17"/>
        <v>4</v>
      </c>
      <c r="H37" s="17">
        <f t="shared" si="17"/>
        <v>2</v>
      </c>
      <c r="I37" s="17">
        <f t="shared" si="17"/>
        <v>1</v>
      </c>
      <c r="J37" s="17">
        <f>'Achievement Reward Base'!B66</f>
        <v>900</v>
      </c>
      <c r="K37" s="17" t="str">
        <f t="shared" si="15"/>
        <v>160001002</v>
      </c>
      <c r="L37" s="17">
        <f>'Achievement Reward Base'!D66</f>
        <v>115</v>
      </c>
      <c r="M37" s="21" t="s">
        <v>20</v>
      </c>
      <c r="N37" s="17">
        <f t="shared" si="3"/>
        <v>51332</v>
      </c>
      <c r="O37" s="17">
        <f t="shared" si="3"/>
        <v>52332</v>
      </c>
      <c r="P37" s="21">
        <f t="shared" si="16"/>
        <v>530800014</v>
      </c>
    </row>
    <row r="38" spans="1:16" ht="16.5" customHeight="1" x14ac:dyDescent="0.3">
      <c r="A38" s="17" t="b">
        <v>1</v>
      </c>
      <c r="B38" s="18" t="str">
        <f t="shared" si="9"/>
        <v>업적 - 수호자 레벨 달성 Lv.950</v>
      </c>
      <c r="C38" s="17">
        <f t="shared" si="11"/>
        <v>904211023</v>
      </c>
      <c r="D38" s="17">
        <f t="shared" si="12"/>
        <v>904211022</v>
      </c>
      <c r="E38" s="17">
        <f t="shared" si="10"/>
        <v>904211024</v>
      </c>
      <c r="F38" s="91" t="s">
        <v>1105</v>
      </c>
      <c r="G38" s="17">
        <f t="shared" si="17"/>
        <v>4</v>
      </c>
      <c r="H38" s="17">
        <f t="shared" si="17"/>
        <v>2</v>
      </c>
      <c r="I38" s="17">
        <f t="shared" si="17"/>
        <v>1</v>
      </c>
      <c r="J38" s="17">
        <f>'Achievement Reward Base'!B67</f>
        <v>950</v>
      </c>
      <c r="K38" s="17" t="str">
        <f t="shared" si="15"/>
        <v>160001002</v>
      </c>
      <c r="L38" s="17">
        <f>'Achievement Reward Base'!D67</f>
        <v>120</v>
      </c>
      <c r="M38" s="21" t="s">
        <v>20</v>
      </c>
      <c r="N38" s="17">
        <f t="shared" si="3"/>
        <v>51333</v>
      </c>
      <c r="O38" s="17">
        <f t="shared" si="3"/>
        <v>52333</v>
      </c>
      <c r="P38" s="21">
        <f t="shared" si="16"/>
        <v>530800014</v>
      </c>
    </row>
    <row r="39" spans="1:16" ht="16.5" customHeight="1" x14ac:dyDescent="0.3">
      <c r="A39" s="17" t="b">
        <v>1</v>
      </c>
      <c r="B39" s="18" t="str">
        <f t="shared" si="9"/>
        <v>업적 - 수호자 레벨 달성 Lv.1000</v>
      </c>
      <c r="C39" s="17">
        <f t="shared" si="11"/>
        <v>904211024</v>
      </c>
      <c r="D39" s="17">
        <f t="shared" si="12"/>
        <v>904211023</v>
      </c>
      <c r="E39" s="17">
        <f t="shared" si="10"/>
        <v>904211025</v>
      </c>
      <c r="F39" s="91" t="s">
        <v>1105</v>
      </c>
      <c r="G39" s="17">
        <f t="shared" si="17"/>
        <v>4</v>
      </c>
      <c r="H39" s="17">
        <f t="shared" si="17"/>
        <v>2</v>
      </c>
      <c r="I39" s="17">
        <f t="shared" si="17"/>
        <v>1</v>
      </c>
      <c r="J39" s="17">
        <f>'Achievement Reward Base'!B68</f>
        <v>1000</v>
      </c>
      <c r="K39" s="17" t="str">
        <f t="shared" si="15"/>
        <v>160001002</v>
      </c>
      <c r="L39" s="17">
        <f>'Achievement Reward Base'!D68</f>
        <v>125</v>
      </c>
      <c r="M39" s="21" t="s">
        <v>20</v>
      </c>
      <c r="N39" s="17">
        <f t="shared" si="3"/>
        <v>51334</v>
      </c>
      <c r="O39" s="17">
        <f t="shared" si="3"/>
        <v>52334</v>
      </c>
      <c r="P39" s="21">
        <f t="shared" si="16"/>
        <v>530800014</v>
      </c>
    </row>
    <row r="40" spans="1:16" ht="16.5" customHeight="1" x14ac:dyDescent="0.3">
      <c r="A40" s="17" t="b">
        <v>1</v>
      </c>
      <c r="B40" s="18" t="str">
        <f t="shared" si="9"/>
        <v>업적 - 수호자 레벨 달성 Lv.1050</v>
      </c>
      <c r="C40" s="17">
        <f t="shared" si="11"/>
        <v>904211025</v>
      </c>
      <c r="D40" s="17">
        <f t="shared" si="12"/>
        <v>904211024</v>
      </c>
      <c r="E40" s="17">
        <f t="shared" si="10"/>
        <v>904211026</v>
      </c>
      <c r="F40" s="91" t="s">
        <v>1105</v>
      </c>
      <c r="G40" s="17">
        <f t="shared" si="17"/>
        <v>4</v>
      </c>
      <c r="H40" s="17">
        <f t="shared" si="17"/>
        <v>2</v>
      </c>
      <c r="I40" s="17">
        <f t="shared" si="17"/>
        <v>1</v>
      </c>
      <c r="J40" s="17">
        <f>'Achievement Reward Base'!B69</f>
        <v>1050</v>
      </c>
      <c r="K40" s="17" t="str">
        <f t="shared" si="15"/>
        <v>160001002</v>
      </c>
      <c r="L40" s="17">
        <f>'Achievement Reward Base'!D69</f>
        <v>130</v>
      </c>
      <c r="M40" s="21" t="s">
        <v>20</v>
      </c>
      <c r="N40" s="17">
        <f t="shared" si="3"/>
        <v>51335</v>
      </c>
      <c r="O40" s="17">
        <f t="shared" si="3"/>
        <v>52335</v>
      </c>
      <c r="P40" s="21">
        <f t="shared" si="16"/>
        <v>530800014</v>
      </c>
    </row>
    <row r="41" spans="1:16" ht="16.5" customHeight="1" x14ac:dyDescent="0.3">
      <c r="A41" s="17" t="b">
        <v>1</v>
      </c>
      <c r="B41" s="18" t="str">
        <f t="shared" si="9"/>
        <v>업적 - 수호자 레벨 달성 Lv.1100</v>
      </c>
      <c r="C41" s="17">
        <f t="shared" si="11"/>
        <v>904211026</v>
      </c>
      <c r="D41" s="17">
        <f t="shared" si="12"/>
        <v>904211025</v>
      </c>
      <c r="E41" s="17">
        <f t="shared" si="10"/>
        <v>904211027</v>
      </c>
      <c r="F41" s="91" t="s">
        <v>1105</v>
      </c>
      <c r="G41" s="17">
        <f t="shared" si="17"/>
        <v>4</v>
      </c>
      <c r="H41" s="17">
        <f t="shared" si="17"/>
        <v>2</v>
      </c>
      <c r="I41" s="17">
        <f t="shared" si="17"/>
        <v>1</v>
      </c>
      <c r="J41" s="17">
        <f>'Achievement Reward Base'!B70</f>
        <v>1100</v>
      </c>
      <c r="K41" s="17" t="str">
        <f t="shared" si="15"/>
        <v>160001002</v>
      </c>
      <c r="L41" s="17">
        <f>'Achievement Reward Base'!D70</f>
        <v>135</v>
      </c>
      <c r="M41" s="21" t="s">
        <v>20</v>
      </c>
      <c r="N41" s="17">
        <f t="shared" si="3"/>
        <v>51336</v>
      </c>
      <c r="O41" s="17">
        <f t="shared" si="3"/>
        <v>52336</v>
      </c>
      <c r="P41" s="21">
        <f t="shared" si="16"/>
        <v>530800014</v>
      </c>
    </row>
    <row r="42" spans="1:16" ht="16.5" customHeight="1" x14ac:dyDescent="0.3">
      <c r="A42" s="17" t="b">
        <v>1</v>
      </c>
      <c r="B42" s="18" t="str">
        <f t="shared" si="9"/>
        <v>업적 - 수호자 레벨 달성 Lv.1150</v>
      </c>
      <c r="C42" s="17">
        <f t="shared" si="11"/>
        <v>904211027</v>
      </c>
      <c r="D42" s="17">
        <f t="shared" si="12"/>
        <v>904211026</v>
      </c>
      <c r="E42" s="17">
        <f t="shared" si="10"/>
        <v>904211028</v>
      </c>
      <c r="F42" s="91" t="s">
        <v>1105</v>
      </c>
      <c r="G42" s="17">
        <f t="shared" si="17"/>
        <v>4</v>
      </c>
      <c r="H42" s="17">
        <f t="shared" si="17"/>
        <v>2</v>
      </c>
      <c r="I42" s="17">
        <f t="shared" si="17"/>
        <v>1</v>
      </c>
      <c r="J42" s="17">
        <f>'Achievement Reward Base'!B71</f>
        <v>1150</v>
      </c>
      <c r="K42" s="17" t="str">
        <f t="shared" si="15"/>
        <v>160001002</v>
      </c>
      <c r="L42" s="17">
        <f>'Achievement Reward Base'!D71</f>
        <v>140</v>
      </c>
      <c r="M42" s="21" t="s">
        <v>20</v>
      </c>
      <c r="N42" s="17">
        <f t="shared" si="3"/>
        <v>51337</v>
      </c>
      <c r="O42" s="17">
        <f t="shared" si="3"/>
        <v>52337</v>
      </c>
      <c r="P42" s="21">
        <f t="shared" si="16"/>
        <v>530800014</v>
      </c>
    </row>
    <row r="43" spans="1:16" ht="16.5" customHeight="1" x14ac:dyDescent="0.3">
      <c r="A43" s="17" t="b">
        <v>1</v>
      </c>
      <c r="B43" s="18" t="str">
        <f t="shared" si="9"/>
        <v>업적 - 수호자 레벨 달성 Lv.1200</v>
      </c>
      <c r="C43" s="17">
        <f t="shared" si="11"/>
        <v>904211028</v>
      </c>
      <c r="D43" s="17">
        <f t="shared" si="12"/>
        <v>904211027</v>
      </c>
      <c r="E43" s="17">
        <f t="shared" si="10"/>
        <v>904211029</v>
      </c>
      <c r="F43" s="91" t="s">
        <v>1105</v>
      </c>
      <c r="G43" s="17">
        <f t="shared" si="17"/>
        <v>4</v>
      </c>
      <c r="H43" s="17">
        <f t="shared" si="17"/>
        <v>2</v>
      </c>
      <c r="I43" s="17">
        <f t="shared" si="17"/>
        <v>1</v>
      </c>
      <c r="J43" s="17">
        <f>'Achievement Reward Base'!B72</f>
        <v>1200</v>
      </c>
      <c r="K43" s="17" t="str">
        <f t="shared" si="15"/>
        <v>160001002</v>
      </c>
      <c r="L43" s="17">
        <f>'Achievement Reward Base'!D72</f>
        <v>145</v>
      </c>
      <c r="M43" s="21" t="s">
        <v>20</v>
      </c>
      <c r="N43" s="17">
        <f t="shared" si="3"/>
        <v>51338</v>
      </c>
      <c r="O43" s="17">
        <f t="shared" si="3"/>
        <v>52338</v>
      </c>
      <c r="P43" s="21">
        <f t="shared" si="16"/>
        <v>530800014</v>
      </c>
    </row>
    <row r="44" spans="1:16" ht="16.5" customHeight="1" x14ac:dyDescent="0.3">
      <c r="A44" s="17" t="b">
        <v>1</v>
      </c>
      <c r="B44" s="18" t="str">
        <f t="shared" si="9"/>
        <v>업적 - 수호자 레벨 달성 Lv.1250</v>
      </c>
      <c r="C44" s="17">
        <f t="shared" si="11"/>
        <v>904211029</v>
      </c>
      <c r="D44" s="17">
        <f t="shared" si="12"/>
        <v>904211028</v>
      </c>
      <c r="E44" s="17">
        <f t="shared" si="10"/>
        <v>904211030</v>
      </c>
      <c r="F44" s="91" t="s">
        <v>1105</v>
      </c>
      <c r="G44" s="17">
        <f t="shared" si="17"/>
        <v>4</v>
      </c>
      <c r="H44" s="17">
        <f t="shared" si="17"/>
        <v>2</v>
      </c>
      <c r="I44" s="17">
        <f t="shared" si="17"/>
        <v>1</v>
      </c>
      <c r="J44" s="17">
        <f>'Achievement Reward Base'!B73</f>
        <v>1250</v>
      </c>
      <c r="K44" s="17" t="str">
        <f t="shared" si="15"/>
        <v>160001002</v>
      </c>
      <c r="L44" s="17">
        <f>'Achievement Reward Base'!D73</f>
        <v>150</v>
      </c>
      <c r="M44" s="21" t="s">
        <v>20</v>
      </c>
      <c r="N44" s="17">
        <f t="shared" si="3"/>
        <v>51339</v>
      </c>
      <c r="O44" s="17">
        <f t="shared" si="3"/>
        <v>52339</v>
      </c>
      <c r="P44" s="21">
        <f t="shared" si="16"/>
        <v>530800014</v>
      </c>
    </row>
    <row r="45" spans="1:16" ht="16.5" customHeight="1" x14ac:dyDescent="0.3">
      <c r="A45" s="17" t="b">
        <v>1</v>
      </c>
      <c r="B45" s="18" t="str">
        <f t="shared" si="9"/>
        <v>업적 - 수호자 레벨 달성 Lv.1300</v>
      </c>
      <c r="C45" s="17">
        <f t="shared" si="11"/>
        <v>904211030</v>
      </c>
      <c r="D45" s="17">
        <f t="shared" si="12"/>
        <v>904211029</v>
      </c>
      <c r="E45" s="17">
        <f t="shared" si="10"/>
        <v>904211031</v>
      </c>
      <c r="F45" s="91" t="s">
        <v>1105</v>
      </c>
      <c r="G45" s="17">
        <f t="shared" si="17"/>
        <v>4</v>
      </c>
      <c r="H45" s="17">
        <f t="shared" si="17"/>
        <v>2</v>
      </c>
      <c r="I45" s="17">
        <f t="shared" si="17"/>
        <v>1</v>
      </c>
      <c r="J45" s="17">
        <f>'Achievement Reward Base'!B74</f>
        <v>1300</v>
      </c>
      <c r="K45" s="17" t="str">
        <f t="shared" si="15"/>
        <v>160001002</v>
      </c>
      <c r="L45" s="17">
        <f>'Achievement Reward Base'!D74</f>
        <v>155</v>
      </c>
      <c r="M45" s="21" t="s">
        <v>20</v>
      </c>
      <c r="N45" s="17">
        <f t="shared" si="3"/>
        <v>51340</v>
      </c>
      <c r="O45" s="17">
        <f t="shared" si="3"/>
        <v>52340</v>
      </c>
      <c r="P45" s="21">
        <f t="shared" si="16"/>
        <v>530800014</v>
      </c>
    </row>
    <row r="46" spans="1:16" ht="16.5" customHeight="1" x14ac:dyDescent="0.3">
      <c r="A46" s="17" t="b">
        <v>1</v>
      </c>
      <c r="B46" s="18" t="str">
        <f t="shared" si="9"/>
        <v>업적 - 수호자 레벨 달성 Lv.1350</v>
      </c>
      <c r="C46" s="17">
        <f t="shared" si="11"/>
        <v>904211031</v>
      </c>
      <c r="D46" s="17">
        <f t="shared" si="12"/>
        <v>904211030</v>
      </c>
      <c r="E46" s="17">
        <f t="shared" si="10"/>
        <v>904211032</v>
      </c>
      <c r="F46" s="91" t="s">
        <v>1105</v>
      </c>
      <c r="G46" s="17">
        <f t="shared" si="17"/>
        <v>4</v>
      </c>
      <c r="H46" s="17">
        <f t="shared" si="17"/>
        <v>2</v>
      </c>
      <c r="I46" s="17">
        <f t="shared" si="17"/>
        <v>1</v>
      </c>
      <c r="J46" s="17">
        <f>'Achievement Reward Base'!B75</f>
        <v>1350</v>
      </c>
      <c r="K46" s="17" t="str">
        <f t="shared" si="15"/>
        <v>160001002</v>
      </c>
      <c r="L46" s="17">
        <f>'Achievement Reward Base'!D75</f>
        <v>160</v>
      </c>
      <c r="M46" s="21" t="s">
        <v>20</v>
      </c>
      <c r="N46" s="17">
        <f t="shared" si="3"/>
        <v>51341</v>
      </c>
      <c r="O46" s="17">
        <f t="shared" si="3"/>
        <v>52341</v>
      </c>
      <c r="P46" s="21">
        <f t="shared" si="16"/>
        <v>530800014</v>
      </c>
    </row>
    <row r="47" spans="1:16" ht="16.5" customHeight="1" x14ac:dyDescent="0.3">
      <c r="A47" s="17" t="b">
        <v>1</v>
      </c>
      <c r="B47" s="18" t="str">
        <f t="shared" si="9"/>
        <v>업적 - 수호자 레벨 달성 Lv.1400</v>
      </c>
      <c r="C47" s="17">
        <f t="shared" si="11"/>
        <v>904211032</v>
      </c>
      <c r="D47" s="17">
        <f t="shared" si="12"/>
        <v>904211031</v>
      </c>
      <c r="E47" s="17">
        <f t="shared" si="10"/>
        <v>904211033</v>
      </c>
      <c r="F47" s="91" t="s">
        <v>1105</v>
      </c>
      <c r="G47" s="17">
        <f t="shared" si="17"/>
        <v>4</v>
      </c>
      <c r="H47" s="17">
        <f t="shared" si="17"/>
        <v>2</v>
      </c>
      <c r="I47" s="17">
        <f t="shared" si="17"/>
        <v>1</v>
      </c>
      <c r="J47" s="17">
        <f>'Achievement Reward Base'!B76</f>
        <v>1400</v>
      </c>
      <c r="K47" s="17" t="str">
        <f t="shared" si="15"/>
        <v>160001002</v>
      </c>
      <c r="L47" s="17">
        <f>'Achievement Reward Base'!D76</f>
        <v>165</v>
      </c>
      <c r="M47" s="21" t="s">
        <v>20</v>
      </c>
      <c r="N47" s="17">
        <f t="shared" si="3"/>
        <v>51342</v>
      </c>
      <c r="O47" s="17">
        <f t="shared" si="3"/>
        <v>52342</v>
      </c>
      <c r="P47" s="21">
        <f t="shared" si="16"/>
        <v>530800014</v>
      </c>
    </row>
    <row r="48" spans="1:16" ht="16.5" customHeight="1" x14ac:dyDescent="0.3">
      <c r="A48" s="17" t="b">
        <v>1</v>
      </c>
      <c r="B48" s="18" t="str">
        <f t="shared" si="9"/>
        <v>업적 - 수호자 레벨 달성 Lv.1450</v>
      </c>
      <c r="C48" s="17">
        <f t="shared" si="11"/>
        <v>904211033</v>
      </c>
      <c r="D48" s="17">
        <f t="shared" si="12"/>
        <v>904211032</v>
      </c>
      <c r="E48" s="17">
        <f t="shared" si="10"/>
        <v>904211034</v>
      </c>
      <c r="F48" s="91" t="s">
        <v>1105</v>
      </c>
      <c r="G48" s="17">
        <f t="shared" si="17"/>
        <v>4</v>
      </c>
      <c r="H48" s="17">
        <f t="shared" si="17"/>
        <v>2</v>
      </c>
      <c r="I48" s="17">
        <f t="shared" si="17"/>
        <v>1</v>
      </c>
      <c r="J48" s="17">
        <f>'Achievement Reward Base'!B77</f>
        <v>1450</v>
      </c>
      <c r="K48" s="17" t="str">
        <f t="shared" si="15"/>
        <v>160001002</v>
      </c>
      <c r="L48" s="17">
        <f>'Achievement Reward Base'!D77</f>
        <v>170</v>
      </c>
      <c r="M48" s="21" t="s">
        <v>20</v>
      </c>
      <c r="N48" s="17">
        <f t="shared" si="3"/>
        <v>51343</v>
      </c>
      <c r="O48" s="17">
        <f t="shared" si="3"/>
        <v>52343</v>
      </c>
      <c r="P48" s="21">
        <f t="shared" si="16"/>
        <v>530800014</v>
      </c>
    </row>
    <row r="49" spans="1:16" ht="16.5" customHeight="1" x14ac:dyDescent="0.3">
      <c r="A49" s="17" t="b">
        <v>1</v>
      </c>
      <c r="B49" s="18" t="str">
        <f t="shared" si="9"/>
        <v>업적 - 수호자 레벨 달성 Lv.1500</v>
      </c>
      <c r="C49" s="17">
        <f t="shared" si="11"/>
        <v>904211034</v>
      </c>
      <c r="D49" s="17">
        <f t="shared" si="12"/>
        <v>904211033</v>
      </c>
      <c r="E49" s="17">
        <f t="shared" si="10"/>
        <v>904211035</v>
      </c>
      <c r="F49" s="91" t="s">
        <v>1105</v>
      </c>
      <c r="G49" s="17">
        <f t="shared" si="17"/>
        <v>4</v>
      </c>
      <c r="H49" s="17">
        <f t="shared" si="17"/>
        <v>2</v>
      </c>
      <c r="I49" s="17">
        <f t="shared" si="17"/>
        <v>1</v>
      </c>
      <c r="J49" s="17">
        <f>'Achievement Reward Base'!B78</f>
        <v>1500</v>
      </c>
      <c r="K49" s="17" t="str">
        <f t="shared" si="15"/>
        <v>160001002</v>
      </c>
      <c r="L49" s="17">
        <f>'Achievement Reward Base'!D78</f>
        <v>175</v>
      </c>
      <c r="M49" s="21" t="s">
        <v>20</v>
      </c>
      <c r="N49" s="17">
        <f t="shared" si="3"/>
        <v>51344</v>
      </c>
      <c r="O49" s="17">
        <f t="shared" si="3"/>
        <v>52344</v>
      </c>
      <c r="P49" s="21">
        <f t="shared" si="16"/>
        <v>530800014</v>
      </c>
    </row>
    <row r="50" spans="1:16" ht="16.5" customHeight="1" x14ac:dyDescent="0.3">
      <c r="A50" s="17" t="b">
        <v>1</v>
      </c>
      <c r="B50" s="18" t="str">
        <f t="shared" si="9"/>
        <v>업적 - 수호자 레벨 달성 Lv.1550</v>
      </c>
      <c r="C50" s="17">
        <f t="shared" si="11"/>
        <v>904211035</v>
      </c>
      <c r="D50" s="17">
        <f t="shared" si="12"/>
        <v>904211034</v>
      </c>
      <c r="E50" s="17">
        <f t="shared" si="10"/>
        <v>904211036</v>
      </c>
      <c r="F50" s="91" t="s">
        <v>1105</v>
      </c>
      <c r="G50" s="17">
        <f t="shared" ref="G50:I59" si="18">G49</f>
        <v>4</v>
      </c>
      <c r="H50" s="17">
        <f t="shared" si="18"/>
        <v>2</v>
      </c>
      <c r="I50" s="17">
        <f t="shared" si="18"/>
        <v>1</v>
      </c>
      <c r="J50" s="17">
        <f>'Achievement Reward Base'!B79</f>
        <v>1550</v>
      </c>
      <c r="K50" s="17" t="str">
        <f t="shared" si="15"/>
        <v>160001002</v>
      </c>
      <c r="L50" s="17">
        <f>'Achievement Reward Base'!D79</f>
        <v>180</v>
      </c>
      <c r="M50" s="21" t="s">
        <v>20</v>
      </c>
      <c r="N50" s="17">
        <f t="shared" si="3"/>
        <v>51345</v>
      </c>
      <c r="O50" s="17">
        <f t="shared" si="3"/>
        <v>52345</v>
      </c>
      <c r="P50" s="21">
        <f t="shared" si="16"/>
        <v>530800014</v>
      </c>
    </row>
    <row r="51" spans="1:16" ht="16.5" customHeight="1" x14ac:dyDescent="0.3">
      <c r="A51" s="17" t="b">
        <v>1</v>
      </c>
      <c r="B51" s="18" t="str">
        <f t="shared" si="9"/>
        <v>업적 - 수호자 레벨 달성 Lv.1600</v>
      </c>
      <c r="C51" s="17">
        <f t="shared" si="11"/>
        <v>904211036</v>
      </c>
      <c r="D51" s="17">
        <f t="shared" si="12"/>
        <v>904211035</v>
      </c>
      <c r="E51" s="17">
        <f t="shared" si="10"/>
        <v>904211037</v>
      </c>
      <c r="F51" s="91" t="s">
        <v>1105</v>
      </c>
      <c r="G51" s="17">
        <f t="shared" si="18"/>
        <v>4</v>
      </c>
      <c r="H51" s="17">
        <f t="shared" si="18"/>
        <v>2</v>
      </c>
      <c r="I51" s="17">
        <f t="shared" si="18"/>
        <v>1</v>
      </c>
      <c r="J51" s="17">
        <f>'Achievement Reward Base'!B80</f>
        <v>1600</v>
      </c>
      <c r="K51" s="17" t="str">
        <f t="shared" si="15"/>
        <v>160001002</v>
      </c>
      <c r="L51" s="17">
        <f>'Achievement Reward Base'!D80</f>
        <v>185</v>
      </c>
      <c r="M51" s="21" t="s">
        <v>20</v>
      </c>
      <c r="N51" s="17">
        <f t="shared" si="3"/>
        <v>51346</v>
      </c>
      <c r="O51" s="17">
        <f t="shared" si="3"/>
        <v>52346</v>
      </c>
      <c r="P51" s="21">
        <f t="shared" si="16"/>
        <v>530800014</v>
      </c>
    </row>
    <row r="52" spans="1:16" ht="16.5" customHeight="1" x14ac:dyDescent="0.3">
      <c r="A52" s="17" t="b">
        <v>1</v>
      </c>
      <c r="B52" s="18" t="str">
        <f t="shared" si="9"/>
        <v>업적 - 수호자 레벨 달성 Lv.1650</v>
      </c>
      <c r="C52" s="17">
        <f t="shared" si="11"/>
        <v>904211037</v>
      </c>
      <c r="D52" s="17">
        <f t="shared" si="12"/>
        <v>904211036</v>
      </c>
      <c r="E52" s="17">
        <f t="shared" si="10"/>
        <v>904211038</v>
      </c>
      <c r="F52" s="91" t="s">
        <v>1105</v>
      </c>
      <c r="G52" s="17">
        <f t="shared" si="18"/>
        <v>4</v>
      </c>
      <c r="H52" s="17">
        <f t="shared" si="18"/>
        <v>2</v>
      </c>
      <c r="I52" s="17">
        <f t="shared" si="18"/>
        <v>1</v>
      </c>
      <c r="J52" s="17">
        <f>'Achievement Reward Base'!B81</f>
        <v>1650</v>
      </c>
      <c r="K52" s="17" t="str">
        <f t="shared" si="15"/>
        <v>160001002</v>
      </c>
      <c r="L52" s="17">
        <f>'Achievement Reward Base'!D81</f>
        <v>190</v>
      </c>
      <c r="M52" s="21" t="s">
        <v>20</v>
      </c>
      <c r="N52" s="17">
        <f t="shared" si="3"/>
        <v>51347</v>
      </c>
      <c r="O52" s="17">
        <f t="shared" si="3"/>
        <v>52347</v>
      </c>
      <c r="P52" s="21">
        <f t="shared" si="16"/>
        <v>530800014</v>
      </c>
    </row>
    <row r="53" spans="1:16" ht="16.5" customHeight="1" x14ac:dyDescent="0.3">
      <c r="A53" s="17" t="b">
        <v>1</v>
      </c>
      <c r="B53" s="18" t="str">
        <f t="shared" si="9"/>
        <v>업적 - 수호자 레벨 달성 Lv.1700</v>
      </c>
      <c r="C53" s="17">
        <f t="shared" si="11"/>
        <v>904211038</v>
      </c>
      <c r="D53" s="17">
        <f t="shared" si="12"/>
        <v>904211037</v>
      </c>
      <c r="E53" s="17">
        <f t="shared" si="10"/>
        <v>904211039</v>
      </c>
      <c r="F53" s="91" t="s">
        <v>1105</v>
      </c>
      <c r="G53" s="17">
        <f t="shared" si="18"/>
        <v>4</v>
      </c>
      <c r="H53" s="17">
        <f t="shared" si="18"/>
        <v>2</v>
      </c>
      <c r="I53" s="17">
        <f t="shared" si="18"/>
        <v>1</v>
      </c>
      <c r="J53" s="17">
        <f>'Achievement Reward Base'!B82</f>
        <v>1700</v>
      </c>
      <c r="K53" s="17" t="str">
        <f t="shared" si="15"/>
        <v>160001002</v>
      </c>
      <c r="L53" s="17">
        <f>'Achievement Reward Base'!D82</f>
        <v>195</v>
      </c>
      <c r="M53" s="21" t="s">
        <v>20</v>
      </c>
      <c r="N53" s="17">
        <f t="shared" si="3"/>
        <v>51348</v>
      </c>
      <c r="O53" s="17">
        <f t="shared" si="3"/>
        <v>52348</v>
      </c>
      <c r="P53" s="21">
        <f t="shared" si="16"/>
        <v>530800014</v>
      </c>
    </row>
    <row r="54" spans="1:16" ht="16.5" customHeight="1" x14ac:dyDescent="0.3">
      <c r="A54" s="17" t="b">
        <v>1</v>
      </c>
      <c r="B54" s="18" t="str">
        <f t="shared" si="9"/>
        <v>업적 - 수호자 레벨 달성 Lv.1750</v>
      </c>
      <c r="C54" s="17">
        <f t="shared" si="11"/>
        <v>904211039</v>
      </c>
      <c r="D54" s="17">
        <f t="shared" si="12"/>
        <v>904211038</v>
      </c>
      <c r="E54" s="17">
        <f t="shared" si="10"/>
        <v>904211040</v>
      </c>
      <c r="F54" s="91" t="s">
        <v>1105</v>
      </c>
      <c r="G54" s="17">
        <f t="shared" si="18"/>
        <v>4</v>
      </c>
      <c r="H54" s="17">
        <f t="shared" si="18"/>
        <v>2</v>
      </c>
      <c r="I54" s="17">
        <f t="shared" si="18"/>
        <v>1</v>
      </c>
      <c r="J54" s="17">
        <f>'Achievement Reward Base'!B83</f>
        <v>1750</v>
      </c>
      <c r="K54" s="17" t="str">
        <f t="shared" si="15"/>
        <v>160001002</v>
      </c>
      <c r="L54" s="17">
        <f>'Achievement Reward Base'!D83</f>
        <v>200</v>
      </c>
      <c r="M54" s="21" t="s">
        <v>20</v>
      </c>
      <c r="N54" s="17">
        <f t="shared" si="3"/>
        <v>51349</v>
      </c>
      <c r="O54" s="17">
        <f t="shared" si="3"/>
        <v>52349</v>
      </c>
      <c r="P54" s="21">
        <f t="shared" si="16"/>
        <v>530800014</v>
      </c>
    </row>
    <row r="55" spans="1:16" ht="16.5" customHeight="1" x14ac:dyDescent="0.3">
      <c r="A55" s="17" t="b">
        <v>1</v>
      </c>
      <c r="B55" s="18" t="str">
        <f t="shared" si="9"/>
        <v>업적 - 수호자 레벨 달성 Lv.1800</v>
      </c>
      <c r="C55" s="17">
        <f t="shared" si="11"/>
        <v>904211040</v>
      </c>
      <c r="D55" s="17">
        <f t="shared" si="12"/>
        <v>904211039</v>
      </c>
      <c r="E55" s="17">
        <f t="shared" si="10"/>
        <v>904211041</v>
      </c>
      <c r="F55" s="91" t="s">
        <v>1105</v>
      </c>
      <c r="G55" s="17">
        <f t="shared" si="18"/>
        <v>4</v>
      </c>
      <c r="H55" s="17">
        <f t="shared" si="18"/>
        <v>2</v>
      </c>
      <c r="I55" s="17">
        <f t="shared" si="18"/>
        <v>1</v>
      </c>
      <c r="J55" s="17">
        <f>'Achievement Reward Base'!B84</f>
        <v>1800</v>
      </c>
      <c r="K55" s="17" t="str">
        <f t="shared" si="15"/>
        <v>160001002</v>
      </c>
      <c r="L55" s="17">
        <f>'Achievement Reward Base'!D84</f>
        <v>205</v>
      </c>
      <c r="M55" s="21" t="s">
        <v>20</v>
      </c>
      <c r="N55" s="17">
        <f t="shared" si="3"/>
        <v>51350</v>
      </c>
      <c r="O55" s="17">
        <f t="shared" si="3"/>
        <v>52350</v>
      </c>
      <c r="P55" s="21">
        <f t="shared" si="16"/>
        <v>530800014</v>
      </c>
    </row>
    <row r="56" spans="1:16" ht="16.5" customHeight="1" x14ac:dyDescent="0.3">
      <c r="A56" s="17" t="b">
        <v>1</v>
      </c>
      <c r="B56" s="18" t="str">
        <f t="shared" si="9"/>
        <v>업적 - 수호자 레벨 달성 Lv.1850</v>
      </c>
      <c r="C56" s="17">
        <f t="shared" si="11"/>
        <v>904211041</v>
      </c>
      <c r="D56" s="17">
        <f t="shared" si="12"/>
        <v>904211040</v>
      </c>
      <c r="E56" s="17">
        <f t="shared" si="10"/>
        <v>904211042</v>
      </c>
      <c r="F56" s="91" t="s">
        <v>1105</v>
      </c>
      <c r="G56" s="17">
        <f t="shared" si="18"/>
        <v>4</v>
      </c>
      <c r="H56" s="17">
        <f t="shared" si="18"/>
        <v>2</v>
      </c>
      <c r="I56" s="17">
        <f t="shared" si="18"/>
        <v>1</v>
      </c>
      <c r="J56" s="17">
        <f>'Achievement Reward Base'!B85</f>
        <v>1850</v>
      </c>
      <c r="K56" s="17" t="str">
        <f t="shared" si="15"/>
        <v>160001002</v>
      </c>
      <c r="L56" s="17">
        <f>'Achievement Reward Base'!D85</f>
        <v>210</v>
      </c>
      <c r="M56" s="21" t="s">
        <v>20</v>
      </c>
      <c r="N56" s="17">
        <f t="shared" si="3"/>
        <v>51351</v>
      </c>
      <c r="O56" s="17">
        <f t="shared" si="3"/>
        <v>52351</v>
      </c>
      <c r="P56" s="21">
        <f t="shared" si="16"/>
        <v>530800014</v>
      </c>
    </row>
    <row r="57" spans="1:16" ht="16.5" customHeight="1" x14ac:dyDescent="0.3">
      <c r="A57" s="17" t="b">
        <v>1</v>
      </c>
      <c r="B57" s="18" t="str">
        <f t="shared" si="9"/>
        <v>업적 - 수호자 레벨 달성 Lv.1900</v>
      </c>
      <c r="C57" s="17">
        <f t="shared" si="11"/>
        <v>904211042</v>
      </c>
      <c r="D57" s="17">
        <f t="shared" si="12"/>
        <v>904211041</v>
      </c>
      <c r="E57" s="17">
        <f t="shared" si="10"/>
        <v>904211043</v>
      </c>
      <c r="F57" s="91" t="s">
        <v>1105</v>
      </c>
      <c r="G57" s="17">
        <f t="shared" si="18"/>
        <v>4</v>
      </c>
      <c r="H57" s="17">
        <f t="shared" si="18"/>
        <v>2</v>
      </c>
      <c r="I57" s="17">
        <f t="shared" si="18"/>
        <v>1</v>
      </c>
      <c r="J57" s="17">
        <f>'Achievement Reward Base'!B86</f>
        <v>1900</v>
      </c>
      <c r="K57" s="17" t="str">
        <f t="shared" si="15"/>
        <v>160001002</v>
      </c>
      <c r="L57" s="17">
        <f>'Achievement Reward Base'!D86</f>
        <v>215</v>
      </c>
      <c r="M57" s="21" t="s">
        <v>20</v>
      </c>
      <c r="N57" s="17">
        <f t="shared" si="3"/>
        <v>51352</v>
      </c>
      <c r="O57" s="17">
        <f t="shared" si="3"/>
        <v>52352</v>
      </c>
      <c r="P57" s="21">
        <f t="shared" si="16"/>
        <v>530800014</v>
      </c>
    </row>
    <row r="58" spans="1:16" ht="16.5" customHeight="1" x14ac:dyDescent="0.3">
      <c r="A58" s="17" t="b">
        <v>1</v>
      </c>
      <c r="B58" s="18" t="str">
        <f t="shared" si="9"/>
        <v>업적 - 수호자 레벨 달성 Lv.1950</v>
      </c>
      <c r="C58" s="17">
        <f t="shared" si="11"/>
        <v>904211043</v>
      </c>
      <c r="D58" s="17">
        <f t="shared" si="12"/>
        <v>904211042</v>
      </c>
      <c r="E58" s="17">
        <f t="shared" si="10"/>
        <v>904211044</v>
      </c>
      <c r="F58" s="91" t="s">
        <v>1105</v>
      </c>
      <c r="G58" s="17">
        <f t="shared" si="18"/>
        <v>4</v>
      </c>
      <c r="H58" s="17">
        <f t="shared" si="18"/>
        <v>2</v>
      </c>
      <c r="I58" s="17">
        <f t="shared" si="18"/>
        <v>1</v>
      </c>
      <c r="J58" s="17">
        <f>'Achievement Reward Base'!B87</f>
        <v>1950</v>
      </c>
      <c r="K58" s="17" t="str">
        <f t="shared" si="15"/>
        <v>160001002</v>
      </c>
      <c r="L58" s="17">
        <f>'Achievement Reward Base'!D87</f>
        <v>220</v>
      </c>
      <c r="M58" s="21" t="s">
        <v>20</v>
      </c>
      <c r="N58" s="17">
        <f t="shared" si="3"/>
        <v>51353</v>
      </c>
      <c r="O58" s="17">
        <f t="shared" si="3"/>
        <v>52353</v>
      </c>
      <c r="P58" s="21">
        <f t="shared" si="16"/>
        <v>530800014</v>
      </c>
    </row>
    <row r="59" spans="1:16" ht="16.5" customHeight="1" x14ac:dyDescent="0.3">
      <c r="A59" s="17" t="b">
        <v>1</v>
      </c>
      <c r="B59" s="18" t="str">
        <f t="shared" si="9"/>
        <v>업적 - 수호자 레벨 달성 Lv.2000</v>
      </c>
      <c r="C59" s="17">
        <f t="shared" si="11"/>
        <v>904211044</v>
      </c>
      <c r="D59" s="17">
        <f t="shared" si="12"/>
        <v>904211043</v>
      </c>
      <c r="E59" s="16">
        <v>0</v>
      </c>
      <c r="F59" s="91" t="s">
        <v>1105</v>
      </c>
      <c r="G59" s="17">
        <f t="shared" si="18"/>
        <v>4</v>
      </c>
      <c r="H59" s="17">
        <f t="shared" si="18"/>
        <v>2</v>
      </c>
      <c r="I59" s="17">
        <f t="shared" si="18"/>
        <v>1</v>
      </c>
      <c r="J59" s="17">
        <f>'Achievement Reward Base'!B88</f>
        <v>2000</v>
      </c>
      <c r="K59" s="17" t="str">
        <f t="shared" si="15"/>
        <v>160001002</v>
      </c>
      <c r="L59" s="17">
        <f>'Achievement Reward Base'!D88</f>
        <v>225</v>
      </c>
      <c r="M59" s="21" t="s">
        <v>20</v>
      </c>
      <c r="N59" s="17">
        <f t="shared" si="3"/>
        <v>51354</v>
      </c>
      <c r="O59" s="17">
        <f t="shared" si="3"/>
        <v>52354</v>
      </c>
      <c r="P59" s="21">
        <f t="shared" si="16"/>
        <v>530800014</v>
      </c>
    </row>
    <row r="60" spans="1:16" ht="16.5" customHeight="1" x14ac:dyDescent="0.3">
      <c r="A60" s="14" t="b">
        <v>1</v>
      </c>
      <c r="B60" s="15" t="str">
        <f>"업적 - 캐릭터 스킬 강화 누적 횟수 " &amp; J60 &amp; " 회"</f>
        <v>업적 - 캐릭터 스킬 강화 누적 횟수 5 회</v>
      </c>
      <c r="C60" s="16" t="str">
        <f>90&amp;G60&amp;H60&amp;I60&amp;1001</f>
        <v>905111001</v>
      </c>
      <c r="D60" s="16">
        <v>0</v>
      </c>
      <c r="E60" s="14">
        <f t="shared" ref="E60:E66" si="19">C61</f>
        <v>905111002</v>
      </c>
      <c r="F60" s="92" t="s">
        <v>1104</v>
      </c>
      <c r="G60" s="16">
        <v>5</v>
      </c>
      <c r="H60" s="16">
        <v>1</v>
      </c>
      <c r="I60" s="16">
        <v>1</v>
      </c>
      <c r="J60" s="16">
        <f>'Achievement Reward Base'!B89</f>
        <v>5</v>
      </c>
      <c r="K60" s="16" t="str">
        <f>IF(M60="Gem","160001002",IF(M60="Gold","160001001"))</f>
        <v>160001001</v>
      </c>
      <c r="L60" s="16">
        <f>'Achievement Reward Base'!D89</f>
        <v>1000</v>
      </c>
      <c r="M60" s="20" t="s">
        <v>18</v>
      </c>
      <c r="N60" s="16">
        <f t="shared" si="3"/>
        <v>51355</v>
      </c>
      <c r="O60" s="16">
        <f t="shared" si="3"/>
        <v>52355</v>
      </c>
      <c r="P60" s="16">
        <v>530800011</v>
      </c>
    </row>
    <row r="61" spans="1:16" ht="16.5" customHeight="1" x14ac:dyDescent="0.3">
      <c r="A61" s="14" t="b">
        <v>1</v>
      </c>
      <c r="B61" s="15" t="str">
        <f t="shared" ref="B61:B67" si="20">"업적 - 캐릭터 스킬 강화 누적 횟수 " &amp; J61 &amp; " 회"</f>
        <v>업적 - 캐릭터 스킬 강화 누적 횟수 10 회</v>
      </c>
      <c r="C61" s="14">
        <f t="shared" ref="C61:C82" si="21">C60+1</f>
        <v>905111002</v>
      </c>
      <c r="D61" s="14" t="str">
        <f t="shared" ref="D61:D67" si="22">C60</f>
        <v>905111001</v>
      </c>
      <c r="E61" s="14">
        <f t="shared" si="19"/>
        <v>905111003</v>
      </c>
      <c r="F61" s="92" t="s">
        <v>1104</v>
      </c>
      <c r="G61" s="14">
        <f>G60</f>
        <v>5</v>
      </c>
      <c r="H61" s="14">
        <f t="shared" ref="H61:I67" si="23">H60</f>
        <v>1</v>
      </c>
      <c r="I61" s="14">
        <f t="shared" si="23"/>
        <v>1</v>
      </c>
      <c r="J61" s="14">
        <f>'Achievement Reward Base'!B90</f>
        <v>10</v>
      </c>
      <c r="K61" s="14" t="str">
        <f t="shared" ref="K61:K67" si="24">K60</f>
        <v>160001001</v>
      </c>
      <c r="L61" s="14">
        <f>'Achievement Reward Base'!D90</f>
        <v>1500</v>
      </c>
      <c r="M61" s="20" t="s">
        <v>18</v>
      </c>
      <c r="N61" s="14">
        <f t="shared" si="3"/>
        <v>51356</v>
      </c>
      <c r="O61" s="14">
        <f t="shared" si="3"/>
        <v>52356</v>
      </c>
      <c r="P61" s="20">
        <f t="shared" ref="P61:P67" si="25">P60</f>
        <v>530800011</v>
      </c>
    </row>
    <row r="62" spans="1:16" ht="16.5" customHeight="1" x14ac:dyDescent="0.3">
      <c r="A62" s="14" t="b">
        <v>1</v>
      </c>
      <c r="B62" s="15" t="str">
        <f t="shared" si="20"/>
        <v>업적 - 캐릭터 스킬 강화 누적 횟수 15 회</v>
      </c>
      <c r="C62" s="14">
        <f t="shared" si="21"/>
        <v>905111003</v>
      </c>
      <c r="D62" s="14">
        <f t="shared" si="22"/>
        <v>905111002</v>
      </c>
      <c r="E62" s="14">
        <f t="shared" si="19"/>
        <v>905111004</v>
      </c>
      <c r="F62" s="92" t="s">
        <v>1104</v>
      </c>
      <c r="G62" s="14">
        <f t="shared" ref="G62:G67" si="26">G61</f>
        <v>5</v>
      </c>
      <c r="H62" s="14">
        <f t="shared" si="23"/>
        <v>1</v>
      </c>
      <c r="I62" s="14">
        <f t="shared" si="23"/>
        <v>1</v>
      </c>
      <c r="J62" s="14">
        <f>'Achievement Reward Base'!B91</f>
        <v>15</v>
      </c>
      <c r="K62" s="14" t="str">
        <f t="shared" si="24"/>
        <v>160001001</v>
      </c>
      <c r="L62" s="14">
        <f>'Achievement Reward Base'!D91</f>
        <v>2000</v>
      </c>
      <c r="M62" s="20" t="s">
        <v>18</v>
      </c>
      <c r="N62" s="14">
        <f t="shared" si="3"/>
        <v>51357</v>
      </c>
      <c r="O62" s="14">
        <f t="shared" si="3"/>
        <v>52357</v>
      </c>
      <c r="P62" s="20">
        <f t="shared" si="25"/>
        <v>530800011</v>
      </c>
    </row>
    <row r="63" spans="1:16" ht="16.5" customHeight="1" x14ac:dyDescent="0.3">
      <c r="A63" s="14" t="b">
        <v>1</v>
      </c>
      <c r="B63" s="15" t="str">
        <f t="shared" si="20"/>
        <v>업적 - 캐릭터 스킬 강화 누적 횟수 20 회</v>
      </c>
      <c r="C63" s="14">
        <f t="shared" si="21"/>
        <v>905111004</v>
      </c>
      <c r="D63" s="14">
        <f t="shared" si="22"/>
        <v>905111003</v>
      </c>
      <c r="E63" s="14">
        <f t="shared" si="19"/>
        <v>905111005</v>
      </c>
      <c r="F63" s="92" t="s">
        <v>1104</v>
      </c>
      <c r="G63" s="14">
        <f t="shared" si="26"/>
        <v>5</v>
      </c>
      <c r="H63" s="14">
        <f t="shared" si="23"/>
        <v>1</v>
      </c>
      <c r="I63" s="14">
        <f t="shared" si="23"/>
        <v>1</v>
      </c>
      <c r="J63" s="14">
        <f>'Achievement Reward Base'!B92</f>
        <v>20</v>
      </c>
      <c r="K63" s="14" t="str">
        <f t="shared" si="24"/>
        <v>160001001</v>
      </c>
      <c r="L63" s="14">
        <f>'Achievement Reward Base'!D92</f>
        <v>2500</v>
      </c>
      <c r="M63" s="20" t="s">
        <v>18</v>
      </c>
      <c r="N63" s="14">
        <f t="shared" si="3"/>
        <v>51358</v>
      </c>
      <c r="O63" s="14">
        <f t="shared" si="3"/>
        <v>52358</v>
      </c>
      <c r="P63" s="20">
        <f t="shared" si="25"/>
        <v>530800011</v>
      </c>
    </row>
    <row r="64" spans="1:16" ht="16.5" customHeight="1" x14ac:dyDescent="0.3">
      <c r="A64" s="14" t="b">
        <v>1</v>
      </c>
      <c r="B64" s="15" t="str">
        <f t="shared" si="20"/>
        <v>업적 - 캐릭터 스킬 강화 누적 횟수 30 회</v>
      </c>
      <c r="C64" s="14">
        <f t="shared" si="21"/>
        <v>905111005</v>
      </c>
      <c r="D64" s="14">
        <f t="shared" si="22"/>
        <v>905111004</v>
      </c>
      <c r="E64" s="14">
        <f t="shared" si="19"/>
        <v>905111006</v>
      </c>
      <c r="F64" s="92" t="s">
        <v>1104</v>
      </c>
      <c r="G64" s="14">
        <f t="shared" si="26"/>
        <v>5</v>
      </c>
      <c r="H64" s="14">
        <f t="shared" si="23"/>
        <v>1</v>
      </c>
      <c r="I64" s="14">
        <f t="shared" si="23"/>
        <v>1</v>
      </c>
      <c r="J64" s="14">
        <f>'Achievement Reward Base'!B93</f>
        <v>30</v>
      </c>
      <c r="K64" s="14" t="str">
        <f t="shared" si="24"/>
        <v>160001001</v>
      </c>
      <c r="L64" s="14">
        <f>'Achievement Reward Base'!D93</f>
        <v>3000</v>
      </c>
      <c r="M64" s="20" t="s">
        <v>18</v>
      </c>
      <c r="N64" s="14">
        <f t="shared" si="3"/>
        <v>51359</v>
      </c>
      <c r="O64" s="14">
        <f t="shared" si="3"/>
        <v>52359</v>
      </c>
      <c r="P64" s="20">
        <f t="shared" si="25"/>
        <v>530800011</v>
      </c>
    </row>
    <row r="65" spans="1:16" ht="16.5" customHeight="1" x14ac:dyDescent="0.3">
      <c r="A65" s="14" t="b">
        <v>1</v>
      </c>
      <c r="B65" s="15" t="str">
        <f t="shared" si="20"/>
        <v>업적 - 캐릭터 스킬 강화 누적 횟수 40 회</v>
      </c>
      <c r="C65" s="14">
        <f t="shared" si="21"/>
        <v>905111006</v>
      </c>
      <c r="D65" s="14">
        <f t="shared" si="22"/>
        <v>905111005</v>
      </c>
      <c r="E65" s="14">
        <f t="shared" si="19"/>
        <v>905111007</v>
      </c>
      <c r="F65" s="92" t="s">
        <v>1104</v>
      </c>
      <c r="G65" s="14">
        <f t="shared" si="26"/>
        <v>5</v>
      </c>
      <c r="H65" s="14">
        <f t="shared" si="23"/>
        <v>1</v>
      </c>
      <c r="I65" s="14">
        <f t="shared" si="23"/>
        <v>1</v>
      </c>
      <c r="J65" s="14">
        <f>'Achievement Reward Base'!B94</f>
        <v>40</v>
      </c>
      <c r="K65" s="14" t="str">
        <f t="shared" si="24"/>
        <v>160001001</v>
      </c>
      <c r="L65" s="14">
        <f>'Achievement Reward Base'!D94</f>
        <v>3500</v>
      </c>
      <c r="M65" s="20" t="s">
        <v>18</v>
      </c>
      <c r="N65" s="14">
        <f t="shared" si="3"/>
        <v>51360</v>
      </c>
      <c r="O65" s="14">
        <f t="shared" si="3"/>
        <v>52360</v>
      </c>
      <c r="P65" s="20">
        <f t="shared" si="25"/>
        <v>530800011</v>
      </c>
    </row>
    <row r="66" spans="1:16" ht="16.5" customHeight="1" x14ac:dyDescent="0.3">
      <c r="A66" s="14" t="b">
        <v>1</v>
      </c>
      <c r="B66" s="15" t="str">
        <f t="shared" si="20"/>
        <v>업적 - 캐릭터 스킬 강화 누적 횟수 50 회</v>
      </c>
      <c r="C66" s="14">
        <f t="shared" si="21"/>
        <v>905111007</v>
      </c>
      <c r="D66" s="14">
        <f t="shared" si="22"/>
        <v>905111006</v>
      </c>
      <c r="E66" s="14">
        <f t="shared" si="19"/>
        <v>905111008</v>
      </c>
      <c r="F66" s="92" t="s">
        <v>1104</v>
      </c>
      <c r="G66" s="14">
        <f t="shared" si="26"/>
        <v>5</v>
      </c>
      <c r="H66" s="14">
        <f t="shared" si="23"/>
        <v>1</v>
      </c>
      <c r="I66" s="14">
        <f t="shared" si="23"/>
        <v>1</v>
      </c>
      <c r="J66" s="14">
        <f>'Achievement Reward Base'!B95</f>
        <v>50</v>
      </c>
      <c r="K66" s="14" t="str">
        <f t="shared" si="24"/>
        <v>160001001</v>
      </c>
      <c r="L66" s="14">
        <f>'Achievement Reward Base'!D95</f>
        <v>4000</v>
      </c>
      <c r="M66" s="20" t="s">
        <v>18</v>
      </c>
      <c r="N66" s="14">
        <f t="shared" si="3"/>
        <v>51361</v>
      </c>
      <c r="O66" s="14">
        <f t="shared" si="3"/>
        <v>52361</v>
      </c>
      <c r="P66" s="20">
        <f t="shared" si="25"/>
        <v>530800011</v>
      </c>
    </row>
    <row r="67" spans="1:16" ht="16.5" customHeight="1" x14ac:dyDescent="0.3">
      <c r="A67" s="14" t="b">
        <v>1</v>
      </c>
      <c r="B67" s="15" t="str">
        <f t="shared" si="20"/>
        <v>업적 - 캐릭터 스킬 강화 누적 횟수 60 회</v>
      </c>
      <c r="C67" s="14">
        <f t="shared" si="21"/>
        <v>905111008</v>
      </c>
      <c r="D67" s="14">
        <f t="shared" si="22"/>
        <v>905111007</v>
      </c>
      <c r="E67" s="16">
        <v>0</v>
      </c>
      <c r="F67" s="92" t="s">
        <v>1104</v>
      </c>
      <c r="G67" s="14">
        <f t="shared" si="26"/>
        <v>5</v>
      </c>
      <c r="H67" s="14">
        <f t="shared" si="23"/>
        <v>1</v>
      </c>
      <c r="I67" s="14">
        <f t="shared" si="23"/>
        <v>1</v>
      </c>
      <c r="J67" s="14">
        <f>'Achievement Reward Base'!B96</f>
        <v>60</v>
      </c>
      <c r="K67" s="14" t="str">
        <f t="shared" si="24"/>
        <v>160001001</v>
      </c>
      <c r="L67" s="14">
        <f>'Achievement Reward Base'!D96</f>
        <v>4500</v>
      </c>
      <c r="M67" s="20" t="s">
        <v>18</v>
      </c>
      <c r="N67" s="14">
        <f t="shared" si="3"/>
        <v>51362</v>
      </c>
      <c r="O67" s="14">
        <f t="shared" si="3"/>
        <v>52362</v>
      </c>
      <c r="P67" s="20">
        <f t="shared" si="25"/>
        <v>530800011</v>
      </c>
    </row>
    <row r="68" spans="1:16" ht="16.5" customHeight="1" x14ac:dyDescent="0.3">
      <c r="A68" s="17" t="b">
        <v>1</v>
      </c>
      <c r="B68" s="18" t="str">
        <f>"업적 - 캐릭터 스킬 초기화 누적 횟수 " &amp; J68 &amp; " 회"</f>
        <v>업적 - 캐릭터 스킬 초기화 누적 횟수 1 회</v>
      </c>
      <c r="C68" s="16" t="str">
        <f>90&amp;G68&amp;H68&amp;I68&amp;1001</f>
        <v>905121001</v>
      </c>
      <c r="D68" s="16">
        <v>0</v>
      </c>
      <c r="E68" s="17">
        <f t="shared" ref="E68" si="27">C69</f>
        <v>905121002</v>
      </c>
      <c r="F68" s="91" t="s">
        <v>1104</v>
      </c>
      <c r="G68" s="16">
        <v>5</v>
      </c>
      <c r="H68" s="16">
        <v>1</v>
      </c>
      <c r="I68" s="16">
        <v>2</v>
      </c>
      <c r="J68" s="16">
        <f>'Achievement Reward Base'!B97</f>
        <v>1</v>
      </c>
      <c r="K68" s="16" t="str">
        <f>IF(M68="Gem","160001002",IF(M68="Gold","160001001"))</f>
        <v>160001001</v>
      </c>
      <c r="L68" s="16">
        <f>'Achievement Reward Base'!D97</f>
        <v>3000</v>
      </c>
      <c r="M68" s="21" t="s">
        <v>18</v>
      </c>
      <c r="N68" s="16">
        <f t="shared" si="3"/>
        <v>51363</v>
      </c>
      <c r="O68" s="16">
        <f t="shared" si="3"/>
        <v>52363</v>
      </c>
      <c r="P68" s="16">
        <v>530800011</v>
      </c>
    </row>
    <row r="69" spans="1:16" ht="16.5" customHeight="1" x14ac:dyDescent="0.3">
      <c r="A69" s="17" t="b">
        <v>1</v>
      </c>
      <c r="B69" s="18" t="str">
        <f t="shared" ref="B69" si="28">"업적 - 캐릭터 스킬 초기화 누적 횟수 " &amp; J69 &amp; " 회"</f>
        <v>업적 - 캐릭터 스킬 초기화 누적 횟수 3 회</v>
      </c>
      <c r="C69" s="17">
        <f t="shared" si="21"/>
        <v>905121002</v>
      </c>
      <c r="D69" s="17" t="str">
        <f t="shared" ref="D69" si="29">C68</f>
        <v>905121001</v>
      </c>
      <c r="E69" s="16">
        <v>0</v>
      </c>
      <c r="F69" s="91" t="s">
        <v>1104</v>
      </c>
      <c r="G69" s="17">
        <f>G68</f>
        <v>5</v>
      </c>
      <c r="H69" s="17">
        <f t="shared" ref="H69:I69" si="30">H68</f>
        <v>1</v>
      </c>
      <c r="I69" s="17">
        <f t="shared" si="30"/>
        <v>2</v>
      </c>
      <c r="J69" s="17">
        <f>'Achievement Reward Base'!B98</f>
        <v>3</v>
      </c>
      <c r="K69" s="17" t="str">
        <f t="shared" ref="K69" si="31">K68</f>
        <v>160001001</v>
      </c>
      <c r="L69" s="17">
        <f>'Achievement Reward Base'!D98</f>
        <v>5000</v>
      </c>
      <c r="M69" s="21" t="s">
        <v>18</v>
      </c>
      <c r="N69" s="17">
        <f t="shared" si="3"/>
        <v>51364</v>
      </c>
      <c r="O69" s="17">
        <f t="shared" si="3"/>
        <v>52364</v>
      </c>
      <c r="P69" s="21">
        <f t="shared" ref="P69" si="32">P68</f>
        <v>530800011</v>
      </c>
    </row>
    <row r="70" spans="1:16" ht="16.5" customHeight="1" x14ac:dyDescent="0.3">
      <c r="A70" s="14" t="b">
        <v>1</v>
      </c>
      <c r="B70" s="15" t="str">
        <f>"업적 - 수호자 스킬 강화 누적 횟수 " &amp; J70 &amp; " 회"</f>
        <v>업적 - 수호자 스킬 강화 누적 횟수 10 회</v>
      </c>
      <c r="C70" s="16" t="str">
        <f>90&amp;G70&amp;H70&amp;I70&amp;1001</f>
        <v>905211001</v>
      </c>
      <c r="D70" s="16">
        <v>0</v>
      </c>
      <c r="E70" s="14">
        <f t="shared" ref="E70:E81" si="33">C71</f>
        <v>905211002</v>
      </c>
      <c r="F70" s="92" t="s">
        <v>1105</v>
      </c>
      <c r="G70" s="16">
        <v>5</v>
      </c>
      <c r="H70" s="16">
        <v>2</v>
      </c>
      <c r="I70" s="16">
        <v>1</v>
      </c>
      <c r="J70" s="16">
        <f>'Achievement Reward Base'!B99</f>
        <v>10</v>
      </c>
      <c r="K70" s="16" t="str">
        <f>IF(M70="Gem","160001002",IF(M70="Gold","160001001"))</f>
        <v>160001001</v>
      </c>
      <c r="L70" s="16">
        <f>'Achievement Reward Base'!D99</f>
        <v>2000</v>
      </c>
      <c r="M70" s="20" t="s">
        <v>18</v>
      </c>
      <c r="N70" s="16">
        <f t="shared" si="3"/>
        <v>51365</v>
      </c>
      <c r="O70" s="16">
        <f t="shared" si="3"/>
        <v>52365</v>
      </c>
      <c r="P70" s="16">
        <v>530800011</v>
      </c>
    </row>
    <row r="71" spans="1:16" ht="16.5" customHeight="1" x14ac:dyDescent="0.3">
      <c r="A71" s="14" t="b">
        <v>1</v>
      </c>
      <c r="B71" s="15" t="str">
        <f t="shared" ref="B71:B82" si="34">"업적 - 수호자 스킬 강화 누적 횟수 " &amp; J71 &amp; " 회"</f>
        <v>업적 - 수호자 스킬 강화 누적 횟수 30 회</v>
      </c>
      <c r="C71" s="14">
        <f t="shared" si="21"/>
        <v>905211002</v>
      </c>
      <c r="D71" s="14" t="str">
        <f t="shared" ref="D71:D82" si="35">C70</f>
        <v>905211001</v>
      </c>
      <c r="E71" s="14">
        <f t="shared" si="33"/>
        <v>905211003</v>
      </c>
      <c r="F71" s="92" t="s">
        <v>1105</v>
      </c>
      <c r="G71" s="14">
        <f>G70</f>
        <v>5</v>
      </c>
      <c r="H71" s="14">
        <f t="shared" ref="H71:I82" si="36">H70</f>
        <v>2</v>
      </c>
      <c r="I71" s="14">
        <f t="shared" si="36"/>
        <v>1</v>
      </c>
      <c r="J71" s="14">
        <f>'Achievement Reward Base'!B100</f>
        <v>30</v>
      </c>
      <c r="K71" s="14" t="str">
        <f t="shared" ref="K71:K82" si="37">K70</f>
        <v>160001001</v>
      </c>
      <c r="L71" s="14">
        <f>'Achievement Reward Base'!D100</f>
        <v>2500</v>
      </c>
      <c r="M71" s="20" t="s">
        <v>18</v>
      </c>
      <c r="N71" s="14">
        <f t="shared" ref="N71:O134" si="38">N70+1</f>
        <v>51366</v>
      </c>
      <c r="O71" s="14">
        <f t="shared" si="38"/>
        <v>52366</v>
      </c>
      <c r="P71" s="20">
        <f t="shared" ref="P71:P82" si="39">P70</f>
        <v>530800011</v>
      </c>
    </row>
    <row r="72" spans="1:16" ht="16.5" customHeight="1" x14ac:dyDescent="0.3">
      <c r="A72" s="14" t="b">
        <v>1</v>
      </c>
      <c r="B72" s="15" t="str">
        <f t="shared" si="34"/>
        <v>업적 - 수호자 스킬 강화 누적 횟수 60 회</v>
      </c>
      <c r="C72" s="14">
        <f t="shared" si="21"/>
        <v>905211003</v>
      </c>
      <c r="D72" s="14">
        <f t="shared" si="35"/>
        <v>905211002</v>
      </c>
      <c r="E72" s="14">
        <f t="shared" si="33"/>
        <v>905211004</v>
      </c>
      <c r="F72" s="92" t="s">
        <v>1105</v>
      </c>
      <c r="G72" s="14">
        <f t="shared" ref="G72:G82" si="40">G71</f>
        <v>5</v>
      </c>
      <c r="H72" s="14">
        <f t="shared" si="36"/>
        <v>2</v>
      </c>
      <c r="I72" s="14">
        <f t="shared" si="36"/>
        <v>1</v>
      </c>
      <c r="J72" s="14">
        <f>'Achievement Reward Base'!B101</f>
        <v>60</v>
      </c>
      <c r="K72" s="14" t="str">
        <f t="shared" si="37"/>
        <v>160001001</v>
      </c>
      <c r="L72" s="14">
        <f>'Achievement Reward Base'!D101</f>
        <v>3000</v>
      </c>
      <c r="M72" s="20" t="s">
        <v>18</v>
      </c>
      <c r="N72" s="14">
        <f t="shared" si="38"/>
        <v>51367</v>
      </c>
      <c r="O72" s="14">
        <f t="shared" si="38"/>
        <v>52367</v>
      </c>
      <c r="P72" s="20">
        <f t="shared" si="39"/>
        <v>530800011</v>
      </c>
    </row>
    <row r="73" spans="1:16" ht="16.5" customHeight="1" x14ac:dyDescent="0.3">
      <c r="A73" s="14" t="b">
        <v>1</v>
      </c>
      <c r="B73" s="15" t="str">
        <f t="shared" si="34"/>
        <v>업적 - 수호자 스킬 강화 누적 횟수 100 회</v>
      </c>
      <c r="C73" s="14">
        <f t="shared" si="21"/>
        <v>905211004</v>
      </c>
      <c r="D73" s="14">
        <f t="shared" si="35"/>
        <v>905211003</v>
      </c>
      <c r="E73" s="14">
        <f t="shared" si="33"/>
        <v>905211005</v>
      </c>
      <c r="F73" s="92" t="s">
        <v>1105</v>
      </c>
      <c r="G73" s="14">
        <f t="shared" si="40"/>
        <v>5</v>
      </c>
      <c r="H73" s="14">
        <f t="shared" si="36"/>
        <v>2</v>
      </c>
      <c r="I73" s="14">
        <f t="shared" si="36"/>
        <v>1</v>
      </c>
      <c r="J73" s="14">
        <f>'Achievement Reward Base'!B102</f>
        <v>100</v>
      </c>
      <c r="K73" s="14" t="str">
        <f t="shared" si="37"/>
        <v>160001001</v>
      </c>
      <c r="L73" s="14">
        <f>'Achievement Reward Base'!D102</f>
        <v>3500</v>
      </c>
      <c r="M73" s="20" t="s">
        <v>18</v>
      </c>
      <c r="N73" s="14">
        <f t="shared" si="38"/>
        <v>51368</v>
      </c>
      <c r="O73" s="14">
        <f t="shared" si="38"/>
        <v>52368</v>
      </c>
      <c r="P73" s="20">
        <f t="shared" si="39"/>
        <v>530800011</v>
      </c>
    </row>
    <row r="74" spans="1:16" ht="16.5" customHeight="1" x14ac:dyDescent="0.3">
      <c r="A74" s="14" t="b">
        <v>1</v>
      </c>
      <c r="B74" s="15" t="str">
        <f t="shared" si="34"/>
        <v>업적 - 수호자 스킬 강화 누적 횟수 150 회</v>
      </c>
      <c r="C74" s="14">
        <f t="shared" si="21"/>
        <v>905211005</v>
      </c>
      <c r="D74" s="14">
        <f t="shared" si="35"/>
        <v>905211004</v>
      </c>
      <c r="E74" s="14">
        <f t="shared" si="33"/>
        <v>905211006</v>
      </c>
      <c r="F74" s="92" t="s">
        <v>1105</v>
      </c>
      <c r="G74" s="14">
        <f t="shared" si="40"/>
        <v>5</v>
      </c>
      <c r="H74" s="14">
        <f t="shared" si="36"/>
        <v>2</v>
      </c>
      <c r="I74" s="14">
        <f t="shared" si="36"/>
        <v>1</v>
      </c>
      <c r="J74" s="14">
        <f>'Achievement Reward Base'!B103</f>
        <v>150</v>
      </c>
      <c r="K74" s="14" t="str">
        <f t="shared" si="37"/>
        <v>160001001</v>
      </c>
      <c r="L74" s="14">
        <f>'Achievement Reward Base'!D103</f>
        <v>4000</v>
      </c>
      <c r="M74" s="20" t="s">
        <v>18</v>
      </c>
      <c r="N74" s="14">
        <f t="shared" si="38"/>
        <v>51369</v>
      </c>
      <c r="O74" s="14">
        <f t="shared" si="38"/>
        <v>52369</v>
      </c>
      <c r="P74" s="20">
        <f t="shared" si="39"/>
        <v>530800011</v>
      </c>
    </row>
    <row r="75" spans="1:16" ht="16.5" customHeight="1" x14ac:dyDescent="0.3">
      <c r="A75" s="14" t="b">
        <v>1</v>
      </c>
      <c r="B75" s="15" t="str">
        <f t="shared" si="34"/>
        <v>업적 - 수호자 스킬 강화 누적 횟수 200 회</v>
      </c>
      <c r="C75" s="14">
        <f t="shared" si="21"/>
        <v>905211006</v>
      </c>
      <c r="D75" s="14">
        <f t="shared" si="35"/>
        <v>905211005</v>
      </c>
      <c r="E75" s="14">
        <f t="shared" si="33"/>
        <v>905211007</v>
      </c>
      <c r="F75" s="92" t="s">
        <v>1105</v>
      </c>
      <c r="G75" s="14">
        <f t="shared" si="40"/>
        <v>5</v>
      </c>
      <c r="H75" s="14">
        <f t="shared" si="36"/>
        <v>2</v>
      </c>
      <c r="I75" s="14">
        <f t="shared" si="36"/>
        <v>1</v>
      </c>
      <c r="J75" s="14">
        <f>'Achievement Reward Base'!B104</f>
        <v>200</v>
      </c>
      <c r="K75" s="14" t="str">
        <f t="shared" si="37"/>
        <v>160001001</v>
      </c>
      <c r="L75" s="14">
        <f>'Achievement Reward Base'!D104</f>
        <v>5000</v>
      </c>
      <c r="M75" s="20" t="s">
        <v>18</v>
      </c>
      <c r="N75" s="14">
        <f t="shared" si="38"/>
        <v>51370</v>
      </c>
      <c r="O75" s="14">
        <f t="shared" si="38"/>
        <v>52370</v>
      </c>
      <c r="P75" s="20">
        <f t="shared" si="39"/>
        <v>530800011</v>
      </c>
    </row>
    <row r="76" spans="1:16" ht="16.5" customHeight="1" x14ac:dyDescent="0.3">
      <c r="A76" s="14" t="b">
        <v>1</v>
      </c>
      <c r="B76" s="15" t="str">
        <f t="shared" si="34"/>
        <v>업적 - 수호자 스킬 강화 누적 횟수 300 회</v>
      </c>
      <c r="C76" s="14">
        <f t="shared" si="21"/>
        <v>905211007</v>
      </c>
      <c r="D76" s="14">
        <f t="shared" si="35"/>
        <v>905211006</v>
      </c>
      <c r="E76" s="14">
        <f t="shared" si="33"/>
        <v>905211008</v>
      </c>
      <c r="F76" s="92" t="s">
        <v>1105</v>
      </c>
      <c r="G76" s="14">
        <f t="shared" si="40"/>
        <v>5</v>
      </c>
      <c r="H76" s="14">
        <f t="shared" si="36"/>
        <v>2</v>
      </c>
      <c r="I76" s="14">
        <f t="shared" si="36"/>
        <v>1</v>
      </c>
      <c r="J76" s="14">
        <f>'Achievement Reward Base'!B105</f>
        <v>300</v>
      </c>
      <c r="K76" s="14" t="str">
        <f t="shared" si="37"/>
        <v>160001001</v>
      </c>
      <c r="L76" s="14">
        <f>'Achievement Reward Base'!D105</f>
        <v>6000</v>
      </c>
      <c r="M76" s="20" t="s">
        <v>18</v>
      </c>
      <c r="N76" s="14">
        <f t="shared" si="38"/>
        <v>51371</v>
      </c>
      <c r="O76" s="14">
        <f t="shared" si="38"/>
        <v>52371</v>
      </c>
      <c r="P76" s="20">
        <f t="shared" si="39"/>
        <v>530800011</v>
      </c>
    </row>
    <row r="77" spans="1:16" ht="16.5" customHeight="1" x14ac:dyDescent="0.3">
      <c r="A77" s="14" t="b">
        <v>1</v>
      </c>
      <c r="B77" s="15" t="str">
        <f t="shared" si="34"/>
        <v>업적 - 수호자 스킬 강화 누적 횟수 400 회</v>
      </c>
      <c r="C77" s="14">
        <f t="shared" si="21"/>
        <v>905211008</v>
      </c>
      <c r="D77" s="14">
        <f t="shared" si="35"/>
        <v>905211007</v>
      </c>
      <c r="E77" s="14">
        <f t="shared" si="33"/>
        <v>905211009</v>
      </c>
      <c r="F77" s="92" t="s">
        <v>1105</v>
      </c>
      <c r="G77" s="14">
        <f t="shared" si="40"/>
        <v>5</v>
      </c>
      <c r="H77" s="14">
        <f t="shared" si="36"/>
        <v>2</v>
      </c>
      <c r="I77" s="14">
        <f t="shared" si="36"/>
        <v>1</v>
      </c>
      <c r="J77" s="14">
        <f>'Achievement Reward Base'!B106</f>
        <v>400</v>
      </c>
      <c r="K77" s="14" t="str">
        <f t="shared" si="37"/>
        <v>160001001</v>
      </c>
      <c r="L77" s="14">
        <f>'Achievement Reward Base'!D106</f>
        <v>7000</v>
      </c>
      <c r="M77" s="20" t="s">
        <v>18</v>
      </c>
      <c r="N77" s="14">
        <f t="shared" si="38"/>
        <v>51372</v>
      </c>
      <c r="O77" s="14">
        <f t="shared" si="38"/>
        <v>52372</v>
      </c>
      <c r="P77" s="20">
        <f t="shared" si="39"/>
        <v>530800011</v>
      </c>
    </row>
    <row r="78" spans="1:16" ht="16.5" customHeight="1" x14ac:dyDescent="0.3">
      <c r="A78" s="14" t="b">
        <v>1</v>
      </c>
      <c r="B78" s="15" t="str">
        <f t="shared" si="34"/>
        <v>업적 - 수호자 스킬 강화 누적 횟수 500 회</v>
      </c>
      <c r="C78" s="14">
        <f t="shared" si="21"/>
        <v>905211009</v>
      </c>
      <c r="D78" s="14">
        <f t="shared" si="35"/>
        <v>905211008</v>
      </c>
      <c r="E78" s="14">
        <f t="shared" si="33"/>
        <v>905211010</v>
      </c>
      <c r="F78" s="92" t="s">
        <v>1105</v>
      </c>
      <c r="G78" s="14">
        <f t="shared" si="40"/>
        <v>5</v>
      </c>
      <c r="H78" s="14">
        <f t="shared" si="36"/>
        <v>2</v>
      </c>
      <c r="I78" s="14">
        <f t="shared" si="36"/>
        <v>1</v>
      </c>
      <c r="J78" s="14">
        <f>'Achievement Reward Base'!B107</f>
        <v>500</v>
      </c>
      <c r="K78" s="14" t="str">
        <f t="shared" si="37"/>
        <v>160001001</v>
      </c>
      <c r="L78" s="14">
        <f>'Achievement Reward Base'!D107</f>
        <v>8000</v>
      </c>
      <c r="M78" s="20" t="s">
        <v>18</v>
      </c>
      <c r="N78" s="14">
        <f t="shared" si="38"/>
        <v>51373</v>
      </c>
      <c r="O78" s="14">
        <f t="shared" si="38"/>
        <v>52373</v>
      </c>
      <c r="P78" s="20">
        <f t="shared" si="39"/>
        <v>530800011</v>
      </c>
    </row>
    <row r="79" spans="1:16" ht="16.5" customHeight="1" x14ac:dyDescent="0.3">
      <c r="A79" s="14" t="b">
        <v>1</v>
      </c>
      <c r="B79" s="15" t="str">
        <f t="shared" si="34"/>
        <v>업적 - 수호자 스킬 강화 누적 횟수 750 회</v>
      </c>
      <c r="C79" s="14">
        <f t="shared" si="21"/>
        <v>905211010</v>
      </c>
      <c r="D79" s="14">
        <f t="shared" si="35"/>
        <v>905211009</v>
      </c>
      <c r="E79" s="14">
        <f t="shared" si="33"/>
        <v>905211011</v>
      </c>
      <c r="F79" s="92" t="s">
        <v>1105</v>
      </c>
      <c r="G79" s="14">
        <f t="shared" si="40"/>
        <v>5</v>
      </c>
      <c r="H79" s="14">
        <f t="shared" si="36"/>
        <v>2</v>
      </c>
      <c r="I79" s="14">
        <f t="shared" si="36"/>
        <v>1</v>
      </c>
      <c r="J79" s="14">
        <f>'Achievement Reward Base'!B108</f>
        <v>750</v>
      </c>
      <c r="K79" s="14" t="str">
        <f t="shared" si="37"/>
        <v>160001001</v>
      </c>
      <c r="L79" s="14">
        <f>'Achievement Reward Base'!D108</f>
        <v>9000</v>
      </c>
      <c r="M79" s="20" t="s">
        <v>18</v>
      </c>
      <c r="N79" s="14">
        <f t="shared" si="38"/>
        <v>51374</v>
      </c>
      <c r="O79" s="14">
        <f t="shared" si="38"/>
        <v>52374</v>
      </c>
      <c r="P79" s="20">
        <f t="shared" si="39"/>
        <v>530800011</v>
      </c>
    </row>
    <row r="80" spans="1:16" ht="16.5" customHeight="1" x14ac:dyDescent="0.3">
      <c r="A80" s="14" t="b">
        <v>1</v>
      </c>
      <c r="B80" s="15" t="str">
        <f t="shared" si="34"/>
        <v>업적 - 수호자 스킬 강화 누적 횟수 1000 회</v>
      </c>
      <c r="C80" s="14">
        <f t="shared" si="21"/>
        <v>905211011</v>
      </c>
      <c r="D80" s="14">
        <f t="shared" si="35"/>
        <v>905211010</v>
      </c>
      <c r="E80" s="14">
        <f t="shared" si="33"/>
        <v>905211012</v>
      </c>
      <c r="F80" s="92" t="s">
        <v>1105</v>
      </c>
      <c r="G80" s="14">
        <f t="shared" si="40"/>
        <v>5</v>
      </c>
      <c r="H80" s="14">
        <f t="shared" si="36"/>
        <v>2</v>
      </c>
      <c r="I80" s="14">
        <f t="shared" si="36"/>
        <v>1</v>
      </c>
      <c r="J80" s="14">
        <f>'Achievement Reward Base'!B109</f>
        <v>1000</v>
      </c>
      <c r="K80" s="14" t="str">
        <f t="shared" si="37"/>
        <v>160001001</v>
      </c>
      <c r="L80" s="14">
        <f>'Achievement Reward Base'!D109</f>
        <v>10000</v>
      </c>
      <c r="M80" s="20" t="s">
        <v>18</v>
      </c>
      <c r="N80" s="14">
        <f t="shared" si="38"/>
        <v>51375</v>
      </c>
      <c r="O80" s="14">
        <f t="shared" si="38"/>
        <v>52375</v>
      </c>
      <c r="P80" s="20">
        <f t="shared" si="39"/>
        <v>530800011</v>
      </c>
    </row>
    <row r="81" spans="1:16" ht="16.5" customHeight="1" x14ac:dyDescent="0.3">
      <c r="A81" s="14" t="b">
        <v>1</v>
      </c>
      <c r="B81" s="15" t="str">
        <f t="shared" si="34"/>
        <v>업적 - 수호자 스킬 강화 누적 횟수 1500 회</v>
      </c>
      <c r="C81" s="14">
        <f t="shared" si="21"/>
        <v>905211012</v>
      </c>
      <c r="D81" s="14">
        <f t="shared" si="35"/>
        <v>905211011</v>
      </c>
      <c r="E81" s="14">
        <f t="shared" si="33"/>
        <v>905211013</v>
      </c>
      <c r="F81" s="92" t="s">
        <v>1105</v>
      </c>
      <c r="G81" s="14">
        <f t="shared" si="40"/>
        <v>5</v>
      </c>
      <c r="H81" s="14">
        <f t="shared" si="36"/>
        <v>2</v>
      </c>
      <c r="I81" s="14">
        <f t="shared" si="36"/>
        <v>1</v>
      </c>
      <c r="J81" s="14">
        <f>'Achievement Reward Base'!B110</f>
        <v>1500</v>
      </c>
      <c r="K81" s="14" t="str">
        <f t="shared" si="37"/>
        <v>160001001</v>
      </c>
      <c r="L81" s="14">
        <f>'Achievement Reward Base'!D110</f>
        <v>11000</v>
      </c>
      <c r="M81" s="20" t="s">
        <v>18</v>
      </c>
      <c r="N81" s="14">
        <f t="shared" si="38"/>
        <v>51376</v>
      </c>
      <c r="O81" s="14">
        <f t="shared" si="38"/>
        <v>52376</v>
      </c>
      <c r="P81" s="20">
        <f t="shared" si="39"/>
        <v>530800011</v>
      </c>
    </row>
    <row r="82" spans="1:16" ht="16.5" customHeight="1" x14ac:dyDescent="0.3">
      <c r="A82" s="14" t="b">
        <v>1</v>
      </c>
      <c r="B82" s="15" t="str">
        <f t="shared" si="34"/>
        <v>업적 - 수호자 스킬 강화 누적 횟수 2000 회</v>
      </c>
      <c r="C82" s="14">
        <f t="shared" si="21"/>
        <v>905211013</v>
      </c>
      <c r="D82" s="14">
        <f t="shared" si="35"/>
        <v>905211012</v>
      </c>
      <c r="E82" s="16">
        <v>0</v>
      </c>
      <c r="F82" s="92" t="s">
        <v>1105</v>
      </c>
      <c r="G82" s="14">
        <f t="shared" si="40"/>
        <v>5</v>
      </c>
      <c r="H82" s="14">
        <f t="shared" si="36"/>
        <v>2</v>
      </c>
      <c r="I82" s="14">
        <f t="shared" si="36"/>
        <v>1</v>
      </c>
      <c r="J82" s="14">
        <f>'Achievement Reward Base'!B111</f>
        <v>2000</v>
      </c>
      <c r="K82" s="14" t="str">
        <f t="shared" si="37"/>
        <v>160001001</v>
      </c>
      <c r="L82" s="14">
        <f>'Achievement Reward Base'!D111</f>
        <v>12000</v>
      </c>
      <c r="M82" s="20" t="s">
        <v>18</v>
      </c>
      <c r="N82" s="14">
        <f t="shared" si="38"/>
        <v>51377</v>
      </c>
      <c r="O82" s="14">
        <f t="shared" si="38"/>
        <v>52377</v>
      </c>
      <c r="P82" s="20">
        <f t="shared" si="39"/>
        <v>530800011</v>
      </c>
    </row>
    <row r="83" spans="1:16" ht="16.5" customHeight="1" x14ac:dyDescent="0.3">
      <c r="A83" s="17" t="b">
        <v>1</v>
      </c>
      <c r="B83" s="18" t="str">
        <f>"업적 - 수호자 스킬 초기화 누적 횟수 " &amp; J83 &amp; " 회"</f>
        <v>업적 - 수호자 스킬 초기화 누적 횟수 1 회</v>
      </c>
      <c r="C83" s="16" t="str">
        <f>90&amp;G83&amp;H83&amp;I83&amp;1001</f>
        <v>905221001</v>
      </c>
      <c r="D83" s="16">
        <v>0</v>
      </c>
      <c r="E83" s="17">
        <f t="shared" ref="E83" si="41">C84</f>
        <v>905221002</v>
      </c>
      <c r="F83" s="91" t="s">
        <v>1105</v>
      </c>
      <c r="G83" s="16">
        <v>5</v>
      </c>
      <c r="H83" s="16">
        <v>2</v>
      </c>
      <c r="I83" s="16">
        <v>2</v>
      </c>
      <c r="J83" s="16">
        <f>'Achievement Reward Base'!B112</f>
        <v>1</v>
      </c>
      <c r="K83" s="16" t="str">
        <f>IF(M83="Gem","160001002",IF(M83="Gold","160001001"))</f>
        <v>160001001</v>
      </c>
      <c r="L83" s="16">
        <f>'Achievement Reward Base'!D112</f>
        <v>5000</v>
      </c>
      <c r="M83" s="21" t="s">
        <v>18</v>
      </c>
      <c r="N83" s="16">
        <f t="shared" si="38"/>
        <v>51378</v>
      </c>
      <c r="O83" s="16">
        <f t="shared" si="38"/>
        <v>52378</v>
      </c>
      <c r="P83" s="16">
        <v>530800011</v>
      </c>
    </row>
    <row r="84" spans="1:16" ht="16.5" customHeight="1" x14ac:dyDescent="0.3">
      <c r="A84" s="17" t="b">
        <v>1</v>
      </c>
      <c r="B84" s="18" t="str">
        <f t="shared" ref="B84" si="42">"업적 - 수호자 스킬 초기화 누적 횟수 " &amp; J84 &amp; " 회"</f>
        <v>업적 - 수호자 스킬 초기화 누적 횟수 3 회</v>
      </c>
      <c r="C84" s="17">
        <f t="shared" ref="C84" si="43">C83+1</f>
        <v>905221002</v>
      </c>
      <c r="D84" s="17" t="str">
        <f t="shared" ref="D84" si="44">C83</f>
        <v>905221001</v>
      </c>
      <c r="E84" s="16">
        <v>0</v>
      </c>
      <c r="F84" s="91" t="s">
        <v>1105</v>
      </c>
      <c r="G84" s="17">
        <f>G83</f>
        <v>5</v>
      </c>
      <c r="H84" s="17">
        <f t="shared" ref="H84:I84" si="45">H83</f>
        <v>2</v>
      </c>
      <c r="I84" s="17">
        <f t="shared" si="45"/>
        <v>2</v>
      </c>
      <c r="J84" s="17">
        <f>'Achievement Reward Base'!B113</f>
        <v>3</v>
      </c>
      <c r="K84" s="17" t="str">
        <f t="shared" ref="K84" si="46">K83</f>
        <v>160001001</v>
      </c>
      <c r="L84" s="17">
        <f>'Achievement Reward Base'!D113</f>
        <v>10000</v>
      </c>
      <c r="M84" s="21" t="s">
        <v>18</v>
      </c>
      <c r="N84" s="17">
        <f t="shared" si="38"/>
        <v>51379</v>
      </c>
      <c r="O84" s="17">
        <f t="shared" si="38"/>
        <v>52379</v>
      </c>
      <c r="P84" s="21">
        <f>P83</f>
        <v>530800011</v>
      </c>
    </row>
    <row r="85" spans="1:16" ht="16.5" customHeight="1" x14ac:dyDescent="0.3">
      <c r="A85" s="12" t="b">
        <v>1</v>
      </c>
      <c r="B85" s="19" t="str">
        <f>"업적 - 수호석 획득 누적 갯수 " &amp; J85&amp; "개"</f>
        <v>업적 - 수호석 획득 누적 갯수 1개</v>
      </c>
      <c r="C85" s="16" t="str">
        <f>90&amp;G85&amp;H85&amp;I85&amp;1001</f>
        <v>903311001</v>
      </c>
      <c r="D85" s="16">
        <v>0</v>
      </c>
      <c r="E85" s="12">
        <f t="shared" ref="E85:E90" si="47">C86</f>
        <v>903311002</v>
      </c>
      <c r="F85" s="93" t="s">
        <v>1104</v>
      </c>
      <c r="G85" s="16">
        <v>3</v>
      </c>
      <c r="H85" s="16">
        <v>3</v>
      </c>
      <c r="I85" s="16">
        <v>1</v>
      </c>
      <c r="J85" s="16">
        <f>'Achievement Reward Base'!B114</f>
        <v>1</v>
      </c>
      <c r="K85" s="16" t="str">
        <f>IF(M85="Gem","160001002",IF(M85="Gold","160001001"))</f>
        <v>160001002</v>
      </c>
      <c r="L85" s="16">
        <f>'Achievement Reward Base'!D114</f>
        <v>10</v>
      </c>
      <c r="M85" s="12" t="s">
        <v>55</v>
      </c>
      <c r="N85" s="16">
        <f t="shared" si="38"/>
        <v>51380</v>
      </c>
      <c r="O85" s="16">
        <f t="shared" si="38"/>
        <v>52380</v>
      </c>
      <c r="P85" s="16">
        <v>530800013</v>
      </c>
    </row>
    <row r="86" spans="1:16" ht="16.5" customHeight="1" x14ac:dyDescent="0.3">
      <c r="A86" s="12" t="b">
        <v>1</v>
      </c>
      <c r="B86" s="19" t="str">
        <f t="shared" ref="B86:B91" si="48">"업적 - 수호석 획득 누적 갯수 " &amp; J86&amp; "개"</f>
        <v>업적 - 수호석 획득 누적 갯수 3개</v>
      </c>
      <c r="C86" s="12">
        <f t="shared" ref="C86:C91" si="49">C85+1</f>
        <v>903311002</v>
      </c>
      <c r="D86" s="12" t="str">
        <f t="shared" ref="D86:D91" si="50">C85</f>
        <v>903311001</v>
      </c>
      <c r="E86" s="12">
        <f t="shared" si="47"/>
        <v>903311003</v>
      </c>
      <c r="F86" s="93" t="s">
        <v>1104</v>
      </c>
      <c r="G86" s="12">
        <f>G85</f>
        <v>3</v>
      </c>
      <c r="H86" s="12">
        <f t="shared" ref="H86:I91" si="51">H85</f>
        <v>3</v>
      </c>
      <c r="I86" s="12">
        <f t="shared" si="51"/>
        <v>1</v>
      </c>
      <c r="J86" s="14">
        <f>'Achievement Reward Base'!B115</f>
        <v>3</v>
      </c>
      <c r="K86" s="14" t="str">
        <f t="shared" ref="K86:K91" si="52">K85</f>
        <v>160001002</v>
      </c>
      <c r="L86" s="14">
        <f>'Achievement Reward Base'!D115</f>
        <v>20</v>
      </c>
      <c r="M86" s="12" t="s">
        <v>55</v>
      </c>
      <c r="N86" s="14">
        <f t="shared" si="38"/>
        <v>51381</v>
      </c>
      <c r="O86" s="14">
        <f t="shared" si="38"/>
        <v>52381</v>
      </c>
      <c r="P86" s="20">
        <f t="shared" ref="P86:P91" si="53">P85</f>
        <v>530800013</v>
      </c>
    </row>
    <row r="87" spans="1:16" ht="16.5" customHeight="1" x14ac:dyDescent="0.3">
      <c r="A87" s="12" t="b">
        <v>1</v>
      </c>
      <c r="B87" s="19" t="str">
        <f t="shared" si="48"/>
        <v>업적 - 수호석 획득 누적 갯수 5개</v>
      </c>
      <c r="C87" s="12">
        <f t="shared" si="49"/>
        <v>903311003</v>
      </c>
      <c r="D87" s="12">
        <f t="shared" si="50"/>
        <v>903311002</v>
      </c>
      <c r="E87" s="12">
        <f t="shared" si="47"/>
        <v>903311004</v>
      </c>
      <c r="F87" s="93" t="s">
        <v>1104</v>
      </c>
      <c r="G87" s="12">
        <f t="shared" ref="G87:G91" si="54">G86</f>
        <v>3</v>
      </c>
      <c r="H87" s="12">
        <f t="shared" si="51"/>
        <v>3</v>
      </c>
      <c r="I87" s="12">
        <f t="shared" si="51"/>
        <v>1</v>
      </c>
      <c r="J87" s="14">
        <f>'Achievement Reward Base'!B116</f>
        <v>5</v>
      </c>
      <c r="K87" s="14" t="str">
        <f t="shared" si="52"/>
        <v>160001002</v>
      </c>
      <c r="L87" s="14">
        <f>'Achievement Reward Base'!D116</f>
        <v>30</v>
      </c>
      <c r="M87" s="12" t="s">
        <v>55</v>
      </c>
      <c r="N87" s="14">
        <f t="shared" si="38"/>
        <v>51382</v>
      </c>
      <c r="O87" s="14">
        <f t="shared" si="38"/>
        <v>52382</v>
      </c>
      <c r="P87" s="20">
        <f t="shared" si="53"/>
        <v>530800013</v>
      </c>
    </row>
    <row r="88" spans="1:16" ht="16.5" customHeight="1" x14ac:dyDescent="0.3">
      <c r="A88" s="12" t="b">
        <v>1</v>
      </c>
      <c r="B88" s="19" t="str">
        <f t="shared" si="48"/>
        <v>업적 - 수호석 획득 누적 갯수 7개</v>
      </c>
      <c r="C88" s="12">
        <f t="shared" si="49"/>
        <v>903311004</v>
      </c>
      <c r="D88" s="12">
        <f t="shared" si="50"/>
        <v>903311003</v>
      </c>
      <c r="E88" s="12">
        <f t="shared" si="47"/>
        <v>903311005</v>
      </c>
      <c r="F88" s="93" t="s">
        <v>1104</v>
      </c>
      <c r="G88" s="12">
        <f t="shared" si="54"/>
        <v>3</v>
      </c>
      <c r="H88" s="12">
        <f t="shared" si="51"/>
        <v>3</v>
      </c>
      <c r="I88" s="12">
        <f t="shared" si="51"/>
        <v>1</v>
      </c>
      <c r="J88" s="14">
        <f>'Achievement Reward Base'!B117</f>
        <v>7</v>
      </c>
      <c r="K88" s="14" t="str">
        <f t="shared" si="52"/>
        <v>160001002</v>
      </c>
      <c r="L88" s="14">
        <f>'Achievement Reward Base'!D117</f>
        <v>40</v>
      </c>
      <c r="M88" s="12" t="s">
        <v>55</v>
      </c>
      <c r="N88" s="14">
        <f t="shared" si="38"/>
        <v>51383</v>
      </c>
      <c r="O88" s="14">
        <f t="shared" si="38"/>
        <v>52383</v>
      </c>
      <c r="P88" s="20">
        <f t="shared" si="53"/>
        <v>530800013</v>
      </c>
    </row>
    <row r="89" spans="1:16" ht="16.5" customHeight="1" x14ac:dyDescent="0.3">
      <c r="A89" s="12" t="b">
        <v>1</v>
      </c>
      <c r="B89" s="19" t="str">
        <f t="shared" si="48"/>
        <v>업적 - 수호석 획득 누적 갯수 10개</v>
      </c>
      <c r="C89" s="12">
        <f t="shared" si="49"/>
        <v>903311005</v>
      </c>
      <c r="D89" s="12">
        <f t="shared" si="50"/>
        <v>903311004</v>
      </c>
      <c r="E89" s="12">
        <f t="shared" si="47"/>
        <v>903311006</v>
      </c>
      <c r="F89" s="93" t="s">
        <v>1104</v>
      </c>
      <c r="G89" s="12">
        <f t="shared" si="54"/>
        <v>3</v>
      </c>
      <c r="H89" s="12">
        <f t="shared" si="51"/>
        <v>3</v>
      </c>
      <c r="I89" s="12">
        <f t="shared" si="51"/>
        <v>1</v>
      </c>
      <c r="J89" s="14">
        <f>'Achievement Reward Base'!B118</f>
        <v>10</v>
      </c>
      <c r="K89" s="14" t="str">
        <f t="shared" si="52"/>
        <v>160001002</v>
      </c>
      <c r="L89" s="14">
        <f>'Achievement Reward Base'!D118</f>
        <v>50</v>
      </c>
      <c r="M89" s="12" t="s">
        <v>55</v>
      </c>
      <c r="N89" s="14">
        <f t="shared" si="38"/>
        <v>51384</v>
      </c>
      <c r="O89" s="14">
        <f t="shared" si="38"/>
        <v>52384</v>
      </c>
      <c r="P89" s="20">
        <f t="shared" si="53"/>
        <v>530800013</v>
      </c>
    </row>
    <row r="90" spans="1:16" ht="16.5" customHeight="1" x14ac:dyDescent="0.3">
      <c r="A90" s="12" t="b">
        <v>1</v>
      </c>
      <c r="B90" s="19" t="str">
        <f t="shared" si="48"/>
        <v>업적 - 수호석 획득 누적 갯수 12개</v>
      </c>
      <c r="C90" s="12">
        <f t="shared" si="49"/>
        <v>903311006</v>
      </c>
      <c r="D90" s="12">
        <f t="shared" si="50"/>
        <v>903311005</v>
      </c>
      <c r="E90" s="12">
        <f t="shared" si="47"/>
        <v>903311007</v>
      </c>
      <c r="F90" s="93" t="s">
        <v>1104</v>
      </c>
      <c r="G90" s="12">
        <f t="shared" si="54"/>
        <v>3</v>
      </c>
      <c r="H90" s="12">
        <f t="shared" si="51"/>
        <v>3</v>
      </c>
      <c r="I90" s="12">
        <f t="shared" si="51"/>
        <v>1</v>
      </c>
      <c r="J90" s="14">
        <f>'Achievement Reward Base'!B119</f>
        <v>12</v>
      </c>
      <c r="K90" s="14" t="str">
        <f t="shared" si="52"/>
        <v>160001002</v>
      </c>
      <c r="L90" s="14">
        <f>'Achievement Reward Base'!D119</f>
        <v>75</v>
      </c>
      <c r="M90" s="12" t="s">
        <v>55</v>
      </c>
      <c r="N90" s="14">
        <f t="shared" si="38"/>
        <v>51385</v>
      </c>
      <c r="O90" s="14">
        <f t="shared" si="38"/>
        <v>52385</v>
      </c>
      <c r="P90" s="20">
        <f t="shared" si="53"/>
        <v>530800013</v>
      </c>
    </row>
    <row r="91" spans="1:16" ht="16.5" customHeight="1" x14ac:dyDescent="0.3">
      <c r="A91" s="12" t="b">
        <v>1</v>
      </c>
      <c r="B91" s="19" t="str">
        <f t="shared" si="48"/>
        <v>업적 - 수호석 획득 누적 갯수 15개</v>
      </c>
      <c r="C91" s="12">
        <f t="shared" si="49"/>
        <v>903311007</v>
      </c>
      <c r="D91" s="12">
        <f t="shared" si="50"/>
        <v>903311006</v>
      </c>
      <c r="E91" s="16">
        <v>0</v>
      </c>
      <c r="F91" s="93" t="s">
        <v>1104</v>
      </c>
      <c r="G91" s="12">
        <f t="shared" si="54"/>
        <v>3</v>
      </c>
      <c r="H91" s="12">
        <f t="shared" si="51"/>
        <v>3</v>
      </c>
      <c r="I91" s="12">
        <f t="shared" si="51"/>
        <v>1</v>
      </c>
      <c r="J91" s="14">
        <f>'Achievement Reward Base'!B120</f>
        <v>15</v>
      </c>
      <c r="K91" s="14" t="str">
        <f t="shared" si="52"/>
        <v>160001002</v>
      </c>
      <c r="L91" s="14">
        <f>'Achievement Reward Base'!D120</f>
        <v>100</v>
      </c>
      <c r="M91" s="12" t="s">
        <v>55</v>
      </c>
      <c r="N91" s="14">
        <f t="shared" si="38"/>
        <v>51386</v>
      </c>
      <c r="O91" s="14">
        <f t="shared" si="38"/>
        <v>52386</v>
      </c>
      <c r="P91" s="20">
        <f t="shared" si="53"/>
        <v>530800013</v>
      </c>
    </row>
    <row r="92" spans="1:16" ht="16.5" customHeight="1" x14ac:dyDescent="0.3">
      <c r="A92" s="17" t="b">
        <v>1</v>
      </c>
      <c r="B92" s="18" t="str">
        <f>"업적 - 수호석 업그레이드 단계별 달성 " &amp; "Lv."&amp; J92</f>
        <v>업적 - 수호석 업그레이드 단계별 달성 Lv.1</v>
      </c>
      <c r="C92" s="16" t="str">
        <f>90&amp;G92&amp;H92&amp;I92&amp;1001</f>
        <v>906111001</v>
      </c>
      <c r="D92" s="16">
        <v>0</v>
      </c>
      <c r="E92" s="17">
        <f t="shared" ref="E92:E112" si="55">C93</f>
        <v>906111002</v>
      </c>
      <c r="F92" s="91" t="s">
        <v>1104</v>
      </c>
      <c r="G92" s="16">
        <v>6</v>
      </c>
      <c r="H92" s="16">
        <v>1</v>
      </c>
      <c r="I92" s="16">
        <v>1</v>
      </c>
      <c r="J92" s="16">
        <f>'Achievement Reward Base'!B121</f>
        <v>1</v>
      </c>
      <c r="K92" s="16" t="str">
        <f>IF(M92="Gem","160001002",IF(M92="Gold","160001001"))</f>
        <v>160001001</v>
      </c>
      <c r="L92" s="16">
        <f>'Achievement Reward Base'!D121</f>
        <v>2000</v>
      </c>
      <c r="M92" s="21" t="s">
        <v>18</v>
      </c>
      <c r="N92" s="16">
        <f t="shared" si="38"/>
        <v>51387</v>
      </c>
      <c r="O92" s="16">
        <f t="shared" si="38"/>
        <v>52387</v>
      </c>
      <c r="P92" s="16">
        <v>530800013</v>
      </c>
    </row>
    <row r="93" spans="1:16" ht="16.5" customHeight="1" x14ac:dyDescent="0.3">
      <c r="A93" s="17" t="b">
        <v>1</v>
      </c>
      <c r="B93" s="18" t="str">
        <f t="shared" ref="B93:B113" si="56">"업적 - 수호석 업그레이드 단계별 달성 " &amp; "Lv."&amp; J93</f>
        <v>업적 - 수호석 업그레이드 단계별 달성 Lv.5</v>
      </c>
      <c r="C93" s="17">
        <f t="shared" ref="C93:C113" si="57">C92+1</f>
        <v>906111002</v>
      </c>
      <c r="D93" s="17" t="str">
        <f t="shared" ref="D93:D113" si="58">C92</f>
        <v>906111001</v>
      </c>
      <c r="E93" s="17">
        <f t="shared" si="55"/>
        <v>906111003</v>
      </c>
      <c r="F93" s="91" t="s">
        <v>1104</v>
      </c>
      <c r="G93" s="17">
        <f>G92</f>
        <v>6</v>
      </c>
      <c r="H93" s="17">
        <f t="shared" ref="H93:I108" si="59">H92</f>
        <v>1</v>
      </c>
      <c r="I93" s="17">
        <f t="shared" si="59"/>
        <v>1</v>
      </c>
      <c r="J93" s="17">
        <f>'Achievement Reward Base'!B122</f>
        <v>5</v>
      </c>
      <c r="K93" s="17" t="str">
        <f t="shared" ref="K93:K113" si="60">K92</f>
        <v>160001001</v>
      </c>
      <c r="L93" s="17">
        <f>'Achievement Reward Base'!D122</f>
        <v>4000</v>
      </c>
      <c r="M93" s="21" t="s">
        <v>18</v>
      </c>
      <c r="N93" s="17">
        <f t="shared" si="38"/>
        <v>51388</v>
      </c>
      <c r="O93" s="17">
        <f t="shared" si="38"/>
        <v>52388</v>
      </c>
      <c r="P93" s="21">
        <f t="shared" ref="P93:P113" si="61">P92</f>
        <v>530800013</v>
      </c>
    </row>
    <row r="94" spans="1:16" ht="16.5" customHeight="1" x14ac:dyDescent="0.3">
      <c r="A94" s="17" t="b">
        <v>1</v>
      </c>
      <c r="B94" s="18" t="str">
        <f t="shared" si="56"/>
        <v>업적 - 수호석 업그레이드 단계별 달성 Lv.10</v>
      </c>
      <c r="C94" s="17">
        <f t="shared" si="57"/>
        <v>906111003</v>
      </c>
      <c r="D94" s="17">
        <f t="shared" si="58"/>
        <v>906111002</v>
      </c>
      <c r="E94" s="17">
        <f t="shared" si="55"/>
        <v>906111004</v>
      </c>
      <c r="F94" s="91" t="s">
        <v>1104</v>
      </c>
      <c r="G94" s="17">
        <f t="shared" ref="G94:I109" si="62">G93</f>
        <v>6</v>
      </c>
      <c r="H94" s="17">
        <f t="shared" si="59"/>
        <v>1</v>
      </c>
      <c r="I94" s="17">
        <f t="shared" si="59"/>
        <v>1</v>
      </c>
      <c r="J94" s="17">
        <f>'Achievement Reward Base'!B123</f>
        <v>10</v>
      </c>
      <c r="K94" s="17" t="str">
        <f t="shared" si="60"/>
        <v>160001001</v>
      </c>
      <c r="L94" s="17">
        <f>'Achievement Reward Base'!D123</f>
        <v>6000</v>
      </c>
      <c r="M94" s="21" t="s">
        <v>18</v>
      </c>
      <c r="N94" s="17">
        <f t="shared" si="38"/>
        <v>51389</v>
      </c>
      <c r="O94" s="17">
        <f t="shared" si="38"/>
        <v>52389</v>
      </c>
      <c r="P94" s="21">
        <f t="shared" si="61"/>
        <v>530800013</v>
      </c>
    </row>
    <row r="95" spans="1:16" ht="16.5" customHeight="1" x14ac:dyDescent="0.3">
      <c r="A95" s="17" t="b">
        <v>1</v>
      </c>
      <c r="B95" s="18" t="str">
        <f t="shared" si="56"/>
        <v>업적 - 수호석 업그레이드 단계별 달성 Lv.20</v>
      </c>
      <c r="C95" s="17">
        <f t="shared" si="57"/>
        <v>906111004</v>
      </c>
      <c r="D95" s="17">
        <f t="shared" si="58"/>
        <v>906111003</v>
      </c>
      <c r="E95" s="17">
        <f t="shared" si="55"/>
        <v>906111005</v>
      </c>
      <c r="F95" s="91" t="s">
        <v>1104</v>
      </c>
      <c r="G95" s="17">
        <f t="shared" si="62"/>
        <v>6</v>
      </c>
      <c r="H95" s="17">
        <f t="shared" si="59"/>
        <v>1</v>
      </c>
      <c r="I95" s="17">
        <f t="shared" si="59"/>
        <v>1</v>
      </c>
      <c r="J95" s="17">
        <f>'Achievement Reward Base'!B124</f>
        <v>20</v>
      </c>
      <c r="K95" s="17" t="str">
        <f t="shared" si="60"/>
        <v>160001001</v>
      </c>
      <c r="L95" s="17">
        <f>'Achievement Reward Base'!D124</f>
        <v>8000</v>
      </c>
      <c r="M95" s="21" t="s">
        <v>18</v>
      </c>
      <c r="N95" s="17">
        <f t="shared" si="38"/>
        <v>51390</v>
      </c>
      <c r="O95" s="17">
        <f t="shared" si="38"/>
        <v>52390</v>
      </c>
      <c r="P95" s="21">
        <f t="shared" si="61"/>
        <v>530800013</v>
      </c>
    </row>
    <row r="96" spans="1:16" ht="16.5" customHeight="1" x14ac:dyDescent="0.3">
      <c r="A96" s="17" t="b">
        <v>1</v>
      </c>
      <c r="B96" s="18" t="str">
        <f t="shared" si="56"/>
        <v>업적 - 수호석 업그레이드 단계별 달성 Lv.30</v>
      </c>
      <c r="C96" s="17">
        <f t="shared" si="57"/>
        <v>906111005</v>
      </c>
      <c r="D96" s="17">
        <f t="shared" si="58"/>
        <v>906111004</v>
      </c>
      <c r="E96" s="17">
        <f t="shared" si="55"/>
        <v>906111006</v>
      </c>
      <c r="F96" s="91" t="s">
        <v>1104</v>
      </c>
      <c r="G96" s="17">
        <f t="shared" si="62"/>
        <v>6</v>
      </c>
      <c r="H96" s="17">
        <f t="shared" si="59"/>
        <v>1</v>
      </c>
      <c r="I96" s="17">
        <f t="shared" si="59"/>
        <v>1</v>
      </c>
      <c r="J96" s="17">
        <f>'Achievement Reward Base'!B125</f>
        <v>30</v>
      </c>
      <c r="K96" s="17" t="str">
        <f t="shared" si="60"/>
        <v>160001001</v>
      </c>
      <c r="L96" s="17">
        <f>'Achievement Reward Base'!D125</f>
        <v>10000</v>
      </c>
      <c r="M96" s="21" t="s">
        <v>18</v>
      </c>
      <c r="N96" s="17">
        <f t="shared" si="38"/>
        <v>51391</v>
      </c>
      <c r="O96" s="17">
        <f t="shared" si="38"/>
        <v>52391</v>
      </c>
      <c r="P96" s="21">
        <f t="shared" si="61"/>
        <v>530800013</v>
      </c>
    </row>
    <row r="97" spans="1:16" ht="16.5" customHeight="1" x14ac:dyDescent="0.3">
      <c r="A97" s="17" t="b">
        <v>1</v>
      </c>
      <c r="B97" s="18" t="str">
        <f t="shared" si="56"/>
        <v>업적 - 수호석 업그레이드 단계별 달성 Lv.40</v>
      </c>
      <c r="C97" s="17">
        <f t="shared" si="57"/>
        <v>906111006</v>
      </c>
      <c r="D97" s="17">
        <f t="shared" si="58"/>
        <v>906111005</v>
      </c>
      <c r="E97" s="17">
        <f t="shared" si="55"/>
        <v>906111007</v>
      </c>
      <c r="F97" s="91" t="s">
        <v>1104</v>
      </c>
      <c r="G97" s="17">
        <f t="shared" si="62"/>
        <v>6</v>
      </c>
      <c r="H97" s="17">
        <f t="shared" si="59"/>
        <v>1</v>
      </c>
      <c r="I97" s="17">
        <f t="shared" si="59"/>
        <v>1</v>
      </c>
      <c r="J97" s="17">
        <f>'Achievement Reward Base'!B126</f>
        <v>40</v>
      </c>
      <c r="K97" s="17" t="str">
        <f t="shared" si="60"/>
        <v>160001001</v>
      </c>
      <c r="L97" s="17">
        <f>'Achievement Reward Base'!D126</f>
        <v>15000</v>
      </c>
      <c r="M97" s="21" t="s">
        <v>18</v>
      </c>
      <c r="N97" s="17">
        <f t="shared" si="38"/>
        <v>51392</v>
      </c>
      <c r="O97" s="17">
        <f t="shared" si="38"/>
        <v>52392</v>
      </c>
      <c r="P97" s="21">
        <f t="shared" si="61"/>
        <v>530800013</v>
      </c>
    </row>
    <row r="98" spans="1:16" ht="16.5" customHeight="1" x14ac:dyDescent="0.3">
      <c r="A98" s="17" t="b">
        <v>1</v>
      </c>
      <c r="B98" s="18" t="str">
        <f t="shared" si="56"/>
        <v>업적 - 수호석 업그레이드 단계별 달성 Lv.50</v>
      </c>
      <c r="C98" s="17">
        <f t="shared" si="57"/>
        <v>906111007</v>
      </c>
      <c r="D98" s="17">
        <f t="shared" si="58"/>
        <v>906111006</v>
      </c>
      <c r="E98" s="17">
        <f t="shared" si="55"/>
        <v>906111008</v>
      </c>
      <c r="F98" s="91" t="s">
        <v>1104</v>
      </c>
      <c r="G98" s="17">
        <f t="shared" si="62"/>
        <v>6</v>
      </c>
      <c r="H98" s="17">
        <f t="shared" si="59"/>
        <v>1</v>
      </c>
      <c r="I98" s="17">
        <f t="shared" si="59"/>
        <v>1</v>
      </c>
      <c r="J98" s="17">
        <f>'Achievement Reward Base'!B127</f>
        <v>50</v>
      </c>
      <c r="K98" s="17" t="str">
        <f t="shared" si="60"/>
        <v>160001001</v>
      </c>
      <c r="L98" s="17">
        <f>'Achievement Reward Base'!D127</f>
        <v>20000</v>
      </c>
      <c r="M98" s="21" t="s">
        <v>18</v>
      </c>
      <c r="N98" s="17">
        <f t="shared" si="38"/>
        <v>51393</v>
      </c>
      <c r="O98" s="17">
        <f t="shared" si="38"/>
        <v>52393</v>
      </c>
      <c r="P98" s="21">
        <f t="shared" si="61"/>
        <v>530800013</v>
      </c>
    </row>
    <row r="99" spans="1:16" ht="16.5" customHeight="1" x14ac:dyDescent="0.3">
      <c r="A99" s="17" t="b">
        <v>1</v>
      </c>
      <c r="B99" s="18" t="str">
        <f t="shared" si="56"/>
        <v>업적 - 수호석 업그레이드 단계별 달성 Lv.60</v>
      </c>
      <c r="C99" s="17">
        <f t="shared" si="57"/>
        <v>906111008</v>
      </c>
      <c r="D99" s="17">
        <f t="shared" si="58"/>
        <v>906111007</v>
      </c>
      <c r="E99" s="17">
        <f t="shared" si="55"/>
        <v>906111009</v>
      </c>
      <c r="F99" s="91" t="s">
        <v>1104</v>
      </c>
      <c r="G99" s="17">
        <f t="shared" si="62"/>
        <v>6</v>
      </c>
      <c r="H99" s="17">
        <f t="shared" si="59"/>
        <v>1</v>
      </c>
      <c r="I99" s="17">
        <f t="shared" si="59"/>
        <v>1</v>
      </c>
      <c r="J99" s="17">
        <f>'Achievement Reward Base'!B128</f>
        <v>60</v>
      </c>
      <c r="K99" s="17" t="str">
        <f t="shared" si="60"/>
        <v>160001001</v>
      </c>
      <c r="L99" s="17">
        <f>'Achievement Reward Base'!D128</f>
        <v>25000</v>
      </c>
      <c r="M99" s="21" t="s">
        <v>18</v>
      </c>
      <c r="N99" s="17">
        <f t="shared" si="38"/>
        <v>51394</v>
      </c>
      <c r="O99" s="17">
        <f t="shared" si="38"/>
        <v>52394</v>
      </c>
      <c r="P99" s="21">
        <f t="shared" si="61"/>
        <v>530800013</v>
      </c>
    </row>
    <row r="100" spans="1:16" ht="16.5" customHeight="1" x14ac:dyDescent="0.3">
      <c r="A100" s="17" t="b">
        <v>1</v>
      </c>
      <c r="B100" s="18" t="str">
        <f t="shared" si="56"/>
        <v>업적 - 수호석 업그레이드 단계별 달성 Lv.70</v>
      </c>
      <c r="C100" s="17">
        <f t="shared" si="57"/>
        <v>906111009</v>
      </c>
      <c r="D100" s="17">
        <f t="shared" si="58"/>
        <v>906111008</v>
      </c>
      <c r="E100" s="17">
        <f t="shared" si="55"/>
        <v>906111010</v>
      </c>
      <c r="F100" s="91" t="s">
        <v>1104</v>
      </c>
      <c r="G100" s="17">
        <f t="shared" si="62"/>
        <v>6</v>
      </c>
      <c r="H100" s="17">
        <f t="shared" si="59"/>
        <v>1</v>
      </c>
      <c r="I100" s="17">
        <f t="shared" si="59"/>
        <v>1</v>
      </c>
      <c r="J100" s="17">
        <f>'Achievement Reward Base'!B129</f>
        <v>70</v>
      </c>
      <c r="K100" s="17" t="str">
        <f t="shared" si="60"/>
        <v>160001001</v>
      </c>
      <c r="L100" s="17">
        <f>'Achievement Reward Base'!D129</f>
        <v>30000</v>
      </c>
      <c r="M100" s="21" t="s">
        <v>18</v>
      </c>
      <c r="N100" s="17">
        <f t="shared" si="38"/>
        <v>51395</v>
      </c>
      <c r="O100" s="17">
        <f t="shared" si="38"/>
        <v>52395</v>
      </c>
      <c r="P100" s="21">
        <f t="shared" si="61"/>
        <v>530800013</v>
      </c>
    </row>
    <row r="101" spans="1:16" ht="16.5" customHeight="1" x14ac:dyDescent="0.3">
      <c r="A101" s="17" t="b">
        <v>1</v>
      </c>
      <c r="B101" s="18" t="str">
        <f t="shared" si="56"/>
        <v>업적 - 수호석 업그레이드 단계별 달성 Lv.80</v>
      </c>
      <c r="C101" s="17">
        <f t="shared" si="57"/>
        <v>906111010</v>
      </c>
      <c r="D101" s="17">
        <f t="shared" si="58"/>
        <v>906111009</v>
      </c>
      <c r="E101" s="17">
        <f t="shared" si="55"/>
        <v>906111011</v>
      </c>
      <c r="F101" s="91" t="s">
        <v>1104</v>
      </c>
      <c r="G101" s="17">
        <f t="shared" si="62"/>
        <v>6</v>
      </c>
      <c r="H101" s="17">
        <f t="shared" si="59"/>
        <v>1</v>
      </c>
      <c r="I101" s="17">
        <f t="shared" si="59"/>
        <v>1</v>
      </c>
      <c r="J101" s="17">
        <f>'Achievement Reward Base'!B130</f>
        <v>80</v>
      </c>
      <c r="K101" s="17" t="str">
        <f t="shared" si="60"/>
        <v>160001001</v>
      </c>
      <c r="L101" s="17">
        <f>'Achievement Reward Base'!D130</f>
        <v>40000</v>
      </c>
      <c r="M101" s="21" t="s">
        <v>18</v>
      </c>
      <c r="N101" s="17">
        <f t="shared" si="38"/>
        <v>51396</v>
      </c>
      <c r="O101" s="17">
        <f t="shared" si="38"/>
        <v>52396</v>
      </c>
      <c r="P101" s="21">
        <f t="shared" si="61"/>
        <v>530800013</v>
      </c>
    </row>
    <row r="102" spans="1:16" ht="16.5" customHeight="1" x14ac:dyDescent="0.3">
      <c r="A102" s="17" t="b">
        <v>1</v>
      </c>
      <c r="B102" s="18" t="str">
        <f t="shared" si="56"/>
        <v>업적 - 수호석 업그레이드 단계별 달성 Lv.90</v>
      </c>
      <c r="C102" s="17">
        <f t="shared" si="57"/>
        <v>906111011</v>
      </c>
      <c r="D102" s="17">
        <f t="shared" si="58"/>
        <v>906111010</v>
      </c>
      <c r="E102" s="17">
        <f t="shared" si="55"/>
        <v>906111012</v>
      </c>
      <c r="F102" s="91" t="s">
        <v>1104</v>
      </c>
      <c r="G102" s="17">
        <f t="shared" si="62"/>
        <v>6</v>
      </c>
      <c r="H102" s="17">
        <f t="shared" si="59"/>
        <v>1</v>
      </c>
      <c r="I102" s="17">
        <f t="shared" si="59"/>
        <v>1</v>
      </c>
      <c r="J102" s="17">
        <f>'Achievement Reward Base'!B131</f>
        <v>90</v>
      </c>
      <c r="K102" s="17" t="str">
        <f t="shared" si="60"/>
        <v>160001001</v>
      </c>
      <c r="L102" s="17">
        <f>'Achievement Reward Base'!D131</f>
        <v>50000</v>
      </c>
      <c r="M102" s="21" t="s">
        <v>18</v>
      </c>
      <c r="N102" s="17">
        <f t="shared" si="38"/>
        <v>51397</v>
      </c>
      <c r="O102" s="17">
        <f t="shared" si="38"/>
        <v>52397</v>
      </c>
      <c r="P102" s="21">
        <f t="shared" si="61"/>
        <v>530800013</v>
      </c>
    </row>
    <row r="103" spans="1:16" ht="16.5" customHeight="1" x14ac:dyDescent="0.3">
      <c r="A103" s="17" t="b">
        <v>1</v>
      </c>
      <c r="B103" s="18" t="str">
        <f t="shared" si="56"/>
        <v>업적 - 수호석 업그레이드 단계별 달성 Lv.100</v>
      </c>
      <c r="C103" s="17">
        <f t="shared" si="57"/>
        <v>906111012</v>
      </c>
      <c r="D103" s="17">
        <f t="shared" si="58"/>
        <v>906111011</v>
      </c>
      <c r="E103" s="17">
        <f t="shared" si="55"/>
        <v>906111013</v>
      </c>
      <c r="F103" s="91" t="s">
        <v>1104</v>
      </c>
      <c r="G103" s="17">
        <f t="shared" si="62"/>
        <v>6</v>
      </c>
      <c r="H103" s="17">
        <f t="shared" si="59"/>
        <v>1</v>
      </c>
      <c r="I103" s="17">
        <f t="shared" si="59"/>
        <v>1</v>
      </c>
      <c r="J103" s="17">
        <f>'Achievement Reward Base'!B132</f>
        <v>100</v>
      </c>
      <c r="K103" s="17" t="str">
        <f t="shared" si="60"/>
        <v>160001001</v>
      </c>
      <c r="L103" s="17">
        <f>'Achievement Reward Base'!D132</f>
        <v>75000</v>
      </c>
      <c r="M103" s="21" t="s">
        <v>18</v>
      </c>
      <c r="N103" s="17">
        <f t="shared" si="38"/>
        <v>51398</v>
      </c>
      <c r="O103" s="17">
        <f t="shared" si="38"/>
        <v>52398</v>
      </c>
      <c r="P103" s="21">
        <f t="shared" si="61"/>
        <v>530800013</v>
      </c>
    </row>
    <row r="104" spans="1:16" ht="16.5" customHeight="1" x14ac:dyDescent="0.3">
      <c r="A104" s="17" t="b">
        <v>1</v>
      </c>
      <c r="B104" s="18" t="str">
        <f t="shared" si="56"/>
        <v>업적 - 수호석 업그레이드 단계별 달성 Lv.110</v>
      </c>
      <c r="C104" s="17">
        <f t="shared" si="57"/>
        <v>906111013</v>
      </c>
      <c r="D104" s="17">
        <f t="shared" si="58"/>
        <v>906111012</v>
      </c>
      <c r="E104" s="17">
        <f t="shared" si="55"/>
        <v>906111014</v>
      </c>
      <c r="F104" s="91" t="s">
        <v>1104</v>
      </c>
      <c r="G104" s="17">
        <f t="shared" si="62"/>
        <v>6</v>
      </c>
      <c r="H104" s="17">
        <f t="shared" si="59"/>
        <v>1</v>
      </c>
      <c r="I104" s="17">
        <f t="shared" si="59"/>
        <v>1</v>
      </c>
      <c r="J104" s="17">
        <f>'Achievement Reward Base'!B133</f>
        <v>110</v>
      </c>
      <c r="K104" s="17" t="str">
        <f t="shared" si="60"/>
        <v>160001001</v>
      </c>
      <c r="L104" s="17">
        <f>'Achievement Reward Base'!D133</f>
        <v>100000</v>
      </c>
      <c r="M104" s="21" t="s">
        <v>18</v>
      </c>
      <c r="N104" s="17">
        <f t="shared" si="38"/>
        <v>51399</v>
      </c>
      <c r="O104" s="17">
        <f t="shared" si="38"/>
        <v>52399</v>
      </c>
      <c r="P104" s="21">
        <f t="shared" si="61"/>
        <v>530800013</v>
      </c>
    </row>
    <row r="105" spans="1:16" ht="16.5" customHeight="1" x14ac:dyDescent="0.3">
      <c r="A105" s="17" t="b">
        <v>1</v>
      </c>
      <c r="B105" s="18" t="str">
        <f t="shared" si="56"/>
        <v>업적 - 수호석 업그레이드 단계별 달성 Lv.120</v>
      </c>
      <c r="C105" s="17">
        <f t="shared" si="57"/>
        <v>906111014</v>
      </c>
      <c r="D105" s="17">
        <f t="shared" si="58"/>
        <v>906111013</v>
      </c>
      <c r="E105" s="17">
        <f t="shared" si="55"/>
        <v>906111015</v>
      </c>
      <c r="F105" s="91" t="s">
        <v>1104</v>
      </c>
      <c r="G105" s="17">
        <f t="shared" si="62"/>
        <v>6</v>
      </c>
      <c r="H105" s="17">
        <f t="shared" si="59"/>
        <v>1</v>
      </c>
      <c r="I105" s="17">
        <f t="shared" si="59"/>
        <v>1</v>
      </c>
      <c r="J105" s="17">
        <f>'Achievement Reward Base'!B134</f>
        <v>120</v>
      </c>
      <c r="K105" s="17" t="str">
        <f t="shared" si="60"/>
        <v>160001001</v>
      </c>
      <c r="L105" s="17">
        <f>'Achievement Reward Base'!D134</f>
        <v>125000</v>
      </c>
      <c r="M105" s="21" t="s">
        <v>18</v>
      </c>
      <c r="N105" s="17">
        <f t="shared" si="38"/>
        <v>51400</v>
      </c>
      <c r="O105" s="17">
        <f t="shared" si="38"/>
        <v>52400</v>
      </c>
      <c r="P105" s="21">
        <f t="shared" si="61"/>
        <v>530800013</v>
      </c>
    </row>
    <row r="106" spans="1:16" ht="16.5" customHeight="1" x14ac:dyDescent="0.3">
      <c r="A106" s="17" t="b">
        <v>1</v>
      </c>
      <c r="B106" s="18" t="str">
        <f t="shared" si="56"/>
        <v>업적 - 수호석 업그레이드 단계별 달성 Lv.130</v>
      </c>
      <c r="C106" s="17">
        <f t="shared" si="57"/>
        <v>906111015</v>
      </c>
      <c r="D106" s="17">
        <f t="shared" si="58"/>
        <v>906111014</v>
      </c>
      <c r="E106" s="17">
        <f t="shared" si="55"/>
        <v>906111016</v>
      </c>
      <c r="F106" s="91" t="s">
        <v>1104</v>
      </c>
      <c r="G106" s="17">
        <f t="shared" si="62"/>
        <v>6</v>
      </c>
      <c r="H106" s="17">
        <f t="shared" si="59"/>
        <v>1</v>
      </c>
      <c r="I106" s="17">
        <f t="shared" si="59"/>
        <v>1</v>
      </c>
      <c r="J106" s="17">
        <f>'Achievement Reward Base'!B135</f>
        <v>130</v>
      </c>
      <c r="K106" s="17" t="str">
        <f t="shared" si="60"/>
        <v>160001001</v>
      </c>
      <c r="L106" s="17">
        <f>'Achievement Reward Base'!D135</f>
        <v>150000</v>
      </c>
      <c r="M106" s="21" t="s">
        <v>18</v>
      </c>
      <c r="N106" s="17">
        <f t="shared" si="38"/>
        <v>51401</v>
      </c>
      <c r="O106" s="17">
        <f t="shared" si="38"/>
        <v>52401</v>
      </c>
      <c r="P106" s="21">
        <f t="shared" si="61"/>
        <v>530800013</v>
      </c>
    </row>
    <row r="107" spans="1:16" ht="16.5" customHeight="1" x14ac:dyDescent="0.3">
      <c r="A107" s="17" t="b">
        <v>1</v>
      </c>
      <c r="B107" s="18" t="str">
        <f t="shared" si="56"/>
        <v>업적 - 수호석 업그레이드 단계별 달성 Lv.140</v>
      </c>
      <c r="C107" s="17">
        <f t="shared" si="57"/>
        <v>906111016</v>
      </c>
      <c r="D107" s="17">
        <f t="shared" si="58"/>
        <v>906111015</v>
      </c>
      <c r="E107" s="17">
        <f t="shared" si="55"/>
        <v>906111017</v>
      </c>
      <c r="F107" s="91" t="s">
        <v>1104</v>
      </c>
      <c r="G107" s="17">
        <f t="shared" si="62"/>
        <v>6</v>
      </c>
      <c r="H107" s="17">
        <f t="shared" si="59"/>
        <v>1</v>
      </c>
      <c r="I107" s="17">
        <f t="shared" si="59"/>
        <v>1</v>
      </c>
      <c r="J107" s="17">
        <f>'Achievement Reward Base'!B136</f>
        <v>140</v>
      </c>
      <c r="K107" s="17" t="str">
        <f t="shared" si="60"/>
        <v>160001001</v>
      </c>
      <c r="L107" s="17">
        <f>'Achievement Reward Base'!D136</f>
        <v>175000</v>
      </c>
      <c r="M107" s="21" t="s">
        <v>18</v>
      </c>
      <c r="N107" s="17">
        <f t="shared" si="38"/>
        <v>51402</v>
      </c>
      <c r="O107" s="17">
        <f t="shared" si="38"/>
        <v>52402</v>
      </c>
      <c r="P107" s="21">
        <f t="shared" si="61"/>
        <v>530800013</v>
      </c>
    </row>
    <row r="108" spans="1:16" ht="16.5" customHeight="1" x14ac:dyDescent="0.3">
      <c r="A108" s="17" t="b">
        <v>1</v>
      </c>
      <c r="B108" s="18" t="str">
        <f t="shared" si="56"/>
        <v>업적 - 수호석 업그레이드 단계별 달성 Lv.150</v>
      </c>
      <c r="C108" s="17">
        <f t="shared" si="57"/>
        <v>906111017</v>
      </c>
      <c r="D108" s="17">
        <f t="shared" si="58"/>
        <v>906111016</v>
      </c>
      <c r="E108" s="17">
        <f t="shared" si="55"/>
        <v>906111018</v>
      </c>
      <c r="F108" s="91" t="s">
        <v>1104</v>
      </c>
      <c r="G108" s="17">
        <f t="shared" si="62"/>
        <v>6</v>
      </c>
      <c r="H108" s="17">
        <f t="shared" si="59"/>
        <v>1</v>
      </c>
      <c r="I108" s="17">
        <f t="shared" si="59"/>
        <v>1</v>
      </c>
      <c r="J108" s="17">
        <f>'Achievement Reward Base'!B137</f>
        <v>150</v>
      </c>
      <c r="K108" s="17" t="str">
        <f t="shared" si="60"/>
        <v>160001001</v>
      </c>
      <c r="L108" s="17">
        <f>'Achievement Reward Base'!D137</f>
        <v>200000</v>
      </c>
      <c r="M108" s="21" t="s">
        <v>18</v>
      </c>
      <c r="N108" s="17">
        <f t="shared" si="38"/>
        <v>51403</v>
      </c>
      <c r="O108" s="17">
        <f t="shared" si="38"/>
        <v>52403</v>
      </c>
      <c r="P108" s="21">
        <f t="shared" si="61"/>
        <v>530800013</v>
      </c>
    </row>
    <row r="109" spans="1:16" ht="16.5" customHeight="1" x14ac:dyDescent="0.3">
      <c r="A109" s="17" t="b">
        <v>1</v>
      </c>
      <c r="B109" s="18" t="str">
        <f t="shared" si="56"/>
        <v>업적 - 수호석 업그레이드 단계별 달성 Lv.160</v>
      </c>
      <c r="C109" s="17">
        <f t="shared" si="57"/>
        <v>906111018</v>
      </c>
      <c r="D109" s="17">
        <f t="shared" si="58"/>
        <v>906111017</v>
      </c>
      <c r="E109" s="17">
        <f t="shared" si="55"/>
        <v>906111019</v>
      </c>
      <c r="F109" s="91" t="s">
        <v>1104</v>
      </c>
      <c r="G109" s="17">
        <f t="shared" si="62"/>
        <v>6</v>
      </c>
      <c r="H109" s="17">
        <f t="shared" si="62"/>
        <v>1</v>
      </c>
      <c r="I109" s="17">
        <f t="shared" si="62"/>
        <v>1</v>
      </c>
      <c r="J109" s="17">
        <f>'Achievement Reward Base'!B138</f>
        <v>160</v>
      </c>
      <c r="K109" s="17" t="str">
        <f t="shared" si="60"/>
        <v>160001001</v>
      </c>
      <c r="L109" s="17">
        <f>'Achievement Reward Base'!D138</f>
        <v>225000</v>
      </c>
      <c r="M109" s="21" t="s">
        <v>18</v>
      </c>
      <c r="N109" s="17">
        <f t="shared" si="38"/>
        <v>51404</v>
      </c>
      <c r="O109" s="17">
        <f t="shared" si="38"/>
        <v>52404</v>
      </c>
      <c r="P109" s="21">
        <f t="shared" si="61"/>
        <v>530800013</v>
      </c>
    </row>
    <row r="110" spans="1:16" ht="16.5" customHeight="1" x14ac:dyDescent="0.3">
      <c r="A110" s="17" t="b">
        <v>1</v>
      </c>
      <c r="B110" s="18" t="str">
        <f t="shared" si="56"/>
        <v>업적 - 수호석 업그레이드 단계별 달성 Lv.170</v>
      </c>
      <c r="C110" s="17">
        <f t="shared" si="57"/>
        <v>906111019</v>
      </c>
      <c r="D110" s="17">
        <f t="shared" si="58"/>
        <v>906111018</v>
      </c>
      <c r="E110" s="17">
        <f t="shared" si="55"/>
        <v>906111020</v>
      </c>
      <c r="F110" s="91" t="s">
        <v>1104</v>
      </c>
      <c r="G110" s="17">
        <f t="shared" ref="G110:I113" si="63">G109</f>
        <v>6</v>
      </c>
      <c r="H110" s="17">
        <f t="shared" si="63"/>
        <v>1</v>
      </c>
      <c r="I110" s="17">
        <f t="shared" si="63"/>
        <v>1</v>
      </c>
      <c r="J110" s="17">
        <f>'Achievement Reward Base'!B139</f>
        <v>170</v>
      </c>
      <c r="K110" s="17" t="str">
        <f t="shared" si="60"/>
        <v>160001001</v>
      </c>
      <c r="L110" s="17">
        <f>'Achievement Reward Base'!D139</f>
        <v>250000</v>
      </c>
      <c r="M110" s="21" t="s">
        <v>18</v>
      </c>
      <c r="N110" s="17">
        <f t="shared" si="38"/>
        <v>51405</v>
      </c>
      <c r="O110" s="17">
        <f t="shared" si="38"/>
        <v>52405</v>
      </c>
      <c r="P110" s="21">
        <f t="shared" si="61"/>
        <v>530800013</v>
      </c>
    </row>
    <row r="111" spans="1:16" ht="16.5" customHeight="1" x14ac:dyDescent="0.3">
      <c r="A111" s="17" t="b">
        <v>1</v>
      </c>
      <c r="B111" s="18" t="str">
        <f t="shared" si="56"/>
        <v>업적 - 수호석 업그레이드 단계별 달성 Lv.180</v>
      </c>
      <c r="C111" s="17">
        <f t="shared" si="57"/>
        <v>906111020</v>
      </c>
      <c r="D111" s="17">
        <f t="shared" si="58"/>
        <v>906111019</v>
      </c>
      <c r="E111" s="17">
        <f t="shared" si="55"/>
        <v>906111021</v>
      </c>
      <c r="F111" s="91" t="s">
        <v>1104</v>
      </c>
      <c r="G111" s="17">
        <f t="shared" si="63"/>
        <v>6</v>
      </c>
      <c r="H111" s="17">
        <f t="shared" si="63"/>
        <v>1</v>
      </c>
      <c r="I111" s="17">
        <f t="shared" si="63"/>
        <v>1</v>
      </c>
      <c r="J111" s="17">
        <f>'Achievement Reward Base'!B140</f>
        <v>180</v>
      </c>
      <c r="K111" s="17" t="str">
        <f t="shared" si="60"/>
        <v>160001001</v>
      </c>
      <c r="L111" s="17">
        <f>'Achievement Reward Base'!D140</f>
        <v>275000</v>
      </c>
      <c r="M111" s="21" t="s">
        <v>18</v>
      </c>
      <c r="N111" s="17">
        <f t="shared" si="38"/>
        <v>51406</v>
      </c>
      <c r="O111" s="17">
        <f t="shared" si="38"/>
        <v>52406</v>
      </c>
      <c r="P111" s="21">
        <f t="shared" si="61"/>
        <v>530800013</v>
      </c>
    </row>
    <row r="112" spans="1:16" ht="16.5" customHeight="1" x14ac:dyDescent="0.3">
      <c r="A112" s="17" t="b">
        <v>1</v>
      </c>
      <c r="B112" s="18" t="str">
        <f t="shared" si="56"/>
        <v>업적 - 수호석 업그레이드 단계별 달성 Lv.190</v>
      </c>
      <c r="C112" s="17">
        <f t="shared" si="57"/>
        <v>906111021</v>
      </c>
      <c r="D112" s="17">
        <f t="shared" si="58"/>
        <v>906111020</v>
      </c>
      <c r="E112" s="17">
        <f t="shared" si="55"/>
        <v>906111022</v>
      </c>
      <c r="F112" s="91" t="s">
        <v>1104</v>
      </c>
      <c r="G112" s="17">
        <f t="shared" si="63"/>
        <v>6</v>
      </c>
      <c r="H112" s="17">
        <f t="shared" si="63"/>
        <v>1</v>
      </c>
      <c r="I112" s="17">
        <f t="shared" si="63"/>
        <v>1</v>
      </c>
      <c r="J112" s="17">
        <f>'Achievement Reward Base'!B141</f>
        <v>190</v>
      </c>
      <c r="K112" s="17" t="str">
        <f t="shared" si="60"/>
        <v>160001001</v>
      </c>
      <c r="L112" s="17">
        <f>'Achievement Reward Base'!D141</f>
        <v>300000</v>
      </c>
      <c r="M112" s="21" t="s">
        <v>18</v>
      </c>
      <c r="N112" s="17">
        <f t="shared" si="38"/>
        <v>51407</v>
      </c>
      <c r="O112" s="17">
        <f t="shared" si="38"/>
        <v>52407</v>
      </c>
      <c r="P112" s="21">
        <f t="shared" si="61"/>
        <v>530800013</v>
      </c>
    </row>
    <row r="113" spans="1:16" ht="16.5" customHeight="1" x14ac:dyDescent="0.3">
      <c r="A113" s="17" t="b">
        <v>1</v>
      </c>
      <c r="B113" s="18" t="str">
        <f t="shared" si="56"/>
        <v>업적 - 수호석 업그레이드 단계별 달성 Lv.200</v>
      </c>
      <c r="C113" s="17">
        <f t="shared" si="57"/>
        <v>906111022</v>
      </c>
      <c r="D113" s="17">
        <f t="shared" si="58"/>
        <v>906111021</v>
      </c>
      <c r="E113" s="16">
        <v>0</v>
      </c>
      <c r="F113" s="91" t="s">
        <v>1104</v>
      </c>
      <c r="G113" s="17">
        <f t="shared" si="63"/>
        <v>6</v>
      </c>
      <c r="H113" s="17">
        <f t="shared" si="63"/>
        <v>1</v>
      </c>
      <c r="I113" s="17">
        <f t="shared" si="63"/>
        <v>1</v>
      </c>
      <c r="J113" s="17">
        <f>'Achievement Reward Base'!B142</f>
        <v>200</v>
      </c>
      <c r="K113" s="17" t="str">
        <f t="shared" si="60"/>
        <v>160001001</v>
      </c>
      <c r="L113" s="17">
        <f>'Achievement Reward Base'!D142</f>
        <v>325000</v>
      </c>
      <c r="M113" s="21" t="s">
        <v>18</v>
      </c>
      <c r="N113" s="17">
        <f t="shared" si="38"/>
        <v>51408</v>
      </c>
      <c r="O113" s="17">
        <f t="shared" si="38"/>
        <v>52408</v>
      </c>
      <c r="P113" s="21">
        <f t="shared" si="61"/>
        <v>530800013</v>
      </c>
    </row>
    <row r="114" spans="1:16" ht="16.5" customHeight="1" x14ac:dyDescent="0.3">
      <c r="A114" s="14" t="b">
        <v>1</v>
      </c>
      <c r="B114" s="15" t="s">
        <v>46</v>
      </c>
      <c r="C114" s="16" t="str">
        <f>90&amp;G114&amp;H114&amp;I114&amp;1001</f>
        <v>908221001</v>
      </c>
      <c r="D114" s="16">
        <v>0</v>
      </c>
      <c r="E114" s="14">
        <f t="shared" ref="E114:E152" si="64">C115</f>
        <v>908221002</v>
      </c>
      <c r="F114" s="92" t="s">
        <v>1105</v>
      </c>
      <c r="G114" s="16">
        <v>8</v>
      </c>
      <c r="H114" s="16">
        <v>2</v>
      </c>
      <c r="I114" s="16">
        <v>2</v>
      </c>
      <c r="J114" s="16">
        <f>'Achievement Reward Base'!B143</f>
        <v>5</v>
      </c>
      <c r="K114" s="16" t="str">
        <f>IF(M114="Gem","160001002",IF(M114="Gold","160001001"))</f>
        <v>160001002</v>
      </c>
      <c r="L114" s="16">
        <f>'Achievement Reward Base'!D143</f>
        <v>50</v>
      </c>
      <c r="M114" s="20" t="s">
        <v>20</v>
      </c>
      <c r="N114" s="16">
        <f t="shared" si="38"/>
        <v>51409</v>
      </c>
      <c r="O114" s="16">
        <f t="shared" si="38"/>
        <v>52409</v>
      </c>
      <c r="P114" s="16">
        <v>530800004</v>
      </c>
    </row>
    <row r="115" spans="1:16" ht="16.5" customHeight="1" x14ac:dyDescent="0.3">
      <c r="A115" s="14" t="b">
        <v>1</v>
      </c>
      <c r="B115" s="15" t="s">
        <v>31</v>
      </c>
      <c r="C115" s="14">
        <f t="shared" ref="C115:C153" si="65">C114+1</f>
        <v>908221002</v>
      </c>
      <c r="D115" s="14" t="str">
        <f t="shared" ref="D115:D153" si="66">C114</f>
        <v>908221001</v>
      </c>
      <c r="E115" s="14">
        <f t="shared" si="64"/>
        <v>908221003</v>
      </c>
      <c r="F115" s="92" t="s">
        <v>1105</v>
      </c>
      <c r="G115" s="14">
        <f>G114</f>
        <v>8</v>
      </c>
      <c r="H115" s="14">
        <f t="shared" ref="H115:I130" si="67">H114</f>
        <v>2</v>
      </c>
      <c r="I115" s="14">
        <f t="shared" si="67"/>
        <v>2</v>
      </c>
      <c r="J115" s="14">
        <f>'Achievement Reward Base'!B144</f>
        <v>10</v>
      </c>
      <c r="K115" s="14" t="str">
        <f t="shared" ref="K115:K153" si="68">K114</f>
        <v>160001002</v>
      </c>
      <c r="L115" s="14">
        <f>'Achievement Reward Base'!D144</f>
        <v>50</v>
      </c>
      <c r="M115" s="20" t="s">
        <v>20</v>
      </c>
      <c r="N115" s="14">
        <f t="shared" si="38"/>
        <v>51410</v>
      </c>
      <c r="O115" s="14">
        <f t="shared" si="38"/>
        <v>52410</v>
      </c>
      <c r="P115" s="20">
        <f t="shared" ref="P115:P153" si="69">P114</f>
        <v>530800004</v>
      </c>
    </row>
    <row r="116" spans="1:16" ht="16.5" customHeight="1" x14ac:dyDescent="0.3">
      <c r="A116" s="14" t="b">
        <v>1</v>
      </c>
      <c r="B116" s="15" t="s">
        <v>32</v>
      </c>
      <c r="C116" s="14">
        <f t="shared" si="65"/>
        <v>908221003</v>
      </c>
      <c r="D116" s="14">
        <f t="shared" si="66"/>
        <v>908221002</v>
      </c>
      <c r="E116" s="14">
        <f t="shared" si="64"/>
        <v>908221004</v>
      </c>
      <c r="F116" s="92" t="s">
        <v>1105</v>
      </c>
      <c r="G116" s="14">
        <f t="shared" ref="G116:I131" si="70">G115</f>
        <v>8</v>
      </c>
      <c r="H116" s="14">
        <f t="shared" si="67"/>
        <v>2</v>
      </c>
      <c r="I116" s="14">
        <f t="shared" si="67"/>
        <v>2</v>
      </c>
      <c r="J116" s="14">
        <f>'Achievement Reward Base'!B145</f>
        <v>15</v>
      </c>
      <c r="K116" s="14" t="str">
        <f t="shared" si="68"/>
        <v>160001002</v>
      </c>
      <c r="L116" s="14">
        <f>'Achievement Reward Base'!D145</f>
        <v>50</v>
      </c>
      <c r="M116" s="20" t="s">
        <v>20</v>
      </c>
      <c r="N116" s="14">
        <f t="shared" si="38"/>
        <v>51411</v>
      </c>
      <c r="O116" s="14">
        <f t="shared" si="38"/>
        <v>52411</v>
      </c>
      <c r="P116" s="20">
        <f t="shared" si="69"/>
        <v>530800004</v>
      </c>
    </row>
    <row r="117" spans="1:16" ht="16.5" customHeight="1" x14ac:dyDescent="0.3">
      <c r="A117" s="14" t="b">
        <v>1</v>
      </c>
      <c r="B117" s="15" t="s">
        <v>47</v>
      </c>
      <c r="C117" s="14">
        <f t="shared" si="65"/>
        <v>908221004</v>
      </c>
      <c r="D117" s="14">
        <f t="shared" si="66"/>
        <v>908221003</v>
      </c>
      <c r="E117" s="14">
        <f t="shared" si="64"/>
        <v>908221005</v>
      </c>
      <c r="F117" s="92" t="s">
        <v>1105</v>
      </c>
      <c r="G117" s="14">
        <f t="shared" si="70"/>
        <v>8</v>
      </c>
      <c r="H117" s="14">
        <f t="shared" si="67"/>
        <v>2</v>
      </c>
      <c r="I117" s="14">
        <f t="shared" si="67"/>
        <v>2</v>
      </c>
      <c r="J117" s="14">
        <f>'Achievement Reward Base'!B146</f>
        <v>20</v>
      </c>
      <c r="K117" s="14" t="str">
        <f t="shared" si="68"/>
        <v>160001002</v>
      </c>
      <c r="L117" s="14">
        <f>'Achievement Reward Base'!D146</f>
        <v>50</v>
      </c>
      <c r="M117" s="20" t="s">
        <v>20</v>
      </c>
      <c r="N117" s="14">
        <f t="shared" si="38"/>
        <v>51412</v>
      </c>
      <c r="O117" s="14">
        <f t="shared" si="38"/>
        <v>52412</v>
      </c>
      <c r="P117" s="20">
        <f t="shared" si="69"/>
        <v>530800004</v>
      </c>
    </row>
    <row r="118" spans="1:16" ht="16.5" customHeight="1" x14ac:dyDescent="0.3">
      <c r="A118" s="14" t="b">
        <v>1</v>
      </c>
      <c r="B118" s="15" t="s">
        <v>48</v>
      </c>
      <c r="C118" s="14">
        <f t="shared" si="65"/>
        <v>908221005</v>
      </c>
      <c r="D118" s="14">
        <f t="shared" si="66"/>
        <v>908221004</v>
      </c>
      <c r="E118" s="14">
        <f t="shared" si="64"/>
        <v>908221006</v>
      </c>
      <c r="F118" s="92" t="s">
        <v>1105</v>
      </c>
      <c r="G118" s="14">
        <f t="shared" si="70"/>
        <v>8</v>
      </c>
      <c r="H118" s="14">
        <f t="shared" si="67"/>
        <v>2</v>
      </c>
      <c r="I118" s="14">
        <f t="shared" si="67"/>
        <v>2</v>
      </c>
      <c r="J118" s="14">
        <f>'Achievement Reward Base'!B147</f>
        <v>25</v>
      </c>
      <c r="K118" s="14" t="str">
        <f t="shared" si="68"/>
        <v>160001002</v>
      </c>
      <c r="L118" s="14">
        <f>'Achievement Reward Base'!D147</f>
        <v>50</v>
      </c>
      <c r="M118" s="20" t="s">
        <v>20</v>
      </c>
      <c r="N118" s="14">
        <f t="shared" si="38"/>
        <v>51413</v>
      </c>
      <c r="O118" s="14">
        <f t="shared" si="38"/>
        <v>52413</v>
      </c>
      <c r="P118" s="20">
        <f t="shared" si="69"/>
        <v>530800004</v>
      </c>
    </row>
    <row r="119" spans="1:16" ht="16.5" customHeight="1" x14ac:dyDescent="0.3">
      <c r="A119" s="14" t="b">
        <v>1</v>
      </c>
      <c r="B119" s="15" t="s">
        <v>33</v>
      </c>
      <c r="C119" s="14">
        <f t="shared" si="65"/>
        <v>908221006</v>
      </c>
      <c r="D119" s="14">
        <f t="shared" si="66"/>
        <v>908221005</v>
      </c>
      <c r="E119" s="14">
        <f t="shared" si="64"/>
        <v>908221007</v>
      </c>
      <c r="F119" s="92" t="s">
        <v>1105</v>
      </c>
      <c r="G119" s="14">
        <f t="shared" si="70"/>
        <v>8</v>
      </c>
      <c r="H119" s="14">
        <f t="shared" si="67"/>
        <v>2</v>
      </c>
      <c r="I119" s="14">
        <f t="shared" si="67"/>
        <v>2</v>
      </c>
      <c r="J119" s="14">
        <f>'Achievement Reward Base'!B148</f>
        <v>30</v>
      </c>
      <c r="K119" s="14" t="str">
        <f t="shared" si="68"/>
        <v>160001002</v>
      </c>
      <c r="L119" s="14">
        <f>'Achievement Reward Base'!D148</f>
        <v>50</v>
      </c>
      <c r="M119" s="20" t="s">
        <v>20</v>
      </c>
      <c r="N119" s="14">
        <f t="shared" si="38"/>
        <v>51414</v>
      </c>
      <c r="O119" s="14">
        <f t="shared" si="38"/>
        <v>52414</v>
      </c>
      <c r="P119" s="20">
        <f t="shared" si="69"/>
        <v>530800004</v>
      </c>
    </row>
    <row r="120" spans="1:16" ht="16.5" customHeight="1" x14ac:dyDescent="0.3">
      <c r="A120" s="14" t="b">
        <v>1</v>
      </c>
      <c r="B120" s="15" t="s">
        <v>34</v>
      </c>
      <c r="C120" s="14">
        <f t="shared" si="65"/>
        <v>908221007</v>
      </c>
      <c r="D120" s="14">
        <f t="shared" si="66"/>
        <v>908221006</v>
      </c>
      <c r="E120" s="14">
        <f t="shared" si="64"/>
        <v>908221008</v>
      </c>
      <c r="F120" s="92" t="s">
        <v>1105</v>
      </c>
      <c r="G120" s="14">
        <f t="shared" si="70"/>
        <v>8</v>
      </c>
      <c r="H120" s="14">
        <f t="shared" si="67"/>
        <v>2</v>
      </c>
      <c r="I120" s="14">
        <f t="shared" si="67"/>
        <v>2</v>
      </c>
      <c r="J120" s="14">
        <f>'Achievement Reward Base'!B149</f>
        <v>35</v>
      </c>
      <c r="K120" s="14" t="str">
        <f t="shared" si="68"/>
        <v>160001002</v>
      </c>
      <c r="L120" s="14">
        <f>'Achievement Reward Base'!D149</f>
        <v>50</v>
      </c>
      <c r="M120" s="20" t="s">
        <v>20</v>
      </c>
      <c r="N120" s="14">
        <f t="shared" si="38"/>
        <v>51415</v>
      </c>
      <c r="O120" s="14">
        <f t="shared" si="38"/>
        <v>52415</v>
      </c>
      <c r="P120" s="20">
        <f t="shared" si="69"/>
        <v>530800004</v>
      </c>
    </row>
    <row r="121" spans="1:16" ht="16.5" customHeight="1" x14ac:dyDescent="0.3">
      <c r="A121" s="14" t="b">
        <v>1</v>
      </c>
      <c r="B121" s="15" t="s">
        <v>35</v>
      </c>
      <c r="C121" s="14">
        <f t="shared" si="65"/>
        <v>908221008</v>
      </c>
      <c r="D121" s="14">
        <f t="shared" si="66"/>
        <v>908221007</v>
      </c>
      <c r="E121" s="14">
        <f t="shared" si="64"/>
        <v>908221009</v>
      </c>
      <c r="F121" s="92" t="s">
        <v>1105</v>
      </c>
      <c r="G121" s="14">
        <f t="shared" si="70"/>
        <v>8</v>
      </c>
      <c r="H121" s="14">
        <f t="shared" si="67"/>
        <v>2</v>
      </c>
      <c r="I121" s="14">
        <f t="shared" si="67"/>
        <v>2</v>
      </c>
      <c r="J121" s="14">
        <f>'Achievement Reward Base'!B150</f>
        <v>40</v>
      </c>
      <c r="K121" s="14" t="str">
        <f t="shared" si="68"/>
        <v>160001002</v>
      </c>
      <c r="L121" s="14">
        <f>'Achievement Reward Base'!D150</f>
        <v>50</v>
      </c>
      <c r="M121" s="20" t="s">
        <v>20</v>
      </c>
      <c r="N121" s="14">
        <f t="shared" si="38"/>
        <v>51416</v>
      </c>
      <c r="O121" s="14">
        <f t="shared" si="38"/>
        <v>52416</v>
      </c>
      <c r="P121" s="20">
        <f t="shared" si="69"/>
        <v>530800004</v>
      </c>
    </row>
    <row r="122" spans="1:16" ht="16.5" customHeight="1" x14ac:dyDescent="0.3">
      <c r="A122" s="14" t="b">
        <v>1</v>
      </c>
      <c r="B122" s="15" t="s">
        <v>36</v>
      </c>
      <c r="C122" s="14">
        <f t="shared" si="65"/>
        <v>908221009</v>
      </c>
      <c r="D122" s="14">
        <f t="shared" si="66"/>
        <v>908221008</v>
      </c>
      <c r="E122" s="14">
        <f t="shared" si="64"/>
        <v>908221010</v>
      </c>
      <c r="F122" s="92" t="s">
        <v>1105</v>
      </c>
      <c r="G122" s="14">
        <f t="shared" si="70"/>
        <v>8</v>
      </c>
      <c r="H122" s="14">
        <f t="shared" si="67"/>
        <v>2</v>
      </c>
      <c r="I122" s="14">
        <f t="shared" si="67"/>
        <v>2</v>
      </c>
      <c r="J122" s="14">
        <f>'Achievement Reward Base'!B151</f>
        <v>45</v>
      </c>
      <c r="K122" s="14" t="str">
        <f t="shared" si="68"/>
        <v>160001002</v>
      </c>
      <c r="L122" s="14">
        <f>'Achievement Reward Base'!D151</f>
        <v>50</v>
      </c>
      <c r="M122" s="20" t="s">
        <v>20</v>
      </c>
      <c r="N122" s="14">
        <f t="shared" si="38"/>
        <v>51417</v>
      </c>
      <c r="O122" s="14">
        <f t="shared" si="38"/>
        <v>52417</v>
      </c>
      <c r="P122" s="20">
        <f t="shared" si="69"/>
        <v>530800004</v>
      </c>
    </row>
    <row r="123" spans="1:16" ht="16.5" customHeight="1" x14ac:dyDescent="0.3">
      <c r="A123" s="14" t="b">
        <v>1</v>
      </c>
      <c r="B123" s="15" t="s">
        <v>37</v>
      </c>
      <c r="C123" s="14">
        <f t="shared" si="65"/>
        <v>908221010</v>
      </c>
      <c r="D123" s="14">
        <f t="shared" si="66"/>
        <v>908221009</v>
      </c>
      <c r="E123" s="14">
        <f t="shared" si="64"/>
        <v>908221011</v>
      </c>
      <c r="F123" s="92" t="s">
        <v>1105</v>
      </c>
      <c r="G123" s="14">
        <f t="shared" si="70"/>
        <v>8</v>
      </c>
      <c r="H123" s="14">
        <f t="shared" si="67"/>
        <v>2</v>
      </c>
      <c r="I123" s="14">
        <f t="shared" si="67"/>
        <v>2</v>
      </c>
      <c r="J123" s="14">
        <f>'Achievement Reward Base'!B152</f>
        <v>50</v>
      </c>
      <c r="K123" s="14" t="str">
        <f t="shared" si="68"/>
        <v>160001002</v>
      </c>
      <c r="L123" s="14">
        <f>'Achievement Reward Base'!D152</f>
        <v>50</v>
      </c>
      <c r="M123" s="20" t="s">
        <v>20</v>
      </c>
      <c r="N123" s="14">
        <f t="shared" si="38"/>
        <v>51418</v>
      </c>
      <c r="O123" s="14">
        <f t="shared" si="38"/>
        <v>52418</v>
      </c>
      <c r="P123" s="20">
        <f t="shared" si="69"/>
        <v>530800004</v>
      </c>
    </row>
    <row r="124" spans="1:16" ht="16.5" customHeight="1" x14ac:dyDescent="0.3">
      <c r="A124" s="14" t="b">
        <v>1</v>
      </c>
      <c r="B124" s="15" t="s">
        <v>38</v>
      </c>
      <c r="C124" s="14">
        <f t="shared" si="65"/>
        <v>908221011</v>
      </c>
      <c r="D124" s="14">
        <f t="shared" si="66"/>
        <v>908221010</v>
      </c>
      <c r="E124" s="14">
        <f t="shared" si="64"/>
        <v>908221012</v>
      </c>
      <c r="F124" s="92" t="s">
        <v>1105</v>
      </c>
      <c r="G124" s="14">
        <f t="shared" si="70"/>
        <v>8</v>
      </c>
      <c r="H124" s="14">
        <f t="shared" si="67"/>
        <v>2</v>
      </c>
      <c r="I124" s="14">
        <f t="shared" si="67"/>
        <v>2</v>
      </c>
      <c r="J124" s="14">
        <f>'Achievement Reward Base'!B153</f>
        <v>55</v>
      </c>
      <c r="K124" s="14" t="str">
        <f t="shared" si="68"/>
        <v>160001002</v>
      </c>
      <c r="L124" s="14">
        <f>'Achievement Reward Base'!D153</f>
        <v>50</v>
      </c>
      <c r="M124" s="20" t="s">
        <v>20</v>
      </c>
      <c r="N124" s="14">
        <f t="shared" si="38"/>
        <v>51419</v>
      </c>
      <c r="O124" s="14">
        <f t="shared" si="38"/>
        <v>52419</v>
      </c>
      <c r="P124" s="20">
        <f t="shared" si="69"/>
        <v>530800004</v>
      </c>
    </row>
    <row r="125" spans="1:16" ht="16.5" customHeight="1" x14ac:dyDescent="0.3">
      <c r="A125" s="14" t="b">
        <v>1</v>
      </c>
      <c r="B125" s="15" t="s">
        <v>39</v>
      </c>
      <c r="C125" s="14">
        <f t="shared" si="65"/>
        <v>908221012</v>
      </c>
      <c r="D125" s="14">
        <f t="shared" si="66"/>
        <v>908221011</v>
      </c>
      <c r="E125" s="14">
        <f t="shared" si="64"/>
        <v>908221013</v>
      </c>
      <c r="F125" s="92" t="s">
        <v>1105</v>
      </c>
      <c r="G125" s="14">
        <f t="shared" si="70"/>
        <v>8</v>
      </c>
      <c r="H125" s="14">
        <f t="shared" si="67"/>
        <v>2</v>
      </c>
      <c r="I125" s="14">
        <f t="shared" si="67"/>
        <v>2</v>
      </c>
      <c r="J125" s="14">
        <f>'Achievement Reward Base'!B154</f>
        <v>60</v>
      </c>
      <c r="K125" s="14" t="str">
        <f t="shared" si="68"/>
        <v>160001002</v>
      </c>
      <c r="L125" s="14">
        <f>'Achievement Reward Base'!D154</f>
        <v>50</v>
      </c>
      <c r="M125" s="20" t="s">
        <v>20</v>
      </c>
      <c r="N125" s="14">
        <f t="shared" si="38"/>
        <v>51420</v>
      </c>
      <c r="O125" s="14">
        <f t="shared" si="38"/>
        <v>52420</v>
      </c>
      <c r="P125" s="20">
        <f t="shared" si="69"/>
        <v>530800004</v>
      </c>
    </row>
    <row r="126" spans="1:16" ht="16.5" customHeight="1" x14ac:dyDescent="0.3">
      <c r="A126" s="14" t="b">
        <v>1</v>
      </c>
      <c r="B126" s="15" t="s">
        <v>40</v>
      </c>
      <c r="C126" s="14">
        <f t="shared" si="65"/>
        <v>908221013</v>
      </c>
      <c r="D126" s="14">
        <f t="shared" si="66"/>
        <v>908221012</v>
      </c>
      <c r="E126" s="14">
        <f t="shared" si="64"/>
        <v>908221014</v>
      </c>
      <c r="F126" s="92" t="s">
        <v>1105</v>
      </c>
      <c r="G126" s="14">
        <f t="shared" si="70"/>
        <v>8</v>
      </c>
      <c r="H126" s="14">
        <f t="shared" si="67"/>
        <v>2</v>
      </c>
      <c r="I126" s="14">
        <f t="shared" si="67"/>
        <v>2</v>
      </c>
      <c r="J126" s="14">
        <f>'Achievement Reward Base'!B155</f>
        <v>65</v>
      </c>
      <c r="K126" s="14" t="str">
        <f t="shared" si="68"/>
        <v>160001002</v>
      </c>
      <c r="L126" s="14">
        <f>'Achievement Reward Base'!D155</f>
        <v>50</v>
      </c>
      <c r="M126" s="20" t="s">
        <v>20</v>
      </c>
      <c r="N126" s="14">
        <f t="shared" si="38"/>
        <v>51421</v>
      </c>
      <c r="O126" s="14">
        <f t="shared" si="38"/>
        <v>52421</v>
      </c>
      <c r="P126" s="20">
        <f t="shared" si="69"/>
        <v>530800004</v>
      </c>
    </row>
    <row r="127" spans="1:16" ht="16.5" customHeight="1" x14ac:dyDescent="0.3">
      <c r="A127" s="14" t="b">
        <v>1</v>
      </c>
      <c r="B127" s="15" t="s">
        <v>41</v>
      </c>
      <c r="C127" s="14">
        <f t="shared" si="65"/>
        <v>908221014</v>
      </c>
      <c r="D127" s="14">
        <f t="shared" si="66"/>
        <v>908221013</v>
      </c>
      <c r="E127" s="14">
        <f t="shared" si="64"/>
        <v>908221015</v>
      </c>
      <c r="F127" s="92" t="s">
        <v>1105</v>
      </c>
      <c r="G127" s="14">
        <f t="shared" si="70"/>
        <v>8</v>
      </c>
      <c r="H127" s="14">
        <f t="shared" si="67"/>
        <v>2</v>
      </c>
      <c r="I127" s="14">
        <f t="shared" si="67"/>
        <v>2</v>
      </c>
      <c r="J127" s="14">
        <f>'Achievement Reward Base'!B156</f>
        <v>70</v>
      </c>
      <c r="K127" s="14" t="str">
        <f t="shared" si="68"/>
        <v>160001002</v>
      </c>
      <c r="L127" s="14">
        <f>'Achievement Reward Base'!D156</f>
        <v>50</v>
      </c>
      <c r="M127" s="20" t="s">
        <v>20</v>
      </c>
      <c r="N127" s="14">
        <f t="shared" si="38"/>
        <v>51422</v>
      </c>
      <c r="O127" s="14">
        <f t="shared" si="38"/>
        <v>52422</v>
      </c>
      <c r="P127" s="20">
        <f t="shared" si="69"/>
        <v>530800004</v>
      </c>
    </row>
    <row r="128" spans="1:16" ht="16.5" customHeight="1" x14ac:dyDescent="0.3">
      <c r="A128" s="14" t="b">
        <v>1</v>
      </c>
      <c r="B128" s="15" t="s">
        <v>42</v>
      </c>
      <c r="C128" s="14">
        <f t="shared" si="65"/>
        <v>908221015</v>
      </c>
      <c r="D128" s="14">
        <f t="shared" si="66"/>
        <v>908221014</v>
      </c>
      <c r="E128" s="14">
        <f t="shared" si="64"/>
        <v>908221016</v>
      </c>
      <c r="F128" s="92" t="s">
        <v>1105</v>
      </c>
      <c r="G128" s="14">
        <f t="shared" si="70"/>
        <v>8</v>
      </c>
      <c r="H128" s="14">
        <f t="shared" si="67"/>
        <v>2</v>
      </c>
      <c r="I128" s="14">
        <f t="shared" si="67"/>
        <v>2</v>
      </c>
      <c r="J128" s="14">
        <f>'Achievement Reward Base'!B157</f>
        <v>75</v>
      </c>
      <c r="K128" s="14" t="str">
        <f t="shared" si="68"/>
        <v>160001002</v>
      </c>
      <c r="L128" s="14">
        <f>'Achievement Reward Base'!D157</f>
        <v>50</v>
      </c>
      <c r="M128" s="20" t="s">
        <v>20</v>
      </c>
      <c r="N128" s="14">
        <f t="shared" si="38"/>
        <v>51423</v>
      </c>
      <c r="O128" s="14">
        <f t="shared" si="38"/>
        <v>52423</v>
      </c>
      <c r="P128" s="20">
        <f t="shared" si="69"/>
        <v>530800004</v>
      </c>
    </row>
    <row r="129" spans="1:16" ht="16.5" customHeight="1" x14ac:dyDescent="0.3">
      <c r="A129" s="14" t="b">
        <v>1</v>
      </c>
      <c r="B129" s="15" t="s">
        <v>225</v>
      </c>
      <c r="C129" s="14">
        <f t="shared" si="65"/>
        <v>908221016</v>
      </c>
      <c r="D129" s="14">
        <f t="shared" si="66"/>
        <v>908221015</v>
      </c>
      <c r="E129" s="14">
        <f t="shared" si="64"/>
        <v>908221017</v>
      </c>
      <c r="F129" s="92" t="s">
        <v>1105</v>
      </c>
      <c r="G129" s="14">
        <f t="shared" si="70"/>
        <v>8</v>
      </c>
      <c r="H129" s="14">
        <f t="shared" si="67"/>
        <v>2</v>
      </c>
      <c r="I129" s="14">
        <f t="shared" si="67"/>
        <v>2</v>
      </c>
      <c r="J129" s="14">
        <f>'Achievement Reward Base'!B158</f>
        <v>80</v>
      </c>
      <c r="K129" s="14" t="str">
        <f t="shared" si="68"/>
        <v>160001002</v>
      </c>
      <c r="L129" s="14">
        <f>'Achievement Reward Base'!D158</f>
        <v>50</v>
      </c>
      <c r="M129" s="20" t="s">
        <v>20</v>
      </c>
      <c r="N129" s="14">
        <f t="shared" si="38"/>
        <v>51424</v>
      </c>
      <c r="O129" s="14">
        <f t="shared" si="38"/>
        <v>52424</v>
      </c>
      <c r="P129" s="20">
        <f t="shared" si="69"/>
        <v>530800004</v>
      </c>
    </row>
    <row r="130" spans="1:16" ht="16.5" customHeight="1" x14ac:dyDescent="0.3">
      <c r="A130" s="14" t="b">
        <v>1</v>
      </c>
      <c r="B130" s="15" t="s">
        <v>226</v>
      </c>
      <c r="C130" s="14">
        <f t="shared" si="65"/>
        <v>908221017</v>
      </c>
      <c r="D130" s="14">
        <f t="shared" si="66"/>
        <v>908221016</v>
      </c>
      <c r="E130" s="14">
        <f t="shared" si="64"/>
        <v>908221018</v>
      </c>
      <c r="F130" s="92" t="s">
        <v>1105</v>
      </c>
      <c r="G130" s="14">
        <f t="shared" si="70"/>
        <v>8</v>
      </c>
      <c r="H130" s="14">
        <f t="shared" si="67"/>
        <v>2</v>
      </c>
      <c r="I130" s="14">
        <f t="shared" si="67"/>
        <v>2</v>
      </c>
      <c r="J130" s="14">
        <f>'Achievement Reward Base'!B159</f>
        <v>85</v>
      </c>
      <c r="K130" s="14" t="str">
        <f t="shared" si="68"/>
        <v>160001002</v>
      </c>
      <c r="L130" s="14">
        <f>'Achievement Reward Base'!D159</f>
        <v>50</v>
      </c>
      <c r="M130" s="20" t="s">
        <v>20</v>
      </c>
      <c r="N130" s="14">
        <f t="shared" si="38"/>
        <v>51425</v>
      </c>
      <c r="O130" s="14">
        <f t="shared" si="38"/>
        <v>52425</v>
      </c>
      <c r="P130" s="20">
        <f t="shared" si="69"/>
        <v>530800004</v>
      </c>
    </row>
    <row r="131" spans="1:16" ht="16.5" customHeight="1" x14ac:dyDescent="0.3">
      <c r="A131" s="14" t="b">
        <v>1</v>
      </c>
      <c r="B131" s="15" t="s">
        <v>227</v>
      </c>
      <c r="C131" s="14">
        <f t="shared" si="65"/>
        <v>908221018</v>
      </c>
      <c r="D131" s="14">
        <f t="shared" si="66"/>
        <v>908221017</v>
      </c>
      <c r="E131" s="14">
        <f t="shared" si="64"/>
        <v>908221019</v>
      </c>
      <c r="F131" s="92" t="s">
        <v>1105</v>
      </c>
      <c r="G131" s="14">
        <f t="shared" si="70"/>
        <v>8</v>
      </c>
      <c r="H131" s="14">
        <f t="shared" si="70"/>
        <v>2</v>
      </c>
      <c r="I131" s="14">
        <f t="shared" si="70"/>
        <v>2</v>
      </c>
      <c r="J131" s="14">
        <f>'Achievement Reward Base'!B160</f>
        <v>90</v>
      </c>
      <c r="K131" s="14" t="str">
        <f t="shared" si="68"/>
        <v>160001002</v>
      </c>
      <c r="L131" s="14">
        <f>'Achievement Reward Base'!D160</f>
        <v>50</v>
      </c>
      <c r="M131" s="20" t="s">
        <v>20</v>
      </c>
      <c r="N131" s="14">
        <f t="shared" si="38"/>
        <v>51426</v>
      </c>
      <c r="O131" s="14">
        <f t="shared" si="38"/>
        <v>52426</v>
      </c>
      <c r="P131" s="20">
        <f t="shared" si="69"/>
        <v>530800004</v>
      </c>
    </row>
    <row r="132" spans="1:16" ht="16.5" customHeight="1" x14ac:dyDescent="0.3">
      <c r="A132" s="14" t="b">
        <v>1</v>
      </c>
      <c r="B132" s="15" t="s">
        <v>228</v>
      </c>
      <c r="C132" s="14">
        <f t="shared" si="65"/>
        <v>908221019</v>
      </c>
      <c r="D132" s="14">
        <f t="shared" si="66"/>
        <v>908221018</v>
      </c>
      <c r="E132" s="14">
        <f t="shared" si="64"/>
        <v>908221020</v>
      </c>
      <c r="F132" s="92" t="s">
        <v>1105</v>
      </c>
      <c r="G132" s="14">
        <f t="shared" ref="G132:I147" si="71">G131</f>
        <v>8</v>
      </c>
      <c r="H132" s="14">
        <f t="shared" si="71"/>
        <v>2</v>
      </c>
      <c r="I132" s="14">
        <f t="shared" si="71"/>
        <v>2</v>
      </c>
      <c r="J132" s="14">
        <f>'Achievement Reward Base'!B161</f>
        <v>95</v>
      </c>
      <c r="K132" s="14" t="str">
        <f t="shared" si="68"/>
        <v>160001002</v>
      </c>
      <c r="L132" s="14">
        <f>'Achievement Reward Base'!D161</f>
        <v>50</v>
      </c>
      <c r="M132" s="20" t="s">
        <v>20</v>
      </c>
      <c r="N132" s="14">
        <f t="shared" si="38"/>
        <v>51427</v>
      </c>
      <c r="O132" s="14">
        <f t="shared" si="38"/>
        <v>52427</v>
      </c>
      <c r="P132" s="20">
        <f t="shared" si="69"/>
        <v>530800004</v>
      </c>
    </row>
    <row r="133" spans="1:16" ht="16.5" customHeight="1" x14ac:dyDescent="0.3">
      <c r="A133" s="14" t="b">
        <v>1</v>
      </c>
      <c r="B133" s="15" t="s">
        <v>229</v>
      </c>
      <c r="C133" s="14">
        <f t="shared" si="65"/>
        <v>908221020</v>
      </c>
      <c r="D133" s="14">
        <f t="shared" si="66"/>
        <v>908221019</v>
      </c>
      <c r="E133" s="14">
        <f t="shared" si="64"/>
        <v>908221021</v>
      </c>
      <c r="F133" s="92" t="s">
        <v>1105</v>
      </c>
      <c r="G133" s="14">
        <f t="shared" si="71"/>
        <v>8</v>
      </c>
      <c r="H133" s="14">
        <f t="shared" si="71"/>
        <v>2</v>
      </c>
      <c r="I133" s="14">
        <f t="shared" si="71"/>
        <v>2</v>
      </c>
      <c r="J133" s="14">
        <f>'Achievement Reward Base'!B162</f>
        <v>100</v>
      </c>
      <c r="K133" s="14" t="str">
        <f t="shared" si="68"/>
        <v>160001002</v>
      </c>
      <c r="L133" s="14">
        <f>'Achievement Reward Base'!D162</f>
        <v>50</v>
      </c>
      <c r="M133" s="20" t="s">
        <v>20</v>
      </c>
      <c r="N133" s="14">
        <f t="shared" si="38"/>
        <v>51428</v>
      </c>
      <c r="O133" s="14">
        <f t="shared" si="38"/>
        <v>52428</v>
      </c>
      <c r="P133" s="20">
        <f t="shared" si="69"/>
        <v>530800004</v>
      </c>
    </row>
    <row r="134" spans="1:16" ht="16.5" customHeight="1" x14ac:dyDescent="0.3">
      <c r="A134" s="14" t="b">
        <v>1</v>
      </c>
      <c r="B134" s="15" t="s">
        <v>230</v>
      </c>
      <c r="C134" s="14">
        <f t="shared" si="65"/>
        <v>908221021</v>
      </c>
      <c r="D134" s="14">
        <f t="shared" si="66"/>
        <v>908221020</v>
      </c>
      <c r="E134" s="14">
        <f t="shared" si="64"/>
        <v>908221022</v>
      </c>
      <c r="F134" s="92" t="s">
        <v>1105</v>
      </c>
      <c r="G134" s="14">
        <f t="shared" si="71"/>
        <v>8</v>
      </c>
      <c r="H134" s="14">
        <f t="shared" si="71"/>
        <v>2</v>
      </c>
      <c r="I134" s="14">
        <f t="shared" si="71"/>
        <v>2</v>
      </c>
      <c r="J134" s="14">
        <f>'Achievement Reward Base'!B163</f>
        <v>105</v>
      </c>
      <c r="K134" s="14" t="str">
        <f t="shared" si="68"/>
        <v>160001002</v>
      </c>
      <c r="L134" s="14">
        <f>'Achievement Reward Base'!D163</f>
        <v>50</v>
      </c>
      <c r="M134" s="20" t="s">
        <v>20</v>
      </c>
      <c r="N134" s="14">
        <f t="shared" si="38"/>
        <v>51429</v>
      </c>
      <c r="O134" s="14">
        <f t="shared" si="38"/>
        <v>52429</v>
      </c>
      <c r="P134" s="20">
        <f t="shared" si="69"/>
        <v>530800004</v>
      </c>
    </row>
    <row r="135" spans="1:16" ht="16.5" customHeight="1" x14ac:dyDescent="0.3">
      <c r="A135" s="14" t="b">
        <v>1</v>
      </c>
      <c r="B135" s="15" t="s">
        <v>231</v>
      </c>
      <c r="C135" s="14">
        <f t="shared" si="65"/>
        <v>908221022</v>
      </c>
      <c r="D135" s="14">
        <f t="shared" si="66"/>
        <v>908221021</v>
      </c>
      <c r="E135" s="14">
        <f t="shared" si="64"/>
        <v>908221023</v>
      </c>
      <c r="F135" s="92" t="s">
        <v>1105</v>
      </c>
      <c r="G135" s="14">
        <f t="shared" si="71"/>
        <v>8</v>
      </c>
      <c r="H135" s="14">
        <f t="shared" si="71"/>
        <v>2</v>
      </c>
      <c r="I135" s="14">
        <f t="shared" si="71"/>
        <v>2</v>
      </c>
      <c r="J135" s="14">
        <f>'Achievement Reward Base'!B164</f>
        <v>110</v>
      </c>
      <c r="K135" s="14" t="str">
        <f t="shared" si="68"/>
        <v>160001002</v>
      </c>
      <c r="L135" s="14">
        <f>'Achievement Reward Base'!D164</f>
        <v>50</v>
      </c>
      <c r="M135" s="20" t="s">
        <v>20</v>
      </c>
      <c r="N135" s="14">
        <f t="shared" ref="N135:O198" si="72">N134+1</f>
        <v>51430</v>
      </c>
      <c r="O135" s="14">
        <f t="shared" si="72"/>
        <v>52430</v>
      </c>
      <c r="P135" s="20">
        <f t="shared" si="69"/>
        <v>530800004</v>
      </c>
    </row>
    <row r="136" spans="1:16" ht="16.5" customHeight="1" x14ac:dyDescent="0.3">
      <c r="A136" s="14" t="b">
        <v>1</v>
      </c>
      <c r="B136" s="15" t="s">
        <v>232</v>
      </c>
      <c r="C136" s="14">
        <f t="shared" si="65"/>
        <v>908221023</v>
      </c>
      <c r="D136" s="14">
        <f t="shared" si="66"/>
        <v>908221022</v>
      </c>
      <c r="E136" s="14">
        <f t="shared" si="64"/>
        <v>908221024</v>
      </c>
      <c r="F136" s="92" t="s">
        <v>1105</v>
      </c>
      <c r="G136" s="14">
        <f t="shared" si="71"/>
        <v>8</v>
      </c>
      <c r="H136" s="14">
        <f t="shared" si="71"/>
        <v>2</v>
      </c>
      <c r="I136" s="14">
        <f t="shared" si="71"/>
        <v>2</v>
      </c>
      <c r="J136" s="14">
        <f>'Achievement Reward Base'!B165</f>
        <v>115</v>
      </c>
      <c r="K136" s="14" t="str">
        <f t="shared" si="68"/>
        <v>160001002</v>
      </c>
      <c r="L136" s="14">
        <f>'Achievement Reward Base'!D165</f>
        <v>50</v>
      </c>
      <c r="M136" s="20" t="s">
        <v>20</v>
      </c>
      <c r="N136" s="14">
        <f t="shared" si="72"/>
        <v>51431</v>
      </c>
      <c r="O136" s="14">
        <f t="shared" si="72"/>
        <v>52431</v>
      </c>
      <c r="P136" s="20">
        <f t="shared" si="69"/>
        <v>530800004</v>
      </c>
    </row>
    <row r="137" spans="1:16" ht="16.5" customHeight="1" x14ac:dyDescent="0.3">
      <c r="A137" s="14" t="b">
        <v>1</v>
      </c>
      <c r="B137" s="15" t="s">
        <v>233</v>
      </c>
      <c r="C137" s="14">
        <f t="shared" si="65"/>
        <v>908221024</v>
      </c>
      <c r="D137" s="14">
        <f t="shared" si="66"/>
        <v>908221023</v>
      </c>
      <c r="E137" s="14">
        <f t="shared" si="64"/>
        <v>908221025</v>
      </c>
      <c r="F137" s="92" t="s">
        <v>1105</v>
      </c>
      <c r="G137" s="14">
        <f t="shared" si="71"/>
        <v>8</v>
      </c>
      <c r="H137" s="14">
        <f t="shared" si="71"/>
        <v>2</v>
      </c>
      <c r="I137" s="14">
        <f t="shared" si="71"/>
        <v>2</v>
      </c>
      <c r="J137" s="14">
        <f>'Achievement Reward Base'!B166</f>
        <v>120</v>
      </c>
      <c r="K137" s="14" t="str">
        <f t="shared" si="68"/>
        <v>160001002</v>
      </c>
      <c r="L137" s="14">
        <f>'Achievement Reward Base'!D166</f>
        <v>50</v>
      </c>
      <c r="M137" s="20" t="s">
        <v>20</v>
      </c>
      <c r="N137" s="14">
        <f t="shared" si="72"/>
        <v>51432</v>
      </c>
      <c r="O137" s="14">
        <f t="shared" si="72"/>
        <v>52432</v>
      </c>
      <c r="P137" s="20">
        <f t="shared" si="69"/>
        <v>530800004</v>
      </c>
    </row>
    <row r="138" spans="1:16" ht="16.5" customHeight="1" x14ac:dyDescent="0.3">
      <c r="A138" s="14" t="b">
        <v>1</v>
      </c>
      <c r="B138" s="15" t="s">
        <v>234</v>
      </c>
      <c r="C138" s="14">
        <f t="shared" si="65"/>
        <v>908221025</v>
      </c>
      <c r="D138" s="14">
        <f t="shared" si="66"/>
        <v>908221024</v>
      </c>
      <c r="E138" s="14">
        <f t="shared" si="64"/>
        <v>908221026</v>
      </c>
      <c r="F138" s="92" t="s">
        <v>1105</v>
      </c>
      <c r="G138" s="14">
        <f t="shared" si="71"/>
        <v>8</v>
      </c>
      <c r="H138" s="14">
        <f t="shared" si="71"/>
        <v>2</v>
      </c>
      <c r="I138" s="14">
        <f t="shared" si="71"/>
        <v>2</v>
      </c>
      <c r="J138" s="14">
        <f>'Achievement Reward Base'!B167</f>
        <v>125</v>
      </c>
      <c r="K138" s="14" t="str">
        <f t="shared" si="68"/>
        <v>160001002</v>
      </c>
      <c r="L138" s="14">
        <f>'Achievement Reward Base'!D167</f>
        <v>50</v>
      </c>
      <c r="M138" s="20" t="s">
        <v>20</v>
      </c>
      <c r="N138" s="14">
        <f t="shared" si="72"/>
        <v>51433</v>
      </c>
      <c r="O138" s="14">
        <f t="shared" si="72"/>
        <v>52433</v>
      </c>
      <c r="P138" s="20">
        <f t="shared" si="69"/>
        <v>530800004</v>
      </c>
    </row>
    <row r="139" spans="1:16" ht="16.5" customHeight="1" x14ac:dyDescent="0.3">
      <c r="A139" s="14" t="b">
        <v>1</v>
      </c>
      <c r="B139" s="15" t="s">
        <v>210</v>
      </c>
      <c r="C139" s="14">
        <f t="shared" si="65"/>
        <v>908221026</v>
      </c>
      <c r="D139" s="14">
        <f t="shared" si="66"/>
        <v>908221025</v>
      </c>
      <c r="E139" s="14">
        <f t="shared" si="64"/>
        <v>908221027</v>
      </c>
      <c r="F139" s="92" t="s">
        <v>1105</v>
      </c>
      <c r="G139" s="14">
        <f t="shared" si="71"/>
        <v>8</v>
      </c>
      <c r="H139" s="14">
        <f t="shared" si="71"/>
        <v>2</v>
      </c>
      <c r="I139" s="14">
        <f t="shared" si="71"/>
        <v>2</v>
      </c>
      <c r="J139" s="14">
        <f>'Achievement Reward Base'!B168</f>
        <v>130</v>
      </c>
      <c r="K139" s="14" t="str">
        <f t="shared" si="68"/>
        <v>160001002</v>
      </c>
      <c r="L139" s="14">
        <f>'Achievement Reward Base'!D168</f>
        <v>50</v>
      </c>
      <c r="M139" s="20" t="s">
        <v>20</v>
      </c>
      <c r="N139" s="14">
        <f t="shared" si="72"/>
        <v>51434</v>
      </c>
      <c r="O139" s="14">
        <f t="shared" si="72"/>
        <v>52434</v>
      </c>
      <c r="P139" s="20">
        <f t="shared" si="69"/>
        <v>530800004</v>
      </c>
    </row>
    <row r="140" spans="1:16" ht="16.5" customHeight="1" x14ac:dyDescent="0.3">
      <c r="A140" s="14" t="b">
        <v>1</v>
      </c>
      <c r="B140" s="15" t="s">
        <v>211</v>
      </c>
      <c r="C140" s="14">
        <f t="shared" si="65"/>
        <v>908221027</v>
      </c>
      <c r="D140" s="14">
        <f t="shared" si="66"/>
        <v>908221026</v>
      </c>
      <c r="E140" s="14">
        <f t="shared" si="64"/>
        <v>908221028</v>
      </c>
      <c r="F140" s="92" t="s">
        <v>1105</v>
      </c>
      <c r="G140" s="14">
        <f t="shared" si="71"/>
        <v>8</v>
      </c>
      <c r="H140" s="14">
        <f t="shared" si="71"/>
        <v>2</v>
      </c>
      <c r="I140" s="14">
        <f t="shared" si="71"/>
        <v>2</v>
      </c>
      <c r="J140" s="14">
        <f>'Achievement Reward Base'!B169</f>
        <v>135</v>
      </c>
      <c r="K140" s="14" t="str">
        <f t="shared" si="68"/>
        <v>160001002</v>
      </c>
      <c r="L140" s="14">
        <f>'Achievement Reward Base'!D169</f>
        <v>50</v>
      </c>
      <c r="M140" s="20" t="s">
        <v>20</v>
      </c>
      <c r="N140" s="14">
        <f t="shared" si="72"/>
        <v>51435</v>
      </c>
      <c r="O140" s="14">
        <f t="shared" si="72"/>
        <v>52435</v>
      </c>
      <c r="P140" s="20">
        <f t="shared" si="69"/>
        <v>530800004</v>
      </c>
    </row>
    <row r="141" spans="1:16" ht="16.5" customHeight="1" x14ac:dyDescent="0.3">
      <c r="A141" s="14" t="b">
        <v>1</v>
      </c>
      <c r="B141" s="15" t="s">
        <v>212</v>
      </c>
      <c r="C141" s="14">
        <f t="shared" si="65"/>
        <v>908221028</v>
      </c>
      <c r="D141" s="14">
        <f t="shared" si="66"/>
        <v>908221027</v>
      </c>
      <c r="E141" s="14">
        <f t="shared" si="64"/>
        <v>908221029</v>
      </c>
      <c r="F141" s="92" t="s">
        <v>1105</v>
      </c>
      <c r="G141" s="14">
        <f t="shared" si="71"/>
        <v>8</v>
      </c>
      <c r="H141" s="14">
        <f t="shared" si="71"/>
        <v>2</v>
      </c>
      <c r="I141" s="14">
        <f t="shared" si="71"/>
        <v>2</v>
      </c>
      <c r="J141" s="14">
        <f>'Achievement Reward Base'!B170</f>
        <v>140</v>
      </c>
      <c r="K141" s="14" t="str">
        <f t="shared" si="68"/>
        <v>160001002</v>
      </c>
      <c r="L141" s="14">
        <f>'Achievement Reward Base'!D170</f>
        <v>50</v>
      </c>
      <c r="M141" s="20" t="s">
        <v>20</v>
      </c>
      <c r="N141" s="14">
        <f t="shared" si="72"/>
        <v>51436</v>
      </c>
      <c r="O141" s="14">
        <f t="shared" si="72"/>
        <v>52436</v>
      </c>
      <c r="P141" s="20">
        <f t="shared" si="69"/>
        <v>530800004</v>
      </c>
    </row>
    <row r="142" spans="1:16" ht="16.5" customHeight="1" x14ac:dyDescent="0.3">
      <c r="A142" s="14" t="b">
        <v>1</v>
      </c>
      <c r="B142" s="15" t="s">
        <v>213</v>
      </c>
      <c r="C142" s="14">
        <f t="shared" si="65"/>
        <v>908221029</v>
      </c>
      <c r="D142" s="14">
        <f t="shared" si="66"/>
        <v>908221028</v>
      </c>
      <c r="E142" s="14">
        <f t="shared" si="64"/>
        <v>908221030</v>
      </c>
      <c r="F142" s="92" t="s">
        <v>1105</v>
      </c>
      <c r="G142" s="14">
        <f t="shared" si="71"/>
        <v>8</v>
      </c>
      <c r="H142" s="14">
        <f t="shared" si="71"/>
        <v>2</v>
      </c>
      <c r="I142" s="14">
        <f t="shared" si="71"/>
        <v>2</v>
      </c>
      <c r="J142" s="14">
        <f>'Achievement Reward Base'!B171</f>
        <v>145</v>
      </c>
      <c r="K142" s="14" t="str">
        <f t="shared" si="68"/>
        <v>160001002</v>
      </c>
      <c r="L142" s="14">
        <f>'Achievement Reward Base'!D171</f>
        <v>50</v>
      </c>
      <c r="M142" s="20" t="s">
        <v>20</v>
      </c>
      <c r="N142" s="14">
        <f t="shared" si="72"/>
        <v>51437</v>
      </c>
      <c r="O142" s="14">
        <f t="shared" si="72"/>
        <v>52437</v>
      </c>
      <c r="P142" s="20">
        <f t="shared" si="69"/>
        <v>530800004</v>
      </c>
    </row>
    <row r="143" spans="1:16" ht="16.5" customHeight="1" x14ac:dyDescent="0.3">
      <c r="A143" s="14" t="b">
        <v>1</v>
      </c>
      <c r="B143" s="15" t="s">
        <v>214</v>
      </c>
      <c r="C143" s="14">
        <f t="shared" si="65"/>
        <v>908221030</v>
      </c>
      <c r="D143" s="14">
        <f t="shared" si="66"/>
        <v>908221029</v>
      </c>
      <c r="E143" s="14">
        <f t="shared" si="64"/>
        <v>908221031</v>
      </c>
      <c r="F143" s="92" t="s">
        <v>1105</v>
      </c>
      <c r="G143" s="14">
        <f t="shared" si="71"/>
        <v>8</v>
      </c>
      <c r="H143" s="14">
        <f t="shared" si="71"/>
        <v>2</v>
      </c>
      <c r="I143" s="14">
        <f t="shared" si="71"/>
        <v>2</v>
      </c>
      <c r="J143" s="14">
        <f>'Achievement Reward Base'!B172</f>
        <v>150</v>
      </c>
      <c r="K143" s="14" t="str">
        <f t="shared" si="68"/>
        <v>160001002</v>
      </c>
      <c r="L143" s="14">
        <f>'Achievement Reward Base'!D172</f>
        <v>50</v>
      </c>
      <c r="M143" s="20" t="s">
        <v>20</v>
      </c>
      <c r="N143" s="14">
        <f t="shared" si="72"/>
        <v>51438</v>
      </c>
      <c r="O143" s="14">
        <f t="shared" si="72"/>
        <v>52438</v>
      </c>
      <c r="P143" s="20">
        <f t="shared" si="69"/>
        <v>530800004</v>
      </c>
    </row>
    <row r="144" spans="1:16" ht="16.5" customHeight="1" x14ac:dyDescent="0.3">
      <c r="A144" s="14" t="b">
        <v>1</v>
      </c>
      <c r="B144" s="15" t="s">
        <v>215</v>
      </c>
      <c r="C144" s="14">
        <f t="shared" si="65"/>
        <v>908221031</v>
      </c>
      <c r="D144" s="14">
        <f t="shared" si="66"/>
        <v>908221030</v>
      </c>
      <c r="E144" s="14">
        <f t="shared" si="64"/>
        <v>908221032</v>
      </c>
      <c r="F144" s="92" t="s">
        <v>1105</v>
      </c>
      <c r="G144" s="14">
        <f t="shared" si="71"/>
        <v>8</v>
      </c>
      <c r="H144" s="14">
        <f t="shared" si="71"/>
        <v>2</v>
      </c>
      <c r="I144" s="14">
        <f t="shared" si="71"/>
        <v>2</v>
      </c>
      <c r="J144" s="14">
        <f>'Achievement Reward Base'!B173</f>
        <v>155</v>
      </c>
      <c r="K144" s="14" t="str">
        <f t="shared" si="68"/>
        <v>160001002</v>
      </c>
      <c r="L144" s="14">
        <f>'Achievement Reward Base'!D173</f>
        <v>50</v>
      </c>
      <c r="M144" s="20" t="s">
        <v>20</v>
      </c>
      <c r="N144" s="14">
        <f t="shared" si="72"/>
        <v>51439</v>
      </c>
      <c r="O144" s="14">
        <f t="shared" si="72"/>
        <v>52439</v>
      </c>
      <c r="P144" s="20">
        <f t="shared" si="69"/>
        <v>530800004</v>
      </c>
    </row>
    <row r="145" spans="1:16" ht="16.5" customHeight="1" x14ac:dyDescent="0.3">
      <c r="A145" s="14" t="b">
        <v>1</v>
      </c>
      <c r="B145" s="15" t="s">
        <v>216</v>
      </c>
      <c r="C145" s="14">
        <f t="shared" si="65"/>
        <v>908221032</v>
      </c>
      <c r="D145" s="14">
        <f t="shared" si="66"/>
        <v>908221031</v>
      </c>
      <c r="E145" s="14">
        <f t="shared" si="64"/>
        <v>908221033</v>
      </c>
      <c r="F145" s="92" t="s">
        <v>1105</v>
      </c>
      <c r="G145" s="14">
        <f t="shared" si="71"/>
        <v>8</v>
      </c>
      <c r="H145" s="14">
        <f t="shared" si="71"/>
        <v>2</v>
      </c>
      <c r="I145" s="14">
        <f t="shared" si="71"/>
        <v>2</v>
      </c>
      <c r="J145" s="14">
        <f>'Achievement Reward Base'!B174</f>
        <v>160</v>
      </c>
      <c r="K145" s="14" t="str">
        <f t="shared" si="68"/>
        <v>160001002</v>
      </c>
      <c r="L145" s="14">
        <f>'Achievement Reward Base'!D174</f>
        <v>50</v>
      </c>
      <c r="M145" s="20" t="s">
        <v>20</v>
      </c>
      <c r="N145" s="14">
        <f t="shared" si="72"/>
        <v>51440</v>
      </c>
      <c r="O145" s="14">
        <f t="shared" si="72"/>
        <v>52440</v>
      </c>
      <c r="P145" s="20">
        <f t="shared" si="69"/>
        <v>530800004</v>
      </c>
    </row>
    <row r="146" spans="1:16" ht="16.5" customHeight="1" x14ac:dyDescent="0.3">
      <c r="A146" s="14" t="b">
        <v>1</v>
      </c>
      <c r="B146" s="15" t="s">
        <v>217</v>
      </c>
      <c r="C146" s="14">
        <f t="shared" si="65"/>
        <v>908221033</v>
      </c>
      <c r="D146" s="14">
        <f t="shared" si="66"/>
        <v>908221032</v>
      </c>
      <c r="E146" s="14">
        <f t="shared" si="64"/>
        <v>908221034</v>
      </c>
      <c r="F146" s="92" t="s">
        <v>1105</v>
      </c>
      <c r="G146" s="14">
        <f t="shared" si="71"/>
        <v>8</v>
      </c>
      <c r="H146" s="14">
        <f t="shared" si="71"/>
        <v>2</v>
      </c>
      <c r="I146" s="14">
        <f t="shared" si="71"/>
        <v>2</v>
      </c>
      <c r="J146" s="14">
        <f>'Achievement Reward Base'!B175</f>
        <v>165</v>
      </c>
      <c r="K146" s="14" t="str">
        <f t="shared" si="68"/>
        <v>160001002</v>
      </c>
      <c r="L146" s="14">
        <f>'Achievement Reward Base'!D175</f>
        <v>50</v>
      </c>
      <c r="M146" s="20" t="s">
        <v>20</v>
      </c>
      <c r="N146" s="14">
        <f t="shared" si="72"/>
        <v>51441</v>
      </c>
      <c r="O146" s="14">
        <f t="shared" si="72"/>
        <v>52441</v>
      </c>
      <c r="P146" s="20">
        <f t="shared" si="69"/>
        <v>530800004</v>
      </c>
    </row>
    <row r="147" spans="1:16" ht="16.5" customHeight="1" x14ac:dyDescent="0.3">
      <c r="A147" s="14" t="b">
        <v>1</v>
      </c>
      <c r="B147" s="15" t="s">
        <v>218</v>
      </c>
      <c r="C147" s="14">
        <f t="shared" si="65"/>
        <v>908221034</v>
      </c>
      <c r="D147" s="14">
        <f t="shared" si="66"/>
        <v>908221033</v>
      </c>
      <c r="E147" s="14">
        <f t="shared" si="64"/>
        <v>908221035</v>
      </c>
      <c r="F147" s="92" t="s">
        <v>1105</v>
      </c>
      <c r="G147" s="14">
        <f t="shared" si="71"/>
        <v>8</v>
      </c>
      <c r="H147" s="14">
        <f t="shared" si="71"/>
        <v>2</v>
      </c>
      <c r="I147" s="14">
        <f t="shared" si="71"/>
        <v>2</v>
      </c>
      <c r="J147" s="14">
        <f>'Achievement Reward Base'!B176</f>
        <v>170</v>
      </c>
      <c r="K147" s="14" t="str">
        <f t="shared" si="68"/>
        <v>160001002</v>
      </c>
      <c r="L147" s="14">
        <f>'Achievement Reward Base'!D176</f>
        <v>50</v>
      </c>
      <c r="M147" s="20" t="s">
        <v>20</v>
      </c>
      <c r="N147" s="14">
        <f t="shared" si="72"/>
        <v>51442</v>
      </c>
      <c r="O147" s="14">
        <f t="shared" si="72"/>
        <v>52442</v>
      </c>
      <c r="P147" s="20">
        <f t="shared" si="69"/>
        <v>530800004</v>
      </c>
    </row>
    <row r="148" spans="1:16" ht="16.5" customHeight="1" x14ac:dyDescent="0.3">
      <c r="A148" s="14" t="b">
        <v>1</v>
      </c>
      <c r="B148" s="15" t="s">
        <v>219</v>
      </c>
      <c r="C148" s="14">
        <f t="shared" si="65"/>
        <v>908221035</v>
      </c>
      <c r="D148" s="14">
        <f t="shared" si="66"/>
        <v>908221034</v>
      </c>
      <c r="E148" s="14">
        <f t="shared" si="64"/>
        <v>908221036</v>
      </c>
      <c r="F148" s="92" t="s">
        <v>1105</v>
      </c>
      <c r="G148" s="14">
        <f t="shared" ref="G148:I153" si="73">G147</f>
        <v>8</v>
      </c>
      <c r="H148" s="14">
        <f t="shared" si="73"/>
        <v>2</v>
      </c>
      <c r="I148" s="14">
        <f t="shared" si="73"/>
        <v>2</v>
      </c>
      <c r="J148" s="14">
        <f>'Achievement Reward Base'!B177</f>
        <v>175</v>
      </c>
      <c r="K148" s="14" t="str">
        <f t="shared" si="68"/>
        <v>160001002</v>
      </c>
      <c r="L148" s="14">
        <f>'Achievement Reward Base'!D177</f>
        <v>50</v>
      </c>
      <c r="M148" s="20" t="s">
        <v>20</v>
      </c>
      <c r="N148" s="14">
        <f t="shared" si="72"/>
        <v>51443</v>
      </c>
      <c r="O148" s="14">
        <f t="shared" si="72"/>
        <v>52443</v>
      </c>
      <c r="P148" s="20">
        <f t="shared" si="69"/>
        <v>530800004</v>
      </c>
    </row>
    <row r="149" spans="1:16" ht="16.5" customHeight="1" x14ac:dyDescent="0.3">
      <c r="A149" s="14" t="b">
        <v>1</v>
      </c>
      <c r="B149" s="15" t="s">
        <v>220</v>
      </c>
      <c r="C149" s="14">
        <f t="shared" si="65"/>
        <v>908221036</v>
      </c>
      <c r="D149" s="14">
        <f t="shared" si="66"/>
        <v>908221035</v>
      </c>
      <c r="E149" s="14">
        <f t="shared" si="64"/>
        <v>908221037</v>
      </c>
      <c r="F149" s="92" t="s">
        <v>1105</v>
      </c>
      <c r="G149" s="14">
        <f t="shared" si="73"/>
        <v>8</v>
      </c>
      <c r="H149" s="14">
        <f t="shared" si="73"/>
        <v>2</v>
      </c>
      <c r="I149" s="14">
        <f t="shared" si="73"/>
        <v>2</v>
      </c>
      <c r="J149" s="14">
        <f>'Achievement Reward Base'!B178</f>
        <v>180</v>
      </c>
      <c r="K149" s="14" t="str">
        <f t="shared" si="68"/>
        <v>160001002</v>
      </c>
      <c r="L149" s="14">
        <f>'Achievement Reward Base'!D178</f>
        <v>50</v>
      </c>
      <c r="M149" s="20" t="s">
        <v>20</v>
      </c>
      <c r="N149" s="14">
        <f t="shared" si="72"/>
        <v>51444</v>
      </c>
      <c r="O149" s="14">
        <f t="shared" si="72"/>
        <v>52444</v>
      </c>
      <c r="P149" s="20">
        <f t="shared" si="69"/>
        <v>530800004</v>
      </c>
    </row>
    <row r="150" spans="1:16" ht="16.5" customHeight="1" x14ac:dyDescent="0.3">
      <c r="A150" s="14" t="b">
        <v>1</v>
      </c>
      <c r="B150" s="15" t="s">
        <v>221</v>
      </c>
      <c r="C150" s="14">
        <f t="shared" si="65"/>
        <v>908221037</v>
      </c>
      <c r="D150" s="14">
        <f t="shared" si="66"/>
        <v>908221036</v>
      </c>
      <c r="E150" s="14">
        <f t="shared" si="64"/>
        <v>908221038</v>
      </c>
      <c r="F150" s="92" t="s">
        <v>1105</v>
      </c>
      <c r="G150" s="14">
        <f t="shared" si="73"/>
        <v>8</v>
      </c>
      <c r="H150" s="14">
        <f t="shared" si="73"/>
        <v>2</v>
      </c>
      <c r="I150" s="14">
        <f t="shared" si="73"/>
        <v>2</v>
      </c>
      <c r="J150" s="14">
        <f>'Achievement Reward Base'!B179</f>
        <v>185</v>
      </c>
      <c r="K150" s="14" t="str">
        <f t="shared" si="68"/>
        <v>160001002</v>
      </c>
      <c r="L150" s="14">
        <f>'Achievement Reward Base'!D179</f>
        <v>50</v>
      </c>
      <c r="M150" s="20" t="s">
        <v>20</v>
      </c>
      <c r="N150" s="14">
        <f t="shared" si="72"/>
        <v>51445</v>
      </c>
      <c r="O150" s="14">
        <f t="shared" si="72"/>
        <v>52445</v>
      </c>
      <c r="P150" s="20">
        <f t="shared" si="69"/>
        <v>530800004</v>
      </c>
    </row>
    <row r="151" spans="1:16" ht="16.5" customHeight="1" x14ac:dyDescent="0.3">
      <c r="A151" s="14" t="b">
        <v>1</v>
      </c>
      <c r="B151" s="15" t="s">
        <v>222</v>
      </c>
      <c r="C151" s="14">
        <f t="shared" si="65"/>
        <v>908221038</v>
      </c>
      <c r="D151" s="14">
        <f t="shared" si="66"/>
        <v>908221037</v>
      </c>
      <c r="E151" s="14">
        <f t="shared" si="64"/>
        <v>908221039</v>
      </c>
      <c r="F151" s="92" t="s">
        <v>1105</v>
      </c>
      <c r="G151" s="14">
        <f t="shared" si="73"/>
        <v>8</v>
      </c>
      <c r="H151" s="14">
        <f t="shared" si="73"/>
        <v>2</v>
      </c>
      <c r="I151" s="14">
        <f t="shared" si="73"/>
        <v>2</v>
      </c>
      <c r="J151" s="14">
        <f>'Achievement Reward Base'!B180</f>
        <v>190</v>
      </c>
      <c r="K151" s="14" t="str">
        <f t="shared" si="68"/>
        <v>160001002</v>
      </c>
      <c r="L151" s="14">
        <f>'Achievement Reward Base'!D180</f>
        <v>50</v>
      </c>
      <c r="M151" s="20" t="s">
        <v>20</v>
      </c>
      <c r="N151" s="14">
        <f t="shared" si="72"/>
        <v>51446</v>
      </c>
      <c r="O151" s="14">
        <f t="shared" si="72"/>
        <v>52446</v>
      </c>
      <c r="P151" s="20">
        <f t="shared" si="69"/>
        <v>530800004</v>
      </c>
    </row>
    <row r="152" spans="1:16" ht="16.5" customHeight="1" x14ac:dyDescent="0.3">
      <c r="A152" s="14" t="b">
        <v>1</v>
      </c>
      <c r="B152" s="15" t="s">
        <v>223</v>
      </c>
      <c r="C152" s="14">
        <f t="shared" si="65"/>
        <v>908221039</v>
      </c>
      <c r="D152" s="14">
        <f t="shared" si="66"/>
        <v>908221038</v>
      </c>
      <c r="E152" s="14">
        <f t="shared" si="64"/>
        <v>908221040</v>
      </c>
      <c r="F152" s="92" t="s">
        <v>1105</v>
      </c>
      <c r="G152" s="14">
        <f t="shared" si="73"/>
        <v>8</v>
      </c>
      <c r="H152" s="14">
        <f t="shared" si="73"/>
        <v>2</v>
      </c>
      <c r="I152" s="14">
        <f t="shared" si="73"/>
        <v>2</v>
      </c>
      <c r="J152" s="14">
        <f>'Achievement Reward Base'!B181</f>
        <v>195</v>
      </c>
      <c r="K152" s="14" t="str">
        <f t="shared" si="68"/>
        <v>160001002</v>
      </c>
      <c r="L152" s="14">
        <f>'Achievement Reward Base'!D181</f>
        <v>50</v>
      </c>
      <c r="M152" s="20" t="s">
        <v>20</v>
      </c>
      <c r="N152" s="14">
        <f t="shared" si="72"/>
        <v>51447</v>
      </c>
      <c r="O152" s="14">
        <f t="shared" si="72"/>
        <v>52447</v>
      </c>
      <c r="P152" s="20">
        <f t="shared" si="69"/>
        <v>530800004</v>
      </c>
    </row>
    <row r="153" spans="1:16" ht="16.5" customHeight="1" x14ac:dyDescent="0.3">
      <c r="A153" s="14" t="b">
        <v>1</v>
      </c>
      <c r="B153" s="15" t="s">
        <v>224</v>
      </c>
      <c r="C153" s="14">
        <f t="shared" si="65"/>
        <v>908221040</v>
      </c>
      <c r="D153" s="14">
        <f t="shared" si="66"/>
        <v>908221039</v>
      </c>
      <c r="E153" s="16">
        <v>0</v>
      </c>
      <c r="F153" s="92" t="s">
        <v>1105</v>
      </c>
      <c r="G153" s="14">
        <f t="shared" si="73"/>
        <v>8</v>
      </c>
      <c r="H153" s="14">
        <f t="shared" si="73"/>
        <v>2</v>
      </c>
      <c r="I153" s="14">
        <f t="shared" si="73"/>
        <v>2</v>
      </c>
      <c r="J153" s="14">
        <f>'Achievement Reward Base'!B182</f>
        <v>200</v>
      </c>
      <c r="K153" s="14" t="str">
        <f t="shared" si="68"/>
        <v>160001002</v>
      </c>
      <c r="L153" s="14">
        <f>'Achievement Reward Base'!D182</f>
        <v>50</v>
      </c>
      <c r="M153" s="20" t="s">
        <v>20</v>
      </c>
      <c r="N153" s="14">
        <f t="shared" si="72"/>
        <v>51448</v>
      </c>
      <c r="O153" s="14">
        <f t="shared" si="72"/>
        <v>52448</v>
      </c>
      <c r="P153" s="20">
        <f t="shared" si="69"/>
        <v>530800004</v>
      </c>
    </row>
    <row r="154" spans="1:16" ht="16.5" customHeight="1" x14ac:dyDescent="0.3">
      <c r="A154" s="73" t="b">
        <v>0</v>
      </c>
      <c r="B154" s="72" t="str">
        <f>"업적 - 결투장 "&amp;J154&amp;"연승 달성"</f>
        <v>업적 - 결투장 1연승 달성</v>
      </c>
      <c r="C154" s="73" t="str">
        <f>90&amp;G154&amp;H154&amp;I154&amp;1001</f>
        <v>901641001</v>
      </c>
      <c r="D154" s="73">
        <v>0</v>
      </c>
      <c r="E154" s="73">
        <f t="shared" ref="E154:E183" si="74">C155</f>
        <v>901641002</v>
      </c>
      <c r="F154" s="101" t="s">
        <v>1105</v>
      </c>
      <c r="G154" s="73">
        <v>1</v>
      </c>
      <c r="H154" s="73">
        <v>6</v>
      </c>
      <c r="I154" s="73">
        <v>4</v>
      </c>
      <c r="J154" s="73">
        <f>'Achievement Reward Base'!B183</f>
        <v>1</v>
      </c>
      <c r="K154" s="73" t="str">
        <f>IF(M154="Gem","160001002",IF(M154="Gold","160001001"))</f>
        <v>160001002</v>
      </c>
      <c r="L154" s="73">
        <f>'Achievement Reward Base'!D183</f>
        <v>10</v>
      </c>
      <c r="M154" s="73" t="s">
        <v>53</v>
      </c>
      <c r="N154" s="73">
        <f t="shared" si="72"/>
        <v>51449</v>
      </c>
      <c r="O154" s="73">
        <f t="shared" si="72"/>
        <v>52449</v>
      </c>
      <c r="P154" s="73">
        <v>530800006</v>
      </c>
    </row>
    <row r="155" spans="1:16" ht="16.5" customHeight="1" x14ac:dyDescent="0.3">
      <c r="A155" s="73" t="b">
        <v>0</v>
      </c>
      <c r="B155" s="72" t="str">
        <f t="shared" ref="B155:B179" si="75">"업적 - 결투장 "&amp;J155&amp;"연승 달성"</f>
        <v>업적 - 결투장 2연승 달성</v>
      </c>
      <c r="C155" s="73">
        <f t="shared" ref="C155:C184" si="76">C154+1</f>
        <v>901641002</v>
      </c>
      <c r="D155" s="73" t="str">
        <f t="shared" ref="D155:D179" si="77">C154</f>
        <v>901641001</v>
      </c>
      <c r="E155" s="73">
        <f t="shared" si="74"/>
        <v>901641003</v>
      </c>
      <c r="F155" s="101" t="s">
        <v>1105</v>
      </c>
      <c r="G155" s="73">
        <f>G154</f>
        <v>1</v>
      </c>
      <c r="H155" s="73">
        <f t="shared" ref="H155:I170" si="78">H154</f>
        <v>6</v>
      </c>
      <c r="I155" s="73">
        <f t="shared" si="78"/>
        <v>4</v>
      </c>
      <c r="J155" s="73">
        <f>'Achievement Reward Base'!B184</f>
        <v>2</v>
      </c>
      <c r="K155" s="73" t="str">
        <f t="shared" ref="K155:K184" si="79">K154</f>
        <v>160001002</v>
      </c>
      <c r="L155" s="73">
        <f>'Achievement Reward Base'!D184</f>
        <v>20</v>
      </c>
      <c r="M155" s="73" t="s">
        <v>53</v>
      </c>
      <c r="N155" s="73">
        <f t="shared" si="72"/>
        <v>51450</v>
      </c>
      <c r="O155" s="73">
        <f t="shared" si="72"/>
        <v>52450</v>
      </c>
      <c r="P155" s="73">
        <f t="shared" ref="P155:P184" si="80">P154</f>
        <v>530800006</v>
      </c>
    </row>
    <row r="156" spans="1:16" ht="16.5" customHeight="1" x14ac:dyDescent="0.3">
      <c r="A156" s="73" t="b">
        <v>0</v>
      </c>
      <c r="B156" s="72" t="str">
        <f t="shared" si="75"/>
        <v>업적 - 결투장 3연승 달성</v>
      </c>
      <c r="C156" s="73">
        <f t="shared" si="76"/>
        <v>901641003</v>
      </c>
      <c r="D156" s="73">
        <f t="shared" si="77"/>
        <v>901641002</v>
      </c>
      <c r="E156" s="73">
        <f t="shared" si="74"/>
        <v>901641004</v>
      </c>
      <c r="F156" s="101" t="s">
        <v>1105</v>
      </c>
      <c r="G156" s="73">
        <f t="shared" ref="G156:I171" si="81">G155</f>
        <v>1</v>
      </c>
      <c r="H156" s="73">
        <f t="shared" si="78"/>
        <v>6</v>
      </c>
      <c r="I156" s="73">
        <f t="shared" si="78"/>
        <v>4</v>
      </c>
      <c r="J156" s="73">
        <f>'Achievement Reward Base'!B185</f>
        <v>3</v>
      </c>
      <c r="K156" s="73" t="str">
        <f t="shared" si="79"/>
        <v>160001002</v>
      </c>
      <c r="L156" s="73">
        <f>'Achievement Reward Base'!D185</f>
        <v>30</v>
      </c>
      <c r="M156" s="73" t="s">
        <v>53</v>
      </c>
      <c r="N156" s="73">
        <f t="shared" si="72"/>
        <v>51451</v>
      </c>
      <c r="O156" s="73">
        <f t="shared" si="72"/>
        <v>52451</v>
      </c>
      <c r="P156" s="73">
        <f t="shared" si="80"/>
        <v>530800006</v>
      </c>
    </row>
    <row r="157" spans="1:16" ht="16.5" customHeight="1" x14ac:dyDescent="0.3">
      <c r="A157" s="73" t="b">
        <v>0</v>
      </c>
      <c r="B157" s="72" t="str">
        <f t="shared" si="75"/>
        <v>업적 - 결투장 4연승 달성</v>
      </c>
      <c r="C157" s="73">
        <f t="shared" si="76"/>
        <v>901641004</v>
      </c>
      <c r="D157" s="73">
        <f t="shared" si="77"/>
        <v>901641003</v>
      </c>
      <c r="E157" s="73">
        <f t="shared" si="74"/>
        <v>901641005</v>
      </c>
      <c r="F157" s="101" t="s">
        <v>1105</v>
      </c>
      <c r="G157" s="73">
        <f t="shared" si="81"/>
        <v>1</v>
      </c>
      <c r="H157" s="73">
        <f t="shared" si="78"/>
        <v>6</v>
      </c>
      <c r="I157" s="73">
        <f t="shared" si="78"/>
        <v>4</v>
      </c>
      <c r="J157" s="73">
        <f>'Achievement Reward Base'!B186</f>
        <v>4</v>
      </c>
      <c r="K157" s="73" t="str">
        <f t="shared" si="79"/>
        <v>160001002</v>
      </c>
      <c r="L157" s="73">
        <f>'Achievement Reward Base'!D186</f>
        <v>40</v>
      </c>
      <c r="M157" s="73" t="s">
        <v>53</v>
      </c>
      <c r="N157" s="73">
        <f t="shared" si="72"/>
        <v>51452</v>
      </c>
      <c r="O157" s="73">
        <f t="shared" si="72"/>
        <v>52452</v>
      </c>
      <c r="P157" s="73">
        <f t="shared" si="80"/>
        <v>530800006</v>
      </c>
    </row>
    <row r="158" spans="1:16" ht="16.5" customHeight="1" x14ac:dyDescent="0.3">
      <c r="A158" s="73" t="b">
        <v>0</v>
      </c>
      <c r="B158" s="72" t="str">
        <f t="shared" si="75"/>
        <v>업적 - 결투장 5연승 달성</v>
      </c>
      <c r="C158" s="73">
        <f t="shared" si="76"/>
        <v>901641005</v>
      </c>
      <c r="D158" s="73">
        <f t="shared" si="77"/>
        <v>901641004</v>
      </c>
      <c r="E158" s="73">
        <f t="shared" si="74"/>
        <v>901641006</v>
      </c>
      <c r="F158" s="101" t="s">
        <v>1105</v>
      </c>
      <c r="G158" s="73">
        <f t="shared" si="81"/>
        <v>1</v>
      </c>
      <c r="H158" s="73">
        <f t="shared" si="78"/>
        <v>6</v>
      </c>
      <c r="I158" s="73">
        <f t="shared" si="78"/>
        <v>4</v>
      </c>
      <c r="J158" s="73">
        <f>'Achievement Reward Base'!B187</f>
        <v>5</v>
      </c>
      <c r="K158" s="73" t="str">
        <f t="shared" si="79"/>
        <v>160001002</v>
      </c>
      <c r="L158" s="73">
        <f>'Achievement Reward Base'!D187</f>
        <v>50</v>
      </c>
      <c r="M158" s="73" t="s">
        <v>53</v>
      </c>
      <c r="N158" s="73">
        <f t="shared" si="72"/>
        <v>51453</v>
      </c>
      <c r="O158" s="73">
        <f t="shared" si="72"/>
        <v>52453</v>
      </c>
      <c r="P158" s="73">
        <f t="shared" si="80"/>
        <v>530800006</v>
      </c>
    </row>
    <row r="159" spans="1:16" ht="16.5" customHeight="1" x14ac:dyDescent="0.3">
      <c r="A159" s="73" t="b">
        <v>0</v>
      </c>
      <c r="B159" s="72" t="str">
        <f t="shared" si="75"/>
        <v>업적 - 결투장 6연승 달성</v>
      </c>
      <c r="C159" s="73">
        <f t="shared" si="76"/>
        <v>901641006</v>
      </c>
      <c r="D159" s="73">
        <f t="shared" si="77"/>
        <v>901641005</v>
      </c>
      <c r="E159" s="73">
        <f t="shared" si="74"/>
        <v>901641007</v>
      </c>
      <c r="F159" s="101" t="s">
        <v>1105</v>
      </c>
      <c r="G159" s="73">
        <f t="shared" si="81"/>
        <v>1</v>
      </c>
      <c r="H159" s="73">
        <f t="shared" si="78"/>
        <v>6</v>
      </c>
      <c r="I159" s="73">
        <f t="shared" si="78"/>
        <v>4</v>
      </c>
      <c r="J159" s="73">
        <f>'Achievement Reward Base'!B188</f>
        <v>6</v>
      </c>
      <c r="K159" s="73" t="str">
        <f t="shared" si="79"/>
        <v>160001002</v>
      </c>
      <c r="L159" s="73">
        <f>'Achievement Reward Base'!D188</f>
        <v>60</v>
      </c>
      <c r="M159" s="73" t="s">
        <v>53</v>
      </c>
      <c r="N159" s="73">
        <f t="shared" si="72"/>
        <v>51454</v>
      </c>
      <c r="O159" s="73">
        <f t="shared" si="72"/>
        <v>52454</v>
      </c>
      <c r="P159" s="73">
        <f t="shared" si="80"/>
        <v>530800006</v>
      </c>
    </row>
    <row r="160" spans="1:16" ht="16.5" customHeight="1" x14ac:dyDescent="0.3">
      <c r="A160" s="73" t="b">
        <v>0</v>
      </c>
      <c r="B160" s="72" t="str">
        <f t="shared" si="75"/>
        <v>업적 - 결투장 7연승 달성</v>
      </c>
      <c r="C160" s="73">
        <f t="shared" si="76"/>
        <v>901641007</v>
      </c>
      <c r="D160" s="73">
        <f t="shared" si="77"/>
        <v>901641006</v>
      </c>
      <c r="E160" s="73">
        <f t="shared" si="74"/>
        <v>901641008</v>
      </c>
      <c r="F160" s="101" t="s">
        <v>1105</v>
      </c>
      <c r="G160" s="73">
        <f t="shared" si="81"/>
        <v>1</v>
      </c>
      <c r="H160" s="73">
        <f t="shared" si="78"/>
        <v>6</v>
      </c>
      <c r="I160" s="73">
        <f t="shared" si="78"/>
        <v>4</v>
      </c>
      <c r="J160" s="73">
        <f>'Achievement Reward Base'!B189</f>
        <v>7</v>
      </c>
      <c r="K160" s="73" t="str">
        <f t="shared" si="79"/>
        <v>160001002</v>
      </c>
      <c r="L160" s="73">
        <f>'Achievement Reward Base'!D189</f>
        <v>70</v>
      </c>
      <c r="M160" s="73" t="s">
        <v>53</v>
      </c>
      <c r="N160" s="73">
        <f t="shared" si="72"/>
        <v>51455</v>
      </c>
      <c r="O160" s="73">
        <f t="shared" si="72"/>
        <v>52455</v>
      </c>
      <c r="P160" s="73">
        <f t="shared" si="80"/>
        <v>530800006</v>
      </c>
    </row>
    <row r="161" spans="1:16" ht="16.5" customHeight="1" x14ac:dyDescent="0.3">
      <c r="A161" s="73" t="b">
        <v>0</v>
      </c>
      <c r="B161" s="72" t="str">
        <f t="shared" si="75"/>
        <v>업적 - 결투장 8연승 달성</v>
      </c>
      <c r="C161" s="73">
        <f t="shared" si="76"/>
        <v>901641008</v>
      </c>
      <c r="D161" s="73">
        <f t="shared" si="77"/>
        <v>901641007</v>
      </c>
      <c r="E161" s="73">
        <f t="shared" si="74"/>
        <v>901641009</v>
      </c>
      <c r="F161" s="101" t="s">
        <v>1105</v>
      </c>
      <c r="G161" s="73">
        <f t="shared" si="81"/>
        <v>1</v>
      </c>
      <c r="H161" s="73">
        <f t="shared" si="78"/>
        <v>6</v>
      </c>
      <c r="I161" s="73">
        <f t="shared" si="78"/>
        <v>4</v>
      </c>
      <c r="J161" s="73">
        <f>'Achievement Reward Base'!B190</f>
        <v>8</v>
      </c>
      <c r="K161" s="73" t="str">
        <f t="shared" si="79"/>
        <v>160001002</v>
      </c>
      <c r="L161" s="73">
        <f>'Achievement Reward Base'!D190</f>
        <v>80</v>
      </c>
      <c r="M161" s="73" t="s">
        <v>53</v>
      </c>
      <c r="N161" s="73">
        <f t="shared" si="72"/>
        <v>51456</v>
      </c>
      <c r="O161" s="73">
        <f t="shared" si="72"/>
        <v>52456</v>
      </c>
      <c r="P161" s="73">
        <f t="shared" si="80"/>
        <v>530800006</v>
      </c>
    </row>
    <row r="162" spans="1:16" ht="16.5" customHeight="1" x14ac:dyDescent="0.3">
      <c r="A162" s="73" t="b">
        <v>0</v>
      </c>
      <c r="B162" s="72" t="str">
        <f t="shared" si="75"/>
        <v>업적 - 결투장 9연승 달성</v>
      </c>
      <c r="C162" s="73">
        <f t="shared" si="76"/>
        <v>901641009</v>
      </c>
      <c r="D162" s="73">
        <f t="shared" si="77"/>
        <v>901641008</v>
      </c>
      <c r="E162" s="73">
        <f t="shared" si="74"/>
        <v>901641010</v>
      </c>
      <c r="F162" s="101" t="s">
        <v>1105</v>
      </c>
      <c r="G162" s="73">
        <f t="shared" si="81"/>
        <v>1</v>
      </c>
      <c r="H162" s="73">
        <f t="shared" si="78"/>
        <v>6</v>
      </c>
      <c r="I162" s="73">
        <f t="shared" si="78"/>
        <v>4</v>
      </c>
      <c r="J162" s="73">
        <f>'Achievement Reward Base'!B191</f>
        <v>9</v>
      </c>
      <c r="K162" s="73" t="str">
        <f t="shared" si="79"/>
        <v>160001002</v>
      </c>
      <c r="L162" s="73">
        <f>'Achievement Reward Base'!D191</f>
        <v>90</v>
      </c>
      <c r="M162" s="73" t="s">
        <v>53</v>
      </c>
      <c r="N162" s="73">
        <f t="shared" si="72"/>
        <v>51457</v>
      </c>
      <c r="O162" s="73">
        <f t="shared" si="72"/>
        <v>52457</v>
      </c>
      <c r="P162" s="73">
        <f t="shared" si="80"/>
        <v>530800006</v>
      </c>
    </row>
    <row r="163" spans="1:16" ht="16.5" customHeight="1" x14ac:dyDescent="0.3">
      <c r="A163" s="73" t="b">
        <v>0</v>
      </c>
      <c r="B163" s="72" t="str">
        <f t="shared" si="75"/>
        <v>업적 - 결투장 10연승 달성</v>
      </c>
      <c r="C163" s="73">
        <f t="shared" si="76"/>
        <v>901641010</v>
      </c>
      <c r="D163" s="73">
        <f t="shared" si="77"/>
        <v>901641009</v>
      </c>
      <c r="E163" s="73">
        <f t="shared" si="74"/>
        <v>901641011</v>
      </c>
      <c r="F163" s="101" t="s">
        <v>1105</v>
      </c>
      <c r="G163" s="73">
        <f t="shared" si="81"/>
        <v>1</v>
      </c>
      <c r="H163" s="73">
        <f t="shared" si="78"/>
        <v>6</v>
      </c>
      <c r="I163" s="73">
        <f t="shared" si="78"/>
        <v>4</v>
      </c>
      <c r="J163" s="73">
        <f>'Achievement Reward Base'!B192</f>
        <v>10</v>
      </c>
      <c r="K163" s="73" t="str">
        <f t="shared" si="79"/>
        <v>160001002</v>
      </c>
      <c r="L163" s="73">
        <f>'Achievement Reward Base'!D192</f>
        <v>100</v>
      </c>
      <c r="M163" s="73" t="s">
        <v>53</v>
      </c>
      <c r="N163" s="73">
        <f t="shared" si="72"/>
        <v>51458</v>
      </c>
      <c r="O163" s="73">
        <f t="shared" si="72"/>
        <v>52458</v>
      </c>
      <c r="P163" s="73">
        <f t="shared" si="80"/>
        <v>530800006</v>
      </c>
    </row>
    <row r="164" spans="1:16" ht="16.5" customHeight="1" x14ac:dyDescent="0.3">
      <c r="A164" s="73" t="b">
        <v>0</v>
      </c>
      <c r="B164" s="72" t="str">
        <f t="shared" si="75"/>
        <v>업적 - 결투장 11연승 달성</v>
      </c>
      <c r="C164" s="73">
        <f t="shared" si="76"/>
        <v>901641011</v>
      </c>
      <c r="D164" s="73">
        <f t="shared" si="77"/>
        <v>901641010</v>
      </c>
      <c r="E164" s="73">
        <f t="shared" si="74"/>
        <v>901641012</v>
      </c>
      <c r="F164" s="101" t="s">
        <v>1105</v>
      </c>
      <c r="G164" s="73">
        <f t="shared" si="81"/>
        <v>1</v>
      </c>
      <c r="H164" s="73">
        <f t="shared" si="78"/>
        <v>6</v>
      </c>
      <c r="I164" s="73">
        <f t="shared" si="78"/>
        <v>4</v>
      </c>
      <c r="J164" s="73">
        <f>'Achievement Reward Base'!B193</f>
        <v>11</v>
      </c>
      <c r="K164" s="73" t="str">
        <f t="shared" si="79"/>
        <v>160001002</v>
      </c>
      <c r="L164" s="73">
        <f>'Achievement Reward Base'!D193</f>
        <v>110</v>
      </c>
      <c r="M164" s="73" t="s">
        <v>53</v>
      </c>
      <c r="N164" s="73">
        <f t="shared" si="72"/>
        <v>51459</v>
      </c>
      <c r="O164" s="73">
        <f t="shared" si="72"/>
        <v>52459</v>
      </c>
      <c r="P164" s="73">
        <f t="shared" si="80"/>
        <v>530800006</v>
      </c>
    </row>
    <row r="165" spans="1:16" ht="16.5" customHeight="1" x14ac:dyDescent="0.3">
      <c r="A165" s="73" t="b">
        <v>0</v>
      </c>
      <c r="B165" s="72" t="str">
        <f t="shared" si="75"/>
        <v>업적 - 결투장 12연승 달성</v>
      </c>
      <c r="C165" s="73">
        <f t="shared" si="76"/>
        <v>901641012</v>
      </c>
      <c r="D165" s="73">
        <f t="shared" si="77"/>
        <v>901641011</v>
      </c>
      <c r="E165" s="73">
        <f t="shared" si="74"/>
        <v>901641013</v>
      </c>
      <c r="F165" s="101" t="s">
        <v>1105</v>
      </c>
      <c r="G165" s="73">
        <f t="shared" si="81"/>
        <v>1</v>
      </c>
      <c r="H165" s="73">
        <f t="shared" si="78"/>
        <v>6</v>
      </c>
      <c r="I165" s="73">
        <f t="shared" si="78"/>
        <v>4</v>
      </c>
      <c r="J165" s="73">
        <f>'Achievement Reward Base'!B194</f>
        <v>12</v>
      </c>
      <c r="K165" s="73" t="str">
        <f t="shared" si="79"/>
        <v>160001002</v>
      </c>
      <c r="L165" s="73">
        <f>'Achievement Reward Base'!D194</f>
        <v>120</v>
      </c>
      <c r="M165" s="73" t="s">
        <v>53</v>
      </c>
      <c r="N165" s="73">
        <f t="shared" si="72"/>
        <v>51460</v>
      </c>
      <c r="O165" s="73">
        <f t="shared" si="72"/>
        <v>52460</v>
      </c>
      <c r="P165" s="73">
        <f t="shared" si="80"/>
        <v>530800006</v>
      </c>
    </row>
    <row r="166" spans="1:16" ht="16.5" customHeight="1" x14ac:dyDescent="0.3">
      <c r="A166" s="73" t="b">
        <v>0</v>
      </c>
      <c r="B166" s="72" t="str">
        <f t="shared" si="75"/>
        <v>업적 - 결투장 13연승 달성</v>
      </c>
      <c r="C166" s="73">
        <f t="shared" si="76"/>
        <v>901641013</v>
      </c>
      <c r="D166" s="73">
        <f t="shared" si="77"/>
        <v>901641012</v>
      </c>
      <c r="E166" s="73">
        <f t="shared" si="74"/>
        <v>901641014</v>
      </c>
      <c r="F166" s="101" t="s">
        <v>1105</v>
      </c>
      <c r="G166" s="73">
        <f t="shared" si="81"/>
        <v>1</v>
      </c>
      <c r="H166" s="73">
        <f t="shared" si="78"/>
        <v>6</v>
      </c>
      <c r="I166" s="73">
        <f t="shared" si="78"/>
        <v>4</v>
      </c>
      <c r="J166" s="73">
        <f>'Achievement Reward Base'!B195</f>
        <v>13</v>
      </c>
      <c r="K166" s="73" t="str">
        <f t="shared" si="79"/>
        <v>160001002</v>
      </c>
      <c r="L166" s="73">
        <f>'Achievement Reward Base'!D195</f>
        <v>130</v>
      </c>
      <c r="M166" s="73" t="s">
        <v>53</v>
      </c>
      <c r="N166" s="73">
        <f t="shared" si="72"/>
        <v>51461</v>
      </c>
      <c r="O166" s="73">
        <f t="shared" si="72"/>
        <v>52461</v>
      </c>
      <c r="P166" s="73">
        <f t="shared" si="80"/>
        <v>530800006</v>
      </c>
    </row>
    <row r="167" spans="1:16" ht="16.5" customHeight="1" x14ac:dyDescent="0.3">
      <c r="A167" s="73" t="b">
        <v>0</v>
      </c>
      <c r="B167" s="72" t="str">
        <f t="shared" si="75"/>
        <v>업적 - 결투장 14연승 달성</v>
      </c>
      <c r="C167" s="73">
        <f t="shared" si="76"/>
        <v>901641014</v>
      </c>
      <c r="D167" s="73">
        <f t="shared" si="77"/>
        <v>901641013</v>
      </c>
      <c r="E167" s="73">
        <f t="shared" si="74"/>
        <v>901641015</v>
      </c>
      <c r="F167" s="101" t="s">
        <v>1105</v>
      </c>
      <c r="G167" s="73">
        <f t="shared" si="81"/>
        <v>1</v>
      </c>
      <c r="H167" s="73">
        <f t="shared" si="78"/>
        <v>6</v>
      </c>
      <c r="I167" s="73">
        <f t="shared" si="78"/>
        <v>4</v>
      </c>
      <c r="J167" s="73">
        <f>'Achievement Reward Base'!B196</f>
        <v>14</v>
      </c>
      <c r="K167" s="73" t="str">
        <f t="shared" si="79"/>
        <v>160001002</v>
      </c>
      <c r="L167" s="73">
        <f>'Achievement Reward Base'!D196</f>
        <v>140</v>
      </c>
      <c r="M167" s="73" t="s">
        <v>53</v>
      </c>
      <c r="N167" s="73">
        <f t="shared" si="72"/>
        <v>51462</v>
      </c>
      <c r="O167" s="73">
        <f t="shared" si="72"/>
        <v>52462</v>
      </c>
      <c r="P167" s="73">
        <f t="shared" si="80"/>
        <v>530800006</v>
      </c>
    </row>
    <row r="168" spans="1:16" ht="16.5" customHeight="1" x14ac:dyDescent="0.3">
      <c r="A168" s="73" t="b">
        <v>0</v>
      </c>
      <c r="B168" s="72" t="str">
        <f t="shared" si="75"/>
        <v>업적 - 결투장 15연승 달성</v>
      </c>
      <c r="C168" s="73">
        <f t="shared" si="76"/>
        <v>901641015</v>
      </c>
      <c r="D168" s="73">
        <f t="shared" si="77"/>
        <v>901641014</v>
      </c>
      <c r="E168" s="73">
        <f t="shared" si="74"/>
        <v>901641016</v>
      </c>
      <c r="F168" s="101" t="s">
        <v>1105</v>
      </c>
      <c r="G168" s="73">
        <f t="shared" si="81"/>
        <v>1</v>
      </c>
      <c r="H168" s="73">
        <f t="shared" si="78"/>
        <v>6</v>
      </c>
      <c r="I168" s="73">
        <f t="shared" si="78"/>
        <v>4</v>
      </c>
      <c r="J168" s="73">
        <f>'Achievement Reward Base'!B197</f>
        <v>15</v>
      </c>
      <c r="K168" s="73" t="str">
        <f t="shared" si="79"/>
        <v>160001002</v>
      </c>
      <c r="L168" s="73">
        <f>'Achievement Reward Base'!D197</f>
        <v>150</v>
      </c>
      <c r="M168" s="73" t="s">
        <v>53</v>
      </c>
      <c r="N168" s="73">
        <f t="shared" si="72"/>
        <v>51463</v>
      </c>
      <c r="O168" s="73">
        <f t="shared" si="72"/>
        <v>52463</v>
      </c>
      <c r="P168" s="73">
        <f t="shared" si="80"/>
        <v>530800006</v>
      </c>
    </row>
    <row r="169" spans="1:16" ht="16.5" customHeight="1" x14ac:dyDescent="0.3">
      <c r="A169" s="73" t="b">
        <v>0</v>
      </c>
      <c r="B169" s="72" t="str">
        <f t="shared" si="75"/>
        <v>업적 - 결투장 16연승 달성</v>
      </c>
      <c r="C169" s="73">
        <f t="shared" si="76"/>
        <v>901641016</v>
      </c>
      <c r="D169" s="73">
        <f t="shared" si="77"/>
        <v>901641015</v>
      </c>
      <c r="E169" s="73">
        <f t="shared" si="74"/>
        <v>901641017</v>
      </c>
      <c r="F169" s="101" t="s">
        <v>1105</v>
      </c>
      <c r="G169" s="73">
        <f t="shared" si="81"/>
        <v>1</v>
      </c>
      <c r="H169" s="73">
        <f t="shared" si="78"/>
        <v>6</v>
      </c>
      <c r="I169" s="73">
        <f t="shared" si="78"/>
        <v>4</v>
      </c>
      <c r="J169" s="73">
        <f>'Achievement Reward Base'!B198</f>
        <v>16</v>
      </c>
      <c r="K169" s="73" t="str">
        <f t="shared" si="79"/>
        <v>160001002</v>
      </c>
      <c r="L169" s="73">
        <f>'Achievement Reward Base'!D198</f>
        <v>160</v>
      </c>
      <c r="M169" s="73" t="s">
        <v>53</v>
      </c>
      <c r="N169" s="73">
        <f t="shared" si="72"/>
        <v>51464</v>
      </c>
      <c r="O169" s="73">
        <f t="shared" si="72"/>
        <v>52464</v>
      </c>
      <c r="P169" s="73">
        <f t="shared" si="80"/>
        <v>530800006</v>
      </c>
    </row>
    <row r="170" spans="1:16" ht="16.5" customHeight="1" x14ac:dyDescent="0.3">
      <c r="A170" s="73" t="b">
        <v>0</v>
      </c>
      <c r="B170" s="72" t="str">
        <f t="shared" si="75"/>
        <v>업적 - 결투장 17연승 달성</v>
      </c>
      <c r="C170" s="73">
        <f t="shared" si="76"/>
        <v>901641017</v>
      </c>
      <c r="D170" s="73">
        <f t="shared" si="77"/>
        <v>901641016</v>
      </c>
      <c r="E170" s="73">
        <f t="shared" si="74"/>
        <v>901641018</v>
      </c>
      <c r="F170" s="101" t="s">
        <v>1105</v>
      </c>
      <c r="G170" s="73">
        <f t="shared" si="81"/>
        <v>1</v>
      </c>
      <c r="H170" s="73">
        <f t="shared" si="78"/>
        <v>6</v>
      </c>
      <c r="I170" s="73">
        <f t="shared" si="78"/>
        <v>4</v>
      </c>
      <c r="J170" s="73">
        <f>'Achievement Reward Base'!B199</f>
        <v>17</v>
      </c>
      <c r="K170" s="73" t="str">
        <f t="shared" si="79"/>
        <v>160001002</v>
      </c>
      <c r="L170" s="73">
        <f>'Achievement Reward Base'!D199</f>
        <v>170</v>
      </c>
      <c r="M170" s="73" t="s">
        <v>53</v>
      </c>
      <c r="N170" s="73">
        <f t="shared" si="72"/>
        <v>51465</v>
      </c>
      <c r="O170" s="73">
        <f t="shared" si="72"/>
        <v>52465</v>
      </c>
      <c r="P170" s="73">
        <f t="shared" si="80"/>
        <v>530800006</v>
      </c>
    </row>
    <row r="171" spans="1:16" ht="16.5" customHeight="1" x14ac:dyDescent="0.3">
      <c r="A171" s="73" t="b">
        <v>0</v>
      </c>
      <c r="B171" s="72" t="str">
        <f t="shared" si="75"/>
        <v>업적 - 결투장 18연승 달성</v>
      </c>
      <c r="C171" s="73">
        <f t="shared" si="76"/>
        <v>901641018</v>
      </c>
      <c r="D171" s="73">
        <f t="shared" si="77"/>
        <v>901641017</v>
      </c>
      <c r="E171" s="73">
        <f t="shared" si="74"/>
        <v>901641019</v>
      </c>
      <c r="F171" s="101" t="s">
        <v>1105</v>
      </c>
      <c r="G171" s="73">
        <f t="shared" si="81"/>
        <v>1</v>
      </c>
      <c r="H171" s="73">
        <f t="shared" si="81"/>
        <v>6</v>
      </c>
      <c r="I171" s="73">
        <f t="shared" si="81"/>
        <v>4</v>
      </c>
      <c r="J171" s="73">
        <f>'Achievement Reward Base'!B200</f>
        <v>18</v>
      </c>
      <c r="K171" s="73" t="str">
        <f t="shared" si="79"/>
        <v>160001002</v>
      </c>
      <c r="L171" s="73">
        <f>'Achievement Reward Base'!D200</f>
        <v>180</v>
      </c>
      <c r="M171" s="73" t="s">
        <v>53</v>
      </c>
      <c r="N171" s="73">
        <f t="shared" si="72"/>
        <v>51466</v>
      </c>
      <c r="O171" s="73">
        <f t="shared" si="72"/>
        <v>52466</v>
      </c>
      <c r="P171" s="73">
        <f t="shared" si="80"/>
        <v>530800006</v>
      </c>
    </row>
    <row r="172" spans="1:16" ht="16.5" customHeight="1" x14ac:dyDescent="0.3">
      <c r="A172" s="73" t="b">
        <v>0</v>
      </c>
      <c r="B172" s="72" t="str">
        <f t="shared" si="75"/>
        <v>업적 - 결투장 19연승 달성</v>
      </c>
      <c r="C172" s="73">
        <f t="shared" si="76"/>
        <v>901641019</v>
      </c>
      <c r="D172" s="73">
        <f t="shared" si="77"/>
        <v>901641018</v>
      </c>
      <c r="E172" s="73">
        <f t="shared" si="74"/>
        <v>901641020</v>
      </c>
      <c r="F172" s="101" t="s">
        <v>1105</v>
      </c>
      <c r="G172" s="73">
        <f t="shared" ref="G172:I179" si="82">G171</f>
        <v>1</v>
      </c>
      <c r="H172" s="73">
        <f t="shared" si="82"/>
        <v>6</v>
      </c>
      <c r="I172" s="73">
        <f t="shared" si="82"/>
        <v>4</v>
      </c>
      <c r="J172" s="73">
        <f>'Achievement Reward Base'!B201</f>
        <v>19</v>
      </c>
      <c r="K172" s="73" t="str">
        <f t="shared" si="79"/>
        <v>160001002</v>
      </c>
      <c r="L172" s="73">
        <f>'Achievement Reward Base'!D201</f>
        <v>190</v>
      </c>
      <c r="M172" s="73" t="s">
        <v>1128</v>
      </c>
      <c r="N172" s="73">
        <f t="shared" si="72"/>
        <v>51467</v>
      </c>
      <c r="O172" s="73">
        <f t="shared" si="72"/>
        <v>52467</v>
      </c>
      <c r="P172" s="73">
        <f t="shared" si="80"/>
        <v>530800006</v>
      </c>
    </row>
    <row r="173" spans="1:16" ht="16.5" customHeight="1" x14ac:dyDescent="0.3">
      <c r="A173" s="73" t="b">
        <v>0</v>
      </c>
      <c r="B173" s="72" t="str">
        <f t="shared" si="75"/>
        <v>업적 - 결투장 20연승 달성</v>
      </c>
      <c r="C173" s="73">
        <f t="shared" si="76"/>
        <v>901641020</v>
      </c>
      <c r="D173" s="73">
        <f t="shared" si="77"/>
        <v>901641019</v>
      </c>
      <c r="E173" s="73">
        <f t="shared" si="74"/>
        <v>901641021</v>
      </c>
      <c r="F173" s="101" t="s">
        <v>1105</v>
      </c>
      <c r="G173" s="73">
        <f t="shared" si="82"/>
        <v>1</v>
      </c>
      <c r="H173" s="73">
        <f t="shared" si="82"/>
        <v>6</v>
      </c>
      <c r="I173" s="73">
        <f t="shared" si="82"/>
        <v>4</v>
      </c>
      <c r="J173" s="73">
        <f>'Achievement Reward Base'!B202</f>
        <v>20</v>
      </c>
      <c r="K173" s="73" t="str">
        <f t="shared" si="79"/>
        <v>160001002</v>
      </c>
      <c r="L173" s="73">
        <f>'Achievement Reward Base'!D202</f>
        <v>200</v>
      </c>
      <c r="M173" s="73" t="s">
        <v>1128</v>
      </c>
      <c r="N173" s="73">
        <f t="shared" si="72"/>
        <v>51468</v>
      </c>
      <c r="O173" s="73">
        <f t="shared" si="72"/>
        <v>52468</v>
      </c>
      <c r="P173" s="73">
        <f t="shared" si="80"/>
        <v>530800006</v>
      </c>
    </row>
    <row r="174" spans="1:16" ht="16.5" customHeight="1" x14ac:dyDescent="0.3">
      <c r="A174" s="73" t="b">
        <v>0</v>
      </c>
      <c r="B174" s="72" t="str">
        <f t="shared" si="75"/>
        <v>업적 - 결투장 25연승 달성</v>
      </c>
      <c r="C174" s="73">
        <f t="shared" si="76"/>
        <v>901641021</v>
      </c>
      <c r="D174" s="73">
        <f t="shared" si="77"/>
        <v>901641020</v>
      </c>
      <c r="E174" s="73">
        <f t="shared" si="74"/>
        <v>901641022</v>
      </c>
      <c r="F174" s="101" t="s">
        <v>1105</v>
      </c>
      <c r="G174" s="73">
        <f t="shared" si="82"/>
        <v>1</v>
      </c>
      <c r="H174" s="73">
        <f t="shared" si="82"/>
        <v>6</v>
      </c>
      <c r="I174" s="73">
        <f t="shared" si="82"/>
        <v>4</v>
      </c>
      <c r="J174" s="73">
        <f>'Achievement Reward Base'!B203</f>
        <v>25</v>
      </c>
      <c r="K174" s="73" t="str">
        <f t="shared" si="79"/>
        <v>160001002</v>
      </c>
      <c r="L174" s="73">
        <f>'Achievement Reward Base'!D203</f>
        <v>210</v>
      </c>
      <c r="M174" s="73" t="s">
        <v>53</v>
      </c>
      <c r="N174" s="73">
        <f t="shared" si="72"/>
        <v>51469</v>
      </c>
      <c r="O174" s="73">
        <f t="shared" si="72"/>
        <v>52469</v>
      </c>
      <c r="P174" s="73">
        <f t="shared" si="80"/>
        <v>530800006</v>
      </c>
    </row>
    <row r="175" spans="1:16" ht="16.5" customHeight="1" x14ac:dyDescent="0.3">
      <c r="A175" s="73" t="b">
        <v>0</v>
      </c>
      <c r="B175" s="72" t="str">
        <f t="shared" si="75"/>
        <v>업적 - 결투장 30연승 달성</v>
      </c>
      <c r="C175" s="73">
        <f t="shared" si="76"/>
        <v>901641022</v>
      </c>
      <c r="D175" s="73">
        <f t="shared" si="77"/>
        <v>901641021</v>
      </c>
      <c r="E175" s="73">
        <f t="shared" si="74"/>
        <v>901641023</v>
      </c>
      <c r="F175" s="101" t="s">
        <v>1105</v>
      </c>
      <c r="G175" s="73">
        <f t="shared" si="82"/>
        <v>1</v>
      </c>
      <c r="H175" s="73">
        <f t="shared" si="82"/>
        <v>6</v>
      </c>
      <c r="I175" s="73">
        <f t="shared" si="82"/>
        <v>4</v>
      </c>
      <c r="J175" s="73">
        <f>'Achievement Reward Base'!B204</f>
        <v>30</v>
      </c>
      <c r="K175" s="73" t="str">
        <f t="shared" si="79"/>
        <v>160001002</v>
      </c>
      <c r="L175" s="73">
        <f>'Achievement Reward Base'!D204</f>
        <v>220</v>
      </c>
      <c r="M175" s="73" t="s">
        <v>53</v>
      </c>
      <c r="N175" s="73">
        <f t="shared" si="72"/>
        <v>51470</v>
      </c>
      <c r="O175" s="73">
        <f t="shared" si="72"/>
        <v>52470</v>
      </c>
      <c r="P175" s="73">
        <f t="shared" si="80"/>
        <v>530800006</v>
      </c>
    </row>
    <row r="176" spans="1:16" ht="16.5" customHeight="1" x14ac:dyDescent="0.3">
      <c r="A176" s="73" t="b">
        <v>0</v>
      </c>
      <c r="B176" s="72" t="str">
        <f t="shared" si="75"/>
        <v>업적 - 결투장 35연승 달성</v>
      </c>
      <c r="C176" s="73">
        <f t="shared" si="76"/>
        <v>901641023</v>
      </c>
      <c r="D176" s="73">
        <f t="shared" si="77"/>
        <v>901641022</v>
      </c>
      <c r="E176" s="73">
        <f t="shared" si="74"/>
        <v>901641024</v>
      </c>
      <c r="F176" s="101" t="s">
        <v>1105</v>
      </c>
      <c r="G176" s="73">
        <f t="shared" si="82"/>
        <v>1</v>
      </c>
      <c r="H176" s="73">
        <f t="shared" si="82"/>
        <v>6</v>
      </c>
      <c r="I176" s="73">
        <f t="shared" si="82"/>
        <v>4</v>
      </c>
      <c r="J176" s="73">
        <f>'Achievement Reward Base'!B205</f>
        <v>35</v>
      </c>
      <c r="K176" s="73" t="str">
        <f t="shared" si="79"/>
        <v>160001002</v>
      </c>
      <c r="L176" s="73">
        <f>'Achievement Reward Base'!D205</f>
        <v>230</v>
      </c>
      <c r="M176" s="73" t="s">
        <v>53</v>
      </c>
      <c r="N176" s="73">
        <f t="shared" si="72"/>
        <v>51471</v>
      </c>
      <c r="O176" s="73">
        <f t="shared" si="72"/>
        <v>52471</v>
      </c>
      <c r="P176" s="73">
        <f t="shared" si="80"/>
        <v>530800006</v>
      </c>
    </row>
    <row r="177" spans="1:16" ht="16.5" customHeight="1" x14ac:dyDescent="0.3">
      <c r="A177" s="73" t="b">
        <v>0</v>
      </c>
      <c r="B177" s="72" t="str">
        <f t="shared" si="75"/>
        <v>업적 - 결투장 40연승 달성</v>
      </c>
      <c r="C177" s="73">
        <f t="shared" si="76"/>
        <v>901641024</v>
      </c>
      <c r="D177" s="73">
        <f t="shared" si="77"/>
        <v>901641023</v>
      </c>
      <c r="E177" s="73">
        <f t="shared" si="74"/>
        <v>901641025</v>
      </c>
      <c r="F177" s="101" t="s">
        <v>1105</v>
      </c>
      <c r="G177" s="73">
        <f t="shared" si="82"/>
        <v>1</v>
      </c>
      <c r="H177" s="73">
        <f t="shared" si="82"/>
        <v>6</v>
      </c>
      <c r="I177" s="73">
        <f t="shared" si="82"/>
        <v>4</v>
      </c>
      <c r="J177" s="73">
        <f>'Achievement Reward Base'!B206</f>
        <v>40</v>
      </c>
      <c r="K177" s="73" t="str">
        <f t="shared" si="79"/>
        <v>160001002</v>
      </c>
      <c r="L177" s="73">
        <f>'Achievement Reward Base'!D206</f>
        <v>240</v>
      </c>
      <c r="M177" s="73" t="s">
        <v>53</v>
      </c>
      <c r="N177" s="73">
        <f t="shared" si="72"/>
        <v>51472</v>
      </c>
      <c r="O177" s="73">
        <f t="shared" si="72"/>
        <v>52472</v>
      </c>
      <c r="P177" s="73">
        <f t="shared" si="80"/>
        <v>530800006</v>
      </c>
    </row>
    <row r="178" spans="1:16" ht="16.5" customHeight="1" x14ac:dyDescent="0.3">
      <c r="A178" s="73" t="b">
        <v>0</v>
      </c>
      <c r="B178" s="72" t="str">
        <f t="shared" si="75"/>
        <v>업적 - 결투장 45연승 달성</v>
      </c>
      <c r="C178" s="73">
        <f t="shared" si="76"/>
        <v>901641025</v>
      </c>
      <c r="D178" s="73">
        <f t="shared" si="77"/>
        <v>901641024</v>
      </c>
      <c r="E178" s="73">
        <f t="shared" si="74"/>
        <v>901641026</v>
      </c>
      <c r="F178" s="101" t="s">
        <v>1105</v>
      </c>
      <c r="G178" s="73">
        <f t="shared" si="82"/>
        <v>1</v>
      </c>
      <c r="H178" s="73">
        <f t="shared" si="82"/>
        <v>6</v>
      </c>
      <c r="I178" s="73">
        <f t="shared" si="82"/>
        <v>4</v>
      </c>
      <c r="J178" s="73">
        <f>'Achievement Reward Base'!B207</f>
        <v>45</v>
      </c>
      <c r="K178" s="73" t="str">
        <f t="shared" si="79"/>
        <v>160001002</v>
      </c>
      <c r="L178" s="73">
        <f>'Achievement Reward Base'!D207</f>
        <v>250</v>
      </c>
      <c r="M178" s="73" t="s">
        <v>53</v>
      </c>
      <c r="N178" s="73">
        <f t="shared" si="72"/>
        <v>51473</v>
      </c>
      <c r="O178" s="73">
        <f t="shared" si="72"/>
        <v>52473</v>
      </c>
      <c r="P178" s="73">
        <f t="shared" si="80"/>
        <v>530800006</v>
      </c>
    </row>
    <row r="179" spans="1:16" ht="16.5" customHeight="1" x14ac:dyDescent="0.3">
      <c r="A179" s="73" t="b">
        <v>0</v>
      </c>
      <c r="B179" s="72" t="str">
        <f t="shared" si="75"/>
        <v>업적 - 결투장 50연승 달성</v>
      </c>
      <c r="C179" s="73">
        <f t="shared" si="76"/>
        <v>901641026</v>
      </c>
      <c r="D179" s="73">
        <f t="shared" si="77"/>
        <v>901641025</v>
      </c>
      <c r="E179" s="73">
        <f t="shared" si="74"/>
        <v>901641027</v>
      </c>
      <c r="F179" s="101" t="s">
        <v>1105</v>
      </c>
      <c r="G179" s="73">
        <f t="shared" si="82"/>
        <v>1</v>
      </c>
      <c r="H179" s="73">
        <f t="shared" si="82"/>
        <v>6</v>
      </c>
      <c r="I179" s="73">
        <f t="shared" si="82"/>
        <v>4</v>
      </c>
      <c r="J179" s="73">
        <f>'Achievement Reward Base'!B208</f>
        <v>50</v>
      </c>
      <c r="K179" s="73" t="str">
        <f t="shared" si="79"/>
        <v>160001002</v>
      </c>
      <c r="L179" s="73">
        <f>'Achievement Reward Base'!D208</f>
        <v>260</v>
      </c>
      <c r="M179" s="73" t="s">
        <v>53</v>
      </c>
      <c r="N179" s="73">
        <f t="shared" si="72"/>
        <v>51474</v>
      </c>
      <c r="O179" s="73">
        <f t="shared" si="72"/>
        <v>52474</v>
      </c>
      <c r="P179" s="73">
        <f t="shared" si="80"/>
        <v>530800006</v>
      </c>
    </row>
    <row r="180" spans="1:16" ht="16.5" customHeight="1" x14ac:dyDescent="0.3">
      <c r="A180" s="73" t="b">
        <v>0</v>
      </c>
      <c r="B180" s="72" t="str">
        <f t="shared" ref="B180:B184" si="83">"업적 - 결투장 "&amp;J180&amp;"연승 달성"</f>
        <v>업적 - 결투장 60연승 달성</v>
      </c>
      <c r="C180" s="73">
        <f t="shared" si="76"/>
        <v>901641027</v>
      </c>
      <c r="D180" s="73">
        <f t="shared" ref="D180:D184" si="84">C179</f>
        <v>901641026</v>
      </c>
      <c r="E180" s="73">
        <f t="shared" si="74"/>
        <v>901641028</v>
      </c>
      <c r="F180" s="101" t="s">
        <v>1105</v>
      </c>
      <c r="G180" s="73">
        <f t="shared" ref="G180:I180" si="85">G179</f>
        <v>1</v>
      </c>
      <c r="H180" s="73">
        <f t="shared" si="85"/>
        <v>6</v>
      </c>
      <c r="I180" s="73">
        <f t="shared" si="85"/>
        <v>4</v>
      </c>
      <c r="J180" s="73">
        <f>'Achievement Reward Base'!B209</f>
        <v>60</v>
      </c>
      <c r="K180" s="73" t="str">
        <f t="shared" si="79"/>
        <v>160001002</v>
      </c>
      <c r="L180" s="73">
        <f>'Achievement Reward Base'!D209</f>
        <v>270</v>
      </c>
      <c r="M180" s="73" t="s">
        <v>53</v>
      </c>
      <c r="N180" s="73">
        <f t="shared" si="72"/>
        <v>51475</v>
      </c>
      <c r="O180" s="73">
        <f t="shared" si="72"/>
        <v>52475</v>
      </c>
      <c r="P180" s="73">
        <f t="shared" si="80"/>
        <v>530800006</v>
      </c>
    </row>
    <row r="181" spans="1:16" ht="16.5" customHeight="1" x14ac:dyDescent="0.3">
      <c r="A181" s="73" t="b">
        <v>0</v>
      </c>
      <c r="B181" s="72" t="str">
        <f t="shared" si="83"/>
        <v>업적 - 결투장 70연승 달성</v>
      </c>
      <c r="C181" s="73">
        <f t="shared" si="76"/>
        <v>901641028</v>
      </c>
      <c r="D181" s="73">
        <f t="shared" si="84"/>
        <v>901641027</v>
      </c>
      <c r="E181" s="73">
        <f t="shared" si="74"/>
        <v>901641029</v>
      </c>
      <c r="F181" s="101" t="s">
        <v>1105</v>
      </c>
      <c r="G181" s="73">
        <f t="shared" ref="G181:I181" si="86">G180</f>
        <v>1</v>
      </c>
      <c r="H181" s="73">
        <f t="shared" si="86"/>
        <v>6</v>
      </c>
      <c r="I181" s="73">
        <f t="shared" si="86"/>
        <v>4</v>
      </c>
      <c r="J181" s="73">
        <f>'Achievement Reward Base'!B210</f>
        <v>70</v>
      </c>
      <c r="K181" s="73" t="str">
        <f t="shared" si="79"/>
        <v>160001002</v>
      </c>
      <c r="L181" s="73">
        <f>'Achievement Reward Base'!D210</f>
        <v>280</v>
      </c>
      <c r="M181" s="73" t="s">
        <v>53</v>
      </c>
      <c r="N181" s="73">
        <f t="shared" si="72"/>
        <v>51476</v>
      </c>
      <c r="O181" s="73">
        <f t="shared" si="72"/>
        <v>52476</v>
      </c>
      <c r="P181" s="73">
        <f t="shared" si="80"/>
        <v>530800006</v>
      </c>
    </row>
    <row r="182" spans="1:16" ht="16.5" customHeight="1" x14ac:dyDescent="0.3">
      <c r="A182" s="73" t="b">
        <v>0</v>
      </c>
      <c r="B182" s="72" t="str">
        <f t="shared" si="83"/>
        <v>업적 - 결투장 80연승 달성</v>
      </c>
      <c r="C182" s="73">
        <f t="shared" si="76"/>
        <v>901641029</v>
      </c>
      <c r="D182" s="73">
        <f t="shared" si="84"/>
        <v>901641028</v>
      </c>
      <c r="E182" s="73">
        <f t="shared" si="74"/>
        <v>901641030</v>
      </c>
      <c r="F182" s="101" t="s">
        <v>1105</v>
      </c>
      <c r="G182" s="73">
        <f t="shared" ref="G182:I182" si="87">G181</f>
        <v>1</v>
      </c>
      <c r="H182" s="73">
        <f t="shared" si="87"/>
        <v>6</v>
      </c>
      <c r="I182" s="73">
        <f t="shared" si="87"/>
        <v>4</v>
      </c>
      <c r="J182" s="73">
        <f>'Achievement Reward Base'!B211</f>
        <v>80</v>
      </c>
      <c r="K182" s="73" t="str">
        <f t="shared" si="79"/>
        <v>160001002</v>
      </c>
      <c r="L182" s="73">
        <f>'Achievement Reward Base'!D211</f>
        <v>290</v>
      </c>
      <c r="M182" s="73" t="s">
        <v>53</v>
      </c>
      <c r="N182" s="73">
        <f t="shared" si="72"/>
        <v>51477</v>
      </c>
      <c r="O182" s="73">
        <f t="shared" si="72"/>
        <v>52477</v>
      </c>
      <c r="P182" s="73">
        <f t="shared" si="80"/>
        <v>530800006</v>
      </c>
    </row>
    <row r="183" spans="1:16" ht="16.5" customHeight="1" x14ac:dyDescent="0.3">
      <c r="A183" s="73" t="b">
        <v>0</v>
      </c>
      <c r="B183" s="72" t="str">
        <f t="shared" si="83"/>
        <v>업적 - 결투장 90연승 달성</v>
      </c>
      <c r="C183" s="73">
        <f t="shared" si="76"/>
        <v>901641030</v>
      </c>
      <c r="D183" s="73">
        <f t="shared" si="84"/>
        <v>901641029</v>
      </c>
      <c r="E183" s="73">
        <f t="shared" si="74"/>
        <v>901641031</v>
      </c>
      <c r="F183" s="101" t="s">
        <v>1105</v>
      </c>
      <c r="G183" s="73">
        <f t="shared" ref="G183:I183" si="88">G182</f>
        <v>1</v>
      </c>
      <c r="H183" s="73">
        <f t="shared" si="88"/>
        <v>6</v>
      </c>
      <c r="I183" s="73">
        <f t="shared" si="88"/>
        <v>4</v>
      </c>
      <c r="J183" s="73">
        <f>'Achievement Reward Base'!B212</f>
        <v>90</v>
      </c>
      <c r="K183" s="73" t="str">
        <f t="shared" si="79"/>
        <v>160001002</v>
      </c>
      <c r="L183" s="73">
        <f>'Achievement Reward Base'!D212</f>
        <v>300</v>
      </c>
      <c r="M183" s="73" t="s">
        <v>53</v>
      </c>
      <c r="N183" s="73">
        <f t="shared" si="72"/>
        <v>51478</v>
      </c>
      <c r="O183" s="73">
        <f t="shared" si="72"/>
        <v>52478</v>
      </c>
      <c r="P183" s="73">
        <f t="shared" si="80"/>
        <v>530800006</v>
      </c>
    </row>
    <row r="184" spans="1:16" ht="16.5" customHeight="1" x14ac:dyDescent="0.3">
      <c r="A184" s="73" t="b">
        <v>0</v>
      </c>
      <c r="B184" s="72" t="str">
        <f t="shared" si="83"/>
        <v>업적 - 결투장 100연승 달성</v>
      </c>
      <c r="C184" s="73">
        <f t="shared" si="76"/>
        <v>901641031</v>
      </c>
      <c r="D184" s="73">
        <f t="shared" si="84"/>
        <v>901641030</v>
      </c>
      <c r="E184" s="73">
        <v>0</v>
      </c>
      <c r="F184" s="101" t="s">
        <v>1105</v>
      </c>
      <c r="G184" s="73">
        <f t="shared" ref="G184:I184" si="89">G183</f>
        <v>1</v>
      </c>
      <c r="H184" s="73">
        <f t="shared" si="89"/>
        <v>6</v>
      </c>
      <c r="I184" s="73">
        <f t="shared" si="89"/>
        <v>4</v>
      </c>
      <c r="J184" s="73">
        <f>'Achievement Reward Base'!B213</f>
        <v>100</v>
      </c>
      <c r="K184" s="73" t="str">
        <f t="shared" si="79"/>
        <v>160001002</v>
      </c>
      <c r="L184" s="73">
        <f>'Achievement Reward Base'!D213</f>
        <v>310</v>
      </c>
      <c r="M184" s="73" t="s">
        <v>53</v>
      </c>
      <c r="N184" s="73">
        <f t="shared" si="72"/>
        <v>51479</v>
      </c>
      <c r="O184" s="73">
        <f t="shared" si="72"/>
        <v>52479</v>
      </c>
      <c r="P184" s="73">
        <f t="shared" si="80"/>
        <v>530800006</v>
      </c>
    </row>
    <row r="185" spans="1:16" ht="16.5" customHeight="1" x14ac:dyDescent="0.3">
      <c r="A185" s="73" t="b">
        <v>0</v>
      </c>
      <c r="B185" s="72" t="str">
        <f>"업적 - 길드전 참가 누적 횟수 " &amp; J185 &amp; "회"</f>
        <v>업적 - 길드전 참가 누적 횟수 1회</v>
      </c>
      <c r="C185" s="73" t="str">
        <f>90&amp;G185&amp;H185&amp;I185&amp;1001</f>
        <v>901721001</v>
      </c>
      <c r="D185" s="73">
        <v>0</v>
      </c>
      <c r="E185" s="73">
        <f t="shared" ref="E185:E211" si="90">C186</f>
        <v>901721002</v>
      </c>
      <c r="F185" s="101" t="s">
        <v>1105</v>
      </c>
      <c r="G185" s="73">
        <v>1</v>
      </c>
      <c r="H185" s="73">
        <v>7</v>
      </c>
      <c r="I185" s="73">
        <v>2</v>
      </c>
      <c r="J185" s="73">
        <f>'Achievement Reward Base'!B214</f>
        <v>1</v>
      </c>
      <c r="K185" s="73" t="str">
        <f>IF(M185="Gem","160001002",IF(M185="Gold","160001001"))</f>
        <v>160001001</v>
      </c>
      <c r="L185" s="73">
        <f>'Achievement Reward Base'!D214</f>
        <v>2000</v>
      </c>
      <c r="M185" s="73" t="s">
        <v>56</v>
      </c>
      <c r="N185" s="73">
        <f t="shared" si="72"/>
        <v>51480</v>
      </c>
      <c r="O185" s="73">
        <f t="shared" si="72"/>
        <v>52480</v>
      </c>
      <c r="P185" s="73">
        <v>530800007</v>
      </c>
    </row>
    <row r="186" spans="1:16" ht="16.5" customHeight="1" x14ac:dyDescent="0.3">
      <c r="A186" s="73" t="b">
        <v>0</v>
      </c>
      <c r="B186" s="72" t="str">
        <f t="shared" ref="B186:B198" si="91">"업적 - 길드전 참가 누적 횟수 " &amp; J186 &amp; "회"</f>
        <v>업적 - 길드전 참가 누적 횟수 10회</v>
      </c>
      <c r="C186" s="73">
        <f t="shared" ref="C186:C198" si="92">C185+1</f>
        <v>901721002</v>
      </c>
      <c r="D186" s="73" t="str">
        <f t="shared" ref="D186:D212" si="93">C185</f>
        <v>901721001</v>
      </c>
      <c r="E186" s="73">
        <f t="shared" si="90"/>
        <v>901721003</v>
      </c>
      <c r="F186" s="101" t="s">
        <v>1105</v>
      </c>
      <c r="G186" s="73">
        <f>G185</f>
        <v>1</v>
      </c>
      <c r="H186" s="73">
        <f t="shared" ref="H186:I198" si="94">H185</f>
        <v>7</v>
      </c>
      <c r="I186" s="73">
        <f t="shared" si="94"/>
        <v>2</v>
      </c>
      <c r="J186" s="73">
        <f>'Achievement Reward Base'!B215</f>
        <v>10</v>
      </c>
      <c r="K186" s="73" t="str">
        <f t="shared" ref="K186:K198" si="95">K185</f>
        <v>160001001</v>
      </c>
      <c r="L186" s="73">
        <f>'Achievement Reward Base'!D215</f>
        <v>5000</v>
      </c>
      <c r="M186" s="73" t="s">
        <v>56</v>
      </c>
      <c r="N186" s="73">
        <f t="shared" si="72"/>
        <v>51481</v>
      </c>
      <c r="O186" s="73">
        <f t="shared" si="72"/>
        <v>52481</v>
      </c>
      <c r="P186" s="73">
        <f t="shared" ref="P186:P198" si="96">P185</f>
        <v>530800007</v>
      </c>
    </row>
    <row r="187" spans="1:16" ht="16.5" customHeight="1" x14ac:dyDescent="0.3">
      <c r="A187" s="73" t="b">
        <v>0</v>
      </c>
      <c r="B187" s="72" t="str">
        <f t="shared" si="91"/>
        <v>업적 - 길드전 참가 누적 횟수 20회</v>
      </c>
      <c r="C187" s="73">
        <f t="shared" si="92"/>
        <v>901721003</v>
      </c>
      <c r="D187" s="73">
        <f t="shared" si="93"/>
        <v>901721002</v>
      </c>
      <c r="E187" s="73">
        <f t="shared" si="90"/>
        <v>901721004</v>
      </c>
      <c r="F187" s="101" t="s">
        <v>1105</v>
      </c>
      <c r="G187" s="73">
        <f t="shared" ref="G187:G198" si="97">G186</f>
        <v>1</v>
      </c>
      <c r="H187" s="73">
        <f t="shared" si="94"/>
        <v>7</v>
      </c>
      <c r="I187" s="73">
        <f t="shared" si="94"/>
        <v>2</v>
      </c>
      <c r="J187" s="73">
        <f>'Achievement Reward Base'!B216</f>
        <v>20</v>
      </c>
      <c r="K187" s="73" t="str">
        <f t="shared" si="95"/>
        <v>160001001</v>
      </c>
      <c r="L187" s="73">
        <f>'Achievement Reward Base'!D216</f>
        <v>7500</v>
      </c>
      <c r="M187" s="73" t="s">
        <v>56</v>
      </c>
      <c r="N187" s="73">
        <f t="shared" si="72"/>
        <v>51482</v>
      </c>
      <c r="O187" s="73">
        <f t="shared" si="72"/>
        <v>52482</v>
      </c>
      <c r="P187" s="73">
        <f t="shared" si="96"/>
        <v>530800007</v>
      </c>
    </row>
    <row r="188" spans="1:16" ht="16.5" customHeight="1" x14ac:dyDescent="0.3">
      <c r="A188" s="73" t="b">
        <v>0</v>
      </c>
      <c r="B188" s="72" t="str">
        <f t="shared" si="91"/>
        <v>업적 - 길드전 참가 누적 횟수 30회</v>
      </c>
      <c r="C188" s="73">
        <f t="shared" si="92"/>
        <v>901721004</v>
      </c>
      <c r="D188" s="73">
        <f t="shared" si="93"/>
        <v>901721003</v>
      </c>
      <c r="E188" s="73">
        <f t="shared" si="90"/>
        <v>901721005</v>
      </c>
      <c r="F188" s="101" t="s">
        <v>1105</v>
      </c>
      <c r="G188" s="73">
        <f t="shared" si="97"/>
        <v>1</v>
      </c>
      <c r="H188" s="73">
        <f t="shared" si="94"/>
        <v>7</v>
      </c>
      <c r="I188" s="73">
        <f t="shared" si="94"/>
        <v>2</v>
      </c>
      <c r="J188" s="73">
        <f>'Achievement Reward Base'!B217</f>
        <v>30</v>
      </c>
      <c r="K188" s="73" t="str">
        <f t="shared" si="95"/>
        <v>160001001</v>
      </c>
      <c r="L188" s="73">
        <f>'Achievement Reward Base'!D217</f>
        <v>10000</v>
      </c>
      <c r="M188" s="73" t="s">
        <v>56</v>
      </c>
      <c r="N188" s="73">
        <f t="shared" si="72"/>
        <v>51483</v>
      </c>
      <c r="O188" s="73">
        <f t="shared" si="72"/>
        <v>52483</v>
      </c>
      <c r="P188" s="73">
        <f t="shared" si="96"/>
        <v>530800007</v>
      </c>
    </row>
    <row r="189" spans="1:16" ht="16.5" customHeight="1" x14ac:dyDescent="0.3">
      <c r="A189" s="73" t="b">
        <v>0</v>
      </c>
      <c r="B189" s="72" t="str">
        <f t="shared" si="91"/>
        <v>업적 - 길드전 참가 누적 횟수 50회</v>
      </c>
      <c r="C189" s="73">
        <f t="shared" si="92"/>
        <v>901721005</v>
      </c>
      <c r="D189" s="73">
        <f t="shared" si="93"/>
        <v>901721004</v>
      </c>
      <c r="E189" s="73">
        <f t="shared" si="90"/>
        <v>901721006</v>
      </c>
      <c r="F189" s="101" t="s">
        <v>1105</v>
      </c>
      <c r="G189" s="73">
        <f t="shared" si="97"/>
        <v>1</v>
      </c>
      <c r="H189" s="73">
        <f t="shared" si="94"/>
        <v>7</v>
      </c>
      <c r="I189" s="73">
        <f t="shared" si="94"/>
        <v>2</v>
      </c>
      <c r="J189" s="73">
        <f>'Achievement Reward Base'!B218</f>
        <v>50</v>
      </c>
      <c r="K189" s="73" t="str">
        <f t="shared" si="95"/>
        <v>160001001</v>
      </c>
      <c r="L189" s="73">
        <f>'Achievement Reward Base'!D218</f>
        <v>15000</v>
      </c>
      <c r="M189" s="73" t="s">
        <v>56</v>
      </c>
      <c r="N189" s="73">
        <f t="shared" si="72"/>
        <v>51484</v>
      </c>
      <c r="O189" s="73">
        <f t="shared" si="72"/>
        <v>52484</v>
      </c>
      <c r="P189" s="73">
        <f t="shared" si="96"/>
        <v>530800007</v>
      </c>
    </row>
    <row r="190" spans="1:16" ht="16.5" customHeight="1" x14ac:dyDescent="0.3">
      <c r="A190" s="73" t="b">
        <v>0</v>
      </c>
      <c r="B190" s="72" t="str">
        <f t="shared" si="91"/>
        <v>업적 - 길드전 참가 누적 횟수 100회</v>
      </c>
      <c r="C190" s="73">
        <f t="shared" si="92"/>
        <v>901721006</v>
      </c>
      <c r="D190" s="73">
        <f t="shared" si="93"/>
        <v>901721005</v>
      </c>
      <c r="E190" s="73">
        <f t="shared" si="90"/>
        <v>901721007</v>
      </c>
      <c r="F190" s="101" t="s">
        <v>1105</v>
      </c>
      <c r="G190" s="73">
        <f t="shared" si="97"/>
        <v>1</v>
      </c>
      <c r="H190" s="73">
        <f t="shared" si="94"/>
        <v>7</v>
      </c>
      <c r="I190" s="73">
        <f t="shared" si="94"/>
        <v>2</v>
      </c>
      <c r="J190" s="73">
        <f>'Achievement Reward Base'!B219</f>
        <v>100</v>
      </c>
      <c r="K190" s="73" t="str">
        <f t="shared" si="95"/>
        <v>160001001</v>
      </c>
      <c r="L190" s="73">
        <f>'Achievement Reward Base'!D219</f>
        <v>20000</v>
      </c>
      <c r="M190" s="73" t="s">
        <v>56</v>
      </c>
      <c r="N190" s="73">
        <f t="shared" si="72"/>
        <v>51485</v>
      </c>
      <c r="O190" s="73">
        <f t="shared" si="72"/>
        <v>52485</v>
      </c>
      <c r="P190" s="73">
        <f t="shared" si="96"/>
        <v>530800007</v>
      </c>
    </row>
    <row r="191" spans="1:16" ht="16.5" customHeight="1" x14ac:dyDescent="0.3">
      <c r="A191" s="73" t="b">
        <v>0</v>
      </c>
      <c r="B191" s="72" t="str">
        <f t="shared" si="91"/>
        <v>업적 - 길드전 참가 누적 횟수 150회</v>
      </c>
      <c r="C191" s="73">
        <f t="shared" si="92"/>
        <v>901721007</v>
      </c>
      <c r="D191" s="73">
        <f t="shared" si="93"/>
        <v>901721006</v>
      </c>
      <c r="E191" s="73">
        <f t="shared" si="90"/>
        <v>901721008</v>
      </c>
      <c r="F191" s="101" t="s">
        <v>1105</v>
      </c>
      <c r="G191" s="73">
        <f t="shared" si="97"/>
        <v>1</v>
      </c>
      <c r="H191" s="73">
        <f t="shared" si="94"/>
        <v>7</v>
      </c>
      <c r="I191" s="73">
        <f t="shared" si="94"/>
        <v>2</v>
      </c>
      <c r="J191" s="73">
        <f>'Achievement Reward Base'!B220</f>
        <v>150</v>
      </c>
      <c r="K191" s="73" t="str">
        <f t="shared" si="95"/>
        <v>160001001</v>
      </c>
      <c r="L191" s="73">
        <f>'Achievement Reward Base'!D220</f>
        <v>25000</v>
      </c>
      <c r="M191" s="73" t="s">
        <v>56</v>
      </c>
      <c r="N191" s="73">
        <f t="shared" si="72"/>
        <v>51486</v>
      </c>
      <c r="O191" s="73">
        <f t="shared" si="72"/>
        <v>52486</v>
      </c>
      <c r="P191" s="73">
        <f t="shared" si="96"/>
        <v>530800007</v>
      </c>
    </row>
    <row r="192" spans="1:16" ht="16.5" customHeight="1" x14ac:dyDescent="0.3">
      <c r="A192" s="73" t="b">
        <v>0</v>
      </c>
      <c r="B192" s="72" t="str">
        <f t="shared" si="91"/>
        <v>업적 - 길드전 참가 누적 횟수 200회</v>
      </c>
      <c r="C192" s="73">
        <f t="shared" si="92"/>
        <v>901721008</v>
      </c>
      <c r="D192" s="73">
        <f t="shared" si="93"/>
        <v>901721007</v>
      </c>
      <c r="E192" s="73">
        <f t="shared" si="90"/>
        <v>901721009</v>
      </c>
      <c r="F192" s="101" t="s">
        <v>1105</v>
      </c>
      <c r="G192" s="73">
        <f t="shared" si="97"/>
        <v>1</v>
      </c>
      <c r="H192" s="73">
        <f t="shared" si="94"/>
        <v>7</v>
      </c>
      <c r="I192" s="73">
        <f t="shared" si="94"/>
        <v>2</v>
      </c>
      <c r="J192" s="73">
        <f>'Achievement Reward Base'!B221</f>
        <v>200</v>
      </c>
      <c r="K192" s="73" t="str">
        <f t="shared" si="95"/>
        <v>160001001</v>
      </c>
      <c r="L192" s="73">
        <f>'Achievement Reward Base'!D221</f>
        <v>30000</v>
      </c>
      <c r="M192" s="73" t="s">
        <v>56</v>
      </c>
      <c r="N192" s="73">
        <f t="shared" si="72"/>
        <v>51487</v>
      </c>
      <c r="O192" s="73">
        <f t="shared" si="72"/>
        <v>52487</v>
      </c>
      <c r="P192" s="73">
        <f t="shared" si="96"/>
        <v>530800007</v>
      </c>
    </row>
    <row r="193" spans="1:16" ht="16.5" customHeight="1" x14ac:dyDescent="0.3">
      <c r="A193" s="73" t="b">
        <v>0</v>
      </c>
      <c r="B193" s="72" t="str">
        <f t="shared" si="91"/>
        <v>업적 - 길드전 참가 누적 횟수 250회</v>
      </c>
      <c r="C193" s="73">
        <f t="shared" si="92"/>
        <v>901721009</v>
      </c>
      <c r="D193" s="73">
        <f t="shared" si="93"/>
        <v>901721008</v>
      </c>
      <c r="E193" s="73">
        <f t="shared" si="90"/>
        <v>901721010</v>
      </c>
      <c r="F193" s="101" t="s">
        <v>1105</v>
      </c>
      <c r="G193" s="73">
        <f t="shared" si="97"/>
        <v>1</v>
      </c>
      <c r="H193" s="73">
        <f t="shared" si="94"/>
        <v>7</v>
      </c>
      <c r="I193" s="73">
        <f t="shared" si="94"/>
        <v>2</v>
      </c>
      <c r="J193" s="73">
        <f>'Achievement Reward Base'!B222</f>
        <v>250</v>
      </c>
      <c r="K193" s="73" t="str">
        <f t="shared" si="95"/>
        <v>160001001</v>
      </c>
      <c r="L193" s="73">
        <f>'Achievement Reward Base'!D222</f>
        <v>40000</v>
      </c>
      <c r="M193" s="73" t="s">
        <v>56</v>
      </c>
      <c r="N193" s="73">
        <f t="shared" si="72"/>
        <v>51488</v>
      </c>
      <c r="O193" s="73">
        <f t="shared" si="72"/>
        <v>52488</v>
      </c>
      <c r="P193" s="73">
        <f t="shared" si="96"/>
        <v>530800007</v>
      </c>
    </row>
    <row r="194" spans="1:16" ht="16.5" customHeight="1" x14ac:dyDescent="0.3">
      <c r="A194" s="73" t="b">
        <v>0</v>
      </c>
      <c r="B194" s="72" t="str">
        <f t="shared" si="91"/>
        <v>업적 - 길드전 참가 누적 횟수 300회</v>
      </c>
      <c r="C194" s="73">
        <f t="shared" si="92"/>
        <v>901721010</v>
      </c>
      <c r="D194" s="73">
        <f t="shared" si="93"/>
        <v>901721009</v>
      </c>
      <c r="E194" s="73">
        <f t="shared" si="90"/>
        <v>901721011</v>
      </c>
      <c r="F194" s="101" t="s">
        <v>1105</v>
      </c>
      <c r="G194" s="73">
        <f t="shared" si="97"/>
        <v>1</v>
      </c>
      <c r="H194" s="73">
        <f t="shared" si="94"/>
        <v>7</v>
      </c>
      <c r="I194" s="73">
        <f t="shared" si="94"/>
        <v>2</v>
      </c>
      <c r="J194" s="73">
        <f>'Achievement Reward Base'!B223</f>
        <v>300</v>
      </c>
      <c r="K194" s="73" t="str">
        <f t="shared" si="95"/>
        <v>160001001</v>
      </c>
      <c r="L194" s="73">
        <f>'Achievement Reward Base'!D223</f>
        <v>50000</v>
      </c>
      <c r="M194" s="73" t="s">
        <v>56</v>
      </c>
      <c r="N194" s="73">
        <f t="shared" si="72"/>
        <v>51489</v>
      </c>
      <c r="O194" s="73">
        <f t="shared" si="72"/>
        <v>52489</v>
      </c>
      <c r="P194" s="73">
        <f t="shared" si="96"/>
        <v>530800007</v>
      </c>
    </row>
    <row r="195" spans="1:16" ht="16.5" customHeight="1" x14ac:dyDescent="0.3">
      <c r="A195" s="73" t="b">
        <v>0</v>
      </c>
      <c r="B195" s="72" t="str">
        <f t="shared" si="91"/>
        <v>업적 - 길드전 참가 누적 횟수 350회</v>
      </c>
      <c r="C195" s="73">
        <f t="shared" si="92"/>
        <v>901721011</v>
      </c>
      <c r="D195" s="73">
        <f t="shared" si="93"/>
        <v>901721010</v>
      </c>
      <c r="E195" s="73">
        <f t="shared" si="90"/>
        <v>901721012</v>
      </c>
      <c r="F195" s="101" t="s">
        <v>1105</v>
      </c>
      <c r="G195" s="73">
        <f t="shared" si="97"/>
        <v>1</v>
      </c>
      <c r="H195" s="73">
        <f t="shared" si="94"/>
        <v>7</v>
      </c>
      <c r="I195" s="73">
        <f t="shared" si="94"/>
        <v>2</v>
      </c>
      <c r="J195" s="73">
        <f>'Achievement Reward Base'!B224</f>
        <v>350</v>
      </c>
      <c r="K195" s="73" t="str">
        <f t="shared" si="95"/>
        <v>160001001</v>
      </c>
      <c r="L195" s="73">
        <f>'Achievement Reward Base'!D224</f>
        <v>60000</v>
      </c>
      <c r="M195" s="73" t="s">
        <v>56</v>
      </c>
      <c r="N195" s="73">
        <f t="shared" si="72"/>
        <v>51490</v>
      </c>
      <c r="O195" s="73">
        <f t="shared" si="72"/>
        <v>52490</v>
      </c>
      <c r="P195" s="73">
        <f t="shared" si="96"/>
        <v>530800007</v>
      </c>
    </row>
    <row r="196" spans="1:16" ht="16.5" customHeight="1" x14ac:dyDescent="0.3">
      <c r="A196" s="73" t="b">
        <v>0</v>
      </c>
      <c r="B196" s="72" t="str">
        <f t="shared" si="91"/>
        <v>업적 - 길드전 참가 누적 횟수 400회</v>
      </c>
      <c r="C196" s="73">
        <f t="shared" si="92"/>
        <v>901721012</v>
      </c>
      <c r="D196" s="73">
        <f t="shared" si="93"/>
        <v>901721011</v>
      </c>
      <c r="E196" s="73">
        <f t="shared" si="90"/>
        <v>901721013</v>
      </c>
      <c r="F196" s="101" t="s">
        <v>1105</v>
      </c>
      <c r="G196" s="73">
        <f t="shared" si="97"/>
        <v>1</v>
      </c>
      <c r="H196" s="73">
        <f t="shared" si="94"/>
        <v>7</v>
      </c>
      <c r="I196" s="73">
        <f t="shared" si="94"/>
        <v>2</v>
      </c>
      <c r="J196" s="73">
        <f>'Achievement Reward Base'!B225</f>
        <v>400</v>
      </c>
      <c r="K196" s="73" t="str">
        <f t="shared" si="95"/>
        <v>160001001</v>
      </c>
      <c r="L196" s="73">
        <f>'Achievement Reward Base'!D225</f>
        <v>80000</v>
      </c>
      <c r="M196" s="73" t="s">
        <v>56</v>
      </c>
      <c r="N196" s="73">
        <f t="shared" si="72"/>
        <v>51491</v>
      </c>
      <c r="O196" s="73">
        <f t="shared" si="72"/>
        <v>52491</v>
      </c>
      <c r="P196" s="73">
        <f t="shared" si="96"/>
        <v>530800007</v>
      </c>
    </row>
    <row r="197" spans="1:16" ht="16.5" customHeight="1" x14ac:dyDescent="0.3">
      <c r="A197" s="73" t="b">
        <v>0</v>
      </c>
      <c r="B197" s="72" t="str">
        <f t="shared" si="91"/>
        <v>업적 - 길드전 참가 누적 횟수 450회</v>
      </c>
      <c r="C197" s="73">
        <f t="shared" si="92"/>
        <v>901721013</v>
      </c>
      <c r="D197" s="73">
        <f t="shared" si="93"/>
        <v>901721012</v>
      </c>
      <c r="E197" s="73">
        <f t="shared" si="90"/>
        <v>901721014</v>
      </c>
      <c r="F197" s="101" t="s">
        <v>1105</v>
      </c>
      <c r="G197" s="73">
        <f t="shared" si="97"/>
        <v>1</v>
      </c>
      <c r="H197" s="73">
        <f t="shared" si="94"/>
        <v>7</v>
      </c>
      <c r="I197" s="73">
        <f t="shared" si="94"/>
        <v>2</v>
      </c>
      <c r="J197" s="73">
        <f>'Achievement Reward Base'!B226</f>
        <v>450</v>
      </c>
      <c r="K197" s="73" t="str">
        <f t="shared" si="95"/>
        <v>160001001</v>
      </c>
      <c r="L197" s="73">
        <f>'Achievement Reward Base'!D226</f>
        <v>100000</v>
      </c>
      <c r="M197" s="73" t="s">
        <v>56</v>
      </c>
      <c r="N197" s="73">
        <f t="shared" si="72"/>
        <v>51492</v>
      </c>
      <c r="O197" s="73">
        <f t="shared" si="72"/>
        <v>52492</v>
      </c>
      <c r="P197" s="73">
        <f t="shared" si="96"/>
        <v>530800007</v>
      </c>
    </row>
    <row r="198" spans="1:16" ht="16.5" customHeight="1" x14ac:dyDescent="0.3">
      <c r="A198" s="73" t="b">
        <v>0</v>
      </c>
      <c r="B198" s="72" t="str">
        <f t="shared" si="91"/>
        <v>업적 - 길드전 참가 누적 횟수 500회</v>
      </c>
      <c r="C198" s="73">
        <f t="shared" si="92"/>
        <v>901721014</v>
      </c>
      <c r="D198" s="73">
        <f t="shared" si="93"/>
        <v>901721013</v>
      </c>
      <c r="E198" s="73">
        <v>0</v>
      </c>
      <c r="F198" s="101" t="s">
        <v>1105</v>
      </c>
      <c r="G198" s="73">
        <f t="shared" si="97"/>
        <v>1</v>
      </c>
      <c r="H198" s="73">
        <f t="shared" si="94"/>
        <v>7</v>
      </c>
      <c r="I198" s="73">
        <f t="shared" si="94"/>
        <v>2</v>
      </c>
      <c r="J198" s="73">
        <f>'Achievement Reward Base'!B227</f>
        <v>500</v>
      </c>
      <c r="K198" s="73" t="str">
        <f t="shared" si="95"/>
        <v>160001001</v>
      </c>
      <c r="L198" s="73">
        <f>'Achievement Reward Base'!D227</f>
        <v>150000</v>
      </c>
      <c r="M198" s="73" t="s">
        <v>56</v>
      </c>
      <c r="N198" s="73">
        <f t="shared" si="72"/>
        <v>51493</v>
      </c>
      <c r="O198" s="73">
        <f t="shared" si="72"/>
        <v>52493</v>
      </c>
      <c r="P198" s="73">
        <f t="shared" si="96"/>
        <v>530800007</v>
      </c>
    </row>
    <row r="199" spans="1:16" ht="16.5" customHeight="1" x14ac:dyDescent="0.3">
      <c r="A199" s="73" t="b">
        <v>0</v>
      </c>
      <c r="B199" s="72" t="str">
        <f>"업적 - 길드전 승리 누적 횟수 " &amp; J199 &amp; "회"</f>
        <v>업적 - 길드전 승리 누적 횟수 1회</v>
      </c>
      <c r="C199" s="73" t="str">
        <f>90&amp;G199&amp;H199&amp;I199&amp;1001</f>
        <v>901731001</v>
      </c>
      <c r="D199" s="73">
        <v>0</v>
      </c>
      <c r="E199" s="73">
        <f t="shared" si="90"/>
        <v>901731002</v>
      </c>
      <c r="F199" s="101" t="s">
        <v>1105</v>
      </c>
      <c r="G199" s="73">
        <v>1</v>
      </c>
      <c r="H199" s="73">
        <v>7</v>
      </c>
      <c r="I199" s="73">
        <v>3</v>
      </c>
      <c r="J199" s="73">
        <f>'Achievement Reward Base'!B228</f>
        <v>1</v>
      </c>
      <c r="K199" s="73" t="str">
        <f>IF(M199="Gem","160001002",IF(M199="Gold","160001001"))</f>
        <v>160001002</v>
      </c>
      <c r="L199" s="73">
        <f>'Achievement Reward Base'!D228</f>
        <v>10</v>
      </c>
      <c r="M199" s="73" t="s">
        <v>20</v>
      </c>
      <c r="N199" s="73">
        <f t="shared" ref="N199:O262" si="98">N198+1</f>
        <v>51494</v>
      </c>
      <c r="O199" s="73">
        <f t="shared" si="98"/>
        <v>52494</v>
      </c>
      <c r="P199" s="73">
        <v>530800007</v>
      </c>
    </row>
    <row r="200" spans="1:16" ht="16.5" customHeight="1" x14ac:dyDescent="0.3">
      <c r="A200" s="73" t="b">
        <v>0</v>
      </c>
      <c r="B200" s="72" t="str">
        <f t="shared" ref="B200:B212" si="99">"업적 - 길드전 승리 누적 횟수 " &amp; J200 &amp; "회"</f>
        <v>업적 - 길드전 승리 누적 횟수 10회</v>
      </c>
      <c r="C200" s="73">
        <f t="shared" ref="C200:C212" si="100">C199+1</f>
        <v>901731002</v>
      </c>
      <c r="D200" s="73" t="str">
        <f t="shared" si="93"/>
        <v>901731001</v>
      </c>
      <c r="E200" s="73">
        <f t="shared" si="90"/>
        <v>901731003</v>
      </c>
      <c r="F200" s="101" t="s">
        <v>1105</v>
      </c>
      <c r="G200" s="73">
        <f>G199</f>
        <v>1</v>
      </c>
      <c r="H200" s="73">
        <f t="shared" ref="H200:I212" si="101">H199</f>
        <v>7</v>
      </c>
      <c r="I200" s="73">
        <f t="shared" si="101"/>
        <v>3</v>
      </c>
      <c r="J200" s="73">
        <f>'Achievement Reward Base'!B229</f>
        <v>10</v>
      </c>
      <c r="K200" s="73" t="str">
        <f t="shared" ref="K200:K212" si="102">K199</f>
        <v>160001002</v>
      </c>
      <c r="L200" s="73">
        <f>'Achievement Reward Base'!D229</f>
        <v>25</v>
      </c>
      <c r="M200" s="73" t="s">
        <v>20</v>
      </c>
      <c r="N200" s="73">
        <f t="shared" si="98"/>
        <v>51495</v>
      </c>
      <c r="O200" s="73">
        <f t="shared" si="98"/>
        <v>52495</v>
      </c>
      <c r="P200" s="73">
        <f t="shared" ref="P200:P212" si="103">P199</f>
        <v>530800007</v>
      </c>
    </row>
    <row r="201" spans="1:16" ht="16.5" customHeight="1" x14ac:dyDescent="0.3">
      <c r="A201" s="73" t="b">
        <v>0</v>
      </c>
      <c r="B201" s="72" t="str">
        <f t="shared" si="99"/>
        <v>업적 - 길드전 승리 누적 횟수 20회</v>
      </c>
      <c r="C201" s="73">
        <f t="shared" si="100"/>
        <v>901731003</v>
      </c>
      <c r="D201" s="73">
        <f t="shared" si="93"/>
        <v>901731002</v>
      </c>
      <c r="E201" s="73">
        <f t="shared" si="90"/>
        <v>901731004</v>
      </c>
      <c r="F201" s="101" t="s">
        <v>1105</v>
      </c>
      <c r="G201" s="73">
        <f t="shared" ref="G201:G212" si="104">G200</f>
        <v>1</v>
      </c>
      <c r="H201" s="73">
        <f t="shared" si="101"/>
        <v>7</v>
      </c>
      <c r="I201" s="73">
        <f t="shared" si="101"/>
        <v>3</v>
      </c>
      <c r="J201" s="73">
        <f>'Achievement Reward Base'!B230</f>
        <v>20</v>
      </c>
      <c r="K201" s="73" t="str">
        <f t="shared" si="102"/>
        <v>160001002</v>
      </c>
      <c r="L201" s="73">
        <f>'Achievement Reward Base'!D230</f>
        <v>50</v>
      </c>
      <c r="M201" s="73" t="s">
        <v>20</v>
      </c>
      <c r="N201" s="73">
        <f t="shared" si="98"/>
        <v>51496</v>
      </c>
      <c r="O201" s="73">
        <f t="shared" si="98"/>
        <v>52496</v>
      </c>
      <c r="P201" s="73">
        <f t="shared" si="103"/>
        <v>530800007</v>
      </c>
    </row>
    <row r="202" spans="1:16" ht="16.5" customHeight="1" x14ac:dyDescent="0.3">
      <c r="A202" s="73" t="b">
        <v>0</v>
      </c>
      <c r="B202" s="72" t="str">
        <f t="shared" si="99"/>
        <v>업적 - 길드전 승리 누적 횟수 30회</v>
      </c>
      <c r="C202" s="73">
        <f t="shared" si="100"/>
        <v>901731004</v>
      </c>
      <c r="D202" s="73">
        <f t="shared" si="93"/>
        <v>901731003</v>
      </c>
      <c r="E202" s="73">
        <f t="shared" si="90"/>
        <v>901731005</v>
      </c>
      <c r="F202" s="101" t="s">
        <v>1105</v>
      </c>
      <c r="G202" s="73">
        <f t="shared" si="104"/>
        <v>1</v>
      </c>
      <c r="H202" s="73">
        <f t="shared" si="101"/>
        <v>7</v>
      </c>
      <c r="I202" s="73">
        <f t="shared" si="101"/>
        <v>3</v>
      </c>
      <c r="J202" s="73">
        <f>'Achievement Reward Base'!B231</f>
        <v>30</v>
      </c>
      <c r="K202" s="73" t="str">
        <f t="shared" si="102"/>
        <v>160001002</v>
      </c>
      <c r="L202" s="73">
        <f>'Achievement Reward Base'!D231</f>
        <v>75</v>
      </c>
      <c r="M202" s="73" t="s">
        <v>20</v>
      </c>
      <c r="N202" s="73">
        <f t="shared" si="98"/>
        <v>51497</v>
      </c>
      <c r="O202" s="73">
        <f t="shared" si="98"/>
        <v>52497</v>
      </c>
      <c r="P202" s="73">
        <f t="shared" si="103"/>
        <v>530800007</v>
      </c>
    </row>
    <row r="203" spans="1:16" ht="16.5" customHeight="1" x14ac:dyDescent="0.3">
      <c r="A203" s="73" t="b">
        <v>0</v>
      </c>
      <c r="B203" s="72" t="str">
        <f t="shared" si="99"/>
        <v>업적 - 길드전 승리 누적 횟수 50회</v>
      </c>
      <c r="C203" s="73">
        <f t="shared" si="100"/>
        <v>901731005</v>
      </c>
      <c r="D203" s="73">
        <f t="shared" si="93"/>
        <v>901731004</v>
      </c>
      <c r="E203" s="73">
        <f t="shared" si="90"/>
        <v>901731006</v>
      </c>
      <c r="F203" s="101" t="s">
        <v>1105</v>
      </c>
      <c r="G203" s="73">
        <f t="shared" si="104"/>
        <v>1</v>
      </c>
      <c r="H203" s="73">
        <f t="shared" si="101"/>
        <v>7</v>
      </c>
      <c r="I203" s="73">
        <f t="shared" si="101"/>
        <v>3</v>
      </c>
      <c r="J203" s="73">
        <f>'Achievement Reward Base'!B232</f>
        <v>50</v>
      </c>
      <c r="K203" s="73" t="str">
        <f t="shared" si="102"/>
        <v>160001002</v>
      </c>
      <c r="L203" s="73">
        <f>'Achievement Reward Base'!D232</f>
        <v>100</v>
      </c>
      <c r="M203" s="73" t="s">
        <v>20</v>
      </c>
      <c r="N203" s="73">
        <f t="shared" si="98"/>
        <v>51498</v>
      </c>
      <c r="O203" s="73">
        <f t="shared" si="98"/>
        <v>52498</v>
      </c>
      <c r="P203" s="73">
        <f t="shared" si="103"/>
        <v>530800007</v>
      </c>
    </row>
    <row r="204" spans="1:16" ht="16.5" customHeight="1" x14ac:dyDescent="0.3">
      <c r="A204" s="73" t="b">
        <v>0</v>
      </c>
      <c r="B204" s="72" t="str">
        <f t="shared" si="99"/>
        <v>업적 - 길드전 승리 누적 횟수 100회</v>
      </c>
      <c r="C204" s="73">
        <f t="shared" si="100"/>
        <v>901731006</v>
      </c>
      <c r="D204" s="73">
        <f t="shared" si="93"/>
        <v>901731005</v>
      </c>
      <c r="E204" s="73">
        <f t="shared" si="90"/>
        <v>901731007</v>
      </c>
      <c r="F204" s="101" t="s">
        <v>1105</v>
      </c>
      <c r="G204" s="73">
        <f t="shared" si="104"/>
        <v>1</v>
      </c>
      <c r="H204" s="73">
        <f t="shared" si="101"/>
        <v>7</v>
      </c>
      <c r="I204" s="73">
        <f t="shared" si="101"/>
        <v>3</v>
      </c>
      <c r="J204" s="73">
        <f>'Achievement Reward Base'!B233</f>
        <v>100</v>
      </c>
      <c r="K204" s="73" t="str">
        <f t="shared" si="102"/>
        <v>160001002</v>
      </c>
      <c r="L204" s="73">
        <f>'Achievement Reward Base'!D233</f>
        <v>125</v>
      </c>
      <c r="M204" s="73" t="s">
        <v>20</v>
      </c>
      <c r="N204" s="73">
        <f t="shared" si="98"/>
        <v>51499</v>
      </c>
      <c r="O204" s="73">
        <f t="shared" si="98"/>
        <v>52499</v>
      </c>
      <c r="P204" s="73">
        <f t="shared" si="103"/>
        <v>530800007</v>
      </c>
    </row>
    <row r="205" spans="1:16" ht="16.5" customHeight="1" x14ac:dyDescent="0.3">
      <c r="A205" s="73" t="b">
        <v>0</v>
      </c>
      <c r="B205" s="72" t="str">
        <f t="shared" si="99"/>
        <v>업적 - 길드전 승리 누적 횟수 150회</v>
      </c>
      <c r="C205" s="73">
        <f t="shared" si="100"/>
        <v>901731007</v>
      </c>
      <c r="D205" s="73">
        <f t="shared" si="93"/>
        <v>901731006</v>
      </c>
      <c r="E205" s="73">
        <f t="shared" si="90"/>
        <v>901731008</v>
      </c>
      <c r="F205" s="101" t="s">
        <v>1105</v>
      </c>
      <c r="G205" s="73">
        <f t="shared" si="104"/>
        <v>1</v>
      </c>
      <c r="H205" s="73">
        <f t="shared" si="101"/>
        <v>7</v>
      </c>
      <c r="I205" s="73">
        <f t="shared" si="101"/>
        <v>3</v>
      </c>
      <c r="J205" s="73">
        <f>'Achievement Reward Base'!B234</f>
        <v>150</v>
      </c>
      <c r="K205" s="73" t="str">
        <f t="shared" si="102"/>
        <v>160001002</v>
      </c>
      <c r="L205" s="73">
        <f>'Achievement Reward Base'!D234</f>
        <v>150</v>
      </c>
      <c r="M205" s="73" t="s">
        <v>20</v>
      </c>
      <c r="N205" s="73">
        <f t="shared" si="98"/>
        <v>51500</v>
      </c>
      <c r="O205" s="73">
        <f t="shared" si="98"/>
        <v>52500</v>
      </c>
      <c r="P205" s="73">
        <f t="shared" si="103"/>
        <v>530800007</v>
      </c>
    </row>
    <row r="206" spans="1:16" ht="16.5" customHeight="1" x14ac:dyDescent="0.3">
      <c r="A206" s="73" t="b">
        <v>0</v>
      </c>
      <c r="B206" s="72" t="str">
        <f t="shared" si="99"/>
        <v>업적 - 길드전 승리 누적 횟수 200회</v>
      </c>
      <c r="C206" s="73">
        <f t="shared" si="100"/>
        <v>901731008</v>
      </c>
      <c r="D206" s="73">
        <f t="shared" si="93"/>
        <v>901731007</v>
      </c>
      <c r="E206" s="73">
        <f t="shared" si="90"/>
        <v>901731009</v>
      </c>
      <c r="F206" s="101" t="s">
        <v>1105</v>
      </c>
      <c r="G206" s="73">
        <f t="shared" si="104"/>
        <v>1</v>
      </c>
      <c r="H206" s="73">
        <f t="shared" si="101"/>
        <v>7</v>
      </c>
      <c r="I206" s="73">
        <f t="shared" si="101"/>
        <v>3</v>
      </c>
      <c r="J206" s="73">
        <f>'Achievement Reward Base'!B235</f>
        <v>200</v>
      </c>
      <c r="K206" s="73" t="str">
        <f t="shared" si="102"/>
        <v>160001002</v>
      </c>
      <c r="L206" s="73">
        <f>'Achievement Reward Base'!D235</f>
        <v>175</v>
      </c>
      <c r="M206" s="73" t="s">
        <v>20</v>
      </c>
      <c r="N206" s="73">
        <f t="shared" si="98"/>
        <v>51501</v>
      </c>
      <c r="O206" s="73">
        <f t="shared" si="98"/>
        <v>52501</v>
      </c>
      <c r="P206" s="73">
        <f t="shared" si="103"/>
        <v>530800007</v>
      </c>
    </row>
    <row r="207" spans="1:16" ht="16.5" customHeight="1" x14ac:dyDescent="0.3">
      <c r="A207" s="73" t="b">
        <v>0</v>
      </c>
      <c r="B207" s="72" t="str">
        <f t="shared" si="99"/>
        <v>업적 - 길드전 승리 누적 횟수 250회</v>
      </c>
      <c r="C207" s="73">
        <f t="shared" si="100"/>
        <v>901731009</v>
      </c>
      <c r="D207" s="73">
        <f t="shared" si="93"/>
        <v>901731008</v>
      </c>
      <c r="E207" s="73">
        <f t="shared" si="90"/>
        <v>901731010</v>
      </c>
      <c r="F207" s="101" t="s">
        <v>1105</v>
      </c>
      <c r="G207" s="73">
        <f t="shared" si="104"/>
        <v>1</v>
      </c>
      <c r="H207" s="73">
        <f t="shared" si="101"/>
        <v>7</v>
      </c>
      <c r="I207" s="73">
        <f t="shared" si="101"/>
        <v>3</v>
      </c>
      <c r="J207" s="73">
        <f>'Achievement Reward Base'!B236</f>
        <v>250</v>
      </c>
      <c r="K207" s="73" t="str">
        <f t="shared" si="102"/>
        <v>160001002</v>
      </c>
      <c r="L207" s="73">
        <f>'Achievement Reward Base'!D236</f>
        <v>200</v>
      </c>
      <c r="M207" s="73" t="s">
        <v>20</v>
      </c>
      <c r="N207" s="73">
        <f t="shared" si="98"/>
        <v>51502</v>
      </c>
      <c r="O207" s="73">
        <f t="shared" si="98"/>
        <v>52502</v>
      </c>
      <c r="P207" s="73">
        <f t="shared" si="103"/>
        <v>530800007</v>
      </c>
    </row>
    <row r="208" spans="1:16" ht="16.5" customHeight="1" x14ac:dyDescent="0.3">
      <c r="A208" s="73" t="b">
        <v>0</v>
      </c>
      <c r="B208" s="72" t="str">
        <f t="shared" si="99"/>
        <v>업적 - 길드전 승리 누적 횟수 300회</v>
      </c>
      <c r="C208" s="73">
        <f t="shared" si="100"/>
        <v>901731010</v>
      </c>
      <c r="D208" s="73">
        <f t="shared" si="93"/>
        <v>901731009</v>
      </c>
      <c r="E208" s="73">
        <f t="shared" si="90"/>
        <v>901731011</v>
      </c>
      <c r="F208" s="101" t="s">
        <v>1105</v>
      </c>
      <c r="G208" s="73">
        <f t="shared" si="104"/>
        <v>1</v>
      </c>
      <c r="H208" s="73">
        <f t="shared" si="101"/>
        <v>7</v>
      </c>
      <c r="I208" s="73">
        <f t="shared" si="101"/>
        <v>3</v>
      </c>
      <c r="J208" s="73">
        <f>'Achievement Reward Base'!B237</f>
        <v>300</v>
      </c>
      <c r="K208" s="73" t="str">
        <f t="shared" si="102"/>
        <v>160001002</v>
      </c>
      <c r="L208" s="73">
        <f>'Achievement Reward Base'!D237</f>
        <v>250</v>
      </c>
      <c r="M208" s="73" t="s">
        <v>20</v>
      </c>
      <c r="N208" s="73">
        <f t="shared" si="98"/>
        <v>51503</v>
      </c>
      <c r="O208" s="73">
        <f t="shared" si="98"/>
        <v>52503</v>
      </c>
      <c r="P208" s="73">
        <f t="shared" si="103"/>
        <v>530800007</v>
      </c>
    </row>
    <row r="209" spans="1:16" ht="16.5" customHeight="1" x14ac:dyDescent="0.3">
      <c r="A209" s="73" t="b">
        <v>0</v>
      </c>
      <c r="B209" s="72" t="str">
        <f t="shared" si="99"/>
        <v>업적 - 길드전 승리 누적 횟수 350회</v>
      </c>
      <c r="C209" s="73">
        <f t="shared" si="100"/>
        <v>901731011</v>
      </c>
      <c r="D209" s="73">
        <f t="shared" si="93"/>
        <v>901731010</v>
      </c>
      <c r="E209" s="73">
        <f t="shared" si="90"/>
        <v>901731012</v>
      </c>
      <c r="F209" s="101" t="s">
        <v>1105</v>
      </c>
      <c r="G209" s="73">
        <f t="shared" si="104"/>
        <v>1</v>
      </c>
      <c r="H209" s="73">
        <f t="shared" si="101"/>
        <v>7</v>
      </c>
      <c r="I209" s="73">
        <f t="shared" si="101"/>
        <v>3</v>
      </c>
      <c r="J209" s="73">
        <f>'Achievement Reward Base'!B238</f>
        <v>350</v>
      </c>
      <c r="K209" s="73" t="str">
        <f t="shared" si="102"/>
        <v>160001002</v>
      </c>
      <c r="L209" s="73">
        <f>'Achievement Reward Base'!D238</f>
        <v>300</v>
      </c>
      <c r="M209" s="73" t="s">
        <v>20</v>
      </c>
      <c r="N209" s="73">
        <f t="shared" si="98"/>
        <v>51504</v>
      </c>
      <c r="O209" s="73">
        <f t="shared" si="98"/>
        <v>52504</v>
      </c>
      <c r="P209" s="73">
        <f t="shared" si="103"/>
        <v>530800007</v>
      </c>
    </row>
    <row r="210" spans="1:16" ht="16.5" customHeight="1" x14ac:dyDescent="0.3">
      <c r="A210" s="73" t="b">
        <v>0</v>
      </c>
      <c r="B210" s="72" t="str">
        <f t="shared" si="99"/>
        <v>업적 - 길드전 승리 누적 횟수 400회</v>
      </c>
      <c r="C210" s="73">
        <f t="shared" si="100"/>
        <v>901731012</v>
      </c>
      <c r="D210" s="73">
        <f t="shared" si="93"/>
        <v>901731011</v>
      </c>
      <c r="E210" s="73">
        <f t="shared" si="90"/>
        <v>901731013</v>
      </c>
      <c r="F210" s="101" t="s">
        <v>1105</v>
      </c>
      <c r="G210" s="73">
        <f t="shared" si="104"/>
        <v>1</v>
      </c>
      <c r="H210" s="73">
        <f t="shared" si="101"/>
        <v>7</v>
      </c>
      <c r="I210" s="73">
        <f t="shared" si="101"/>
        <v>3</v>
      </c>
      <c r="J210" s="73">
        <f>'Achievement Reward Base'!B239</f>
        <v>400</v>
      </c>
      <c r="K210" s="73" t="str">
        <f t="shared" si="102"/>
        <v>160001002</v>
      </c>
      <c r="L210" s="73">
        <f>'Achievement Reward Base'!D239</f>
        <v>350</v>
      </c>
      <c r="M210" s="73" t="s">
        <v>20</v>
      </c>
      <c r="N210" s="73">
        <f t="shared" si="98"/>
        <v>51505</v>
      </c>
      <c r="O210" s="73">
        <f t="shared" si="98"/>
        <v>52505</v>
      </c>
      <c r="P210" s="73">
        <f t="shared" si="103"/>
        <v>530800007</v>
      </c>
    </row>
    <row r="211" spans="1:16" ht="16.5" customHeight="1" x14ac:dyDescent="0.3">
      <c r="A211" s="73" t="b">
        <v>0</v>
      </c>
      <c r="B211" s="72" t="str">
        <f t="shared" si="99"/>
        <v>업적 - 길드전 승리 누적 횟수 450회</v>
      </c>
      <c r="C211" s="73">
        <f t="shared" si="100"/>
        <v>901731013</v>
      </c>
      <c r="D211" s="73">
        <f t="shared" si="93"/>
        <v>901731012</v>
      </c>
      <c r="E211" s="73">
        <f t="shared" si="90"/>
        <v>901731014</v>
      </c>
      <c r="F211" s="101" t="s">
        <v>1105</v>
      </c>
      <c r="G211" s="73">
        <f t="shared" si="104"/>
        <v>1</v>
      </c>
      <c r="H211" s="73">
        <f t="shared" si="101"/>
        <v>7</v>
      </c>
      <c r="I211" s="73">
        <f t="shared" si="101"/>
        <v>3</v>
      </c>
      <c r="J211" s="73">
        <f>'Achievement Reward Base'!B240</f>
        <v>450</v>
      </c>
      <c r="K211" s="73" t="str">
        <f t="shared" si="102"/>
        <v>160001002</v>
      </c>
      <c r="L211" s="73">
        <f>'Achievement Reward Base'!D240</f>
        <v>400</v>
      </c>
      <c r="M211" s="73" t="s">
        <v>20</v>
      </c>
      <c r="N211" s="73">
        <f t="shared" si="98"/>
        <v>51506</v>
      </c>
      <c r="O211" s="73">
        <f t="shared" si="98"/>
        <v>52506</v>
      </c>
      <c r="P211" s="73">
        <f t="shared" si="103"/>
        <v>530800007</v>
      </c>
    </row>
    <row r="212" spans="1:16" ht="16.5" customHeight="1" x14ac:dyDescent="0.3">
      <c r="A212" s="73" t="b">
        <v>0</v>
      </c>
      <c r="B212" s="72" t="str">
        <f t="shared" si="99"/>
        <v>업적 - 길드전 승리 누적 횟수 500회</v>
      </c>
      <c r="C212" s="73">
        <f t="shared" si="100"/>
        <v>901731014</v>
      </c>
      <c r="D212" s="73">
        <f t="shared" si="93"/>
        <v>901731013</v>
      </c>
      <c r="E212" s="73">
        <v>0</v>
      </c>
      <c r="F212" s="101" t="s">
        <v>1105</v>
      </c>
      <c r="G212" s="73">
        <f t="shared" si="104"/>
        <v>1</v>
      </c>
      <c r="H212" s="73">
        <f t="shared" si="101"/>
        <v>7</v>
      </c>
      <c r="I212" s="73">
        <f t="shared" si="101"/>
        <v>3</v>
      </c>
      <c r="J212" s="73">
        <f>'Achievement Reward Base'!B241</f>
        <v>500</v>
      </c>
      <c r="K212" s="73" t="str">
        <f t="shared" si="102"/>
        <v>160001002</v>
      </c>
      <c r="L212" s="73">
        <f>'Achievement Reward Base'!D241</f>
        <v>500</v>
      </c>
      <c r="M212" s="73" t="s">
        <v>20</v>
      </c>
      <c r="N212" s="73">
        <f t="shared" si="98"/>
        <v>51507</v>
      </c>
      <c r="O212" s="73">
        <f t="shared" si="98"/>
        <v>52507</v>
      </c>
      <c r="P212" s="73">
        <f t="shared" si="103"/>
        <v>530800007</v>
      </c>
    </row>
    <row r="213" spans="1:16" ht="16.5" customHeight="1" x14ac:dyDescent="0.3">
      <c r="A213" s="17" t="b">
        <v>1</v>
      </c>
      <c r="B213" s="18" t="str">
        <f>"업적 - 룬스톤 합성 횟수 " &amp; J213 &amp; " 회"</f>
        <v>업적 - 룬스톤 합성 횟수 10 회</v>
      </c>
      <c r="C213" s="16" t="str">
        <f>90&amp;G213&amp;H213&amp;I213&amp;1001</f>
        <v>902231001</v>
      </c>
      <c r="D213" s="16">
        <v>0</v>
      </c>
      <c r="E213" s="17">
        <f>C214</f>
        <v>902231002</v>
      </c>
      <c r="F213" s="91" t="s">
        <v>1104</v>
      </c>
      <c r="G213" s="16">
        <v>2</v>
      </c>
      <c r="H213" s="16">
        <v>2</v>
      </c>
      <c r="I213" s="16">
        <v>3</v>
      </c>
      <c r="J213" s="16">
        <f>'Achievement Reward Base'!B242</f>
        <v>10</v>
      </c>
      <c r="K213" s="16" t="str">
        <f>IF(M213="Gem","160001002",IF(M213="Gold","160001001"))</f>
        <v>160001001</v>
      </c>
      <c r="L213" s="16">
        <f>'Achievement Reward Base'!D242</f>
        <v>1000</v>
      </c>
      <c r="M213" s="21" t="s">
        <v>18</v>
      </c>
      <c r="N213" s="16">
        <f t="shared" si="98"/>
        <v>51508</v>
      </c>
      <c r="O213" s="16">
        <f t="shared" si="98"/>
        <v>52508</v>
      </c>
      <c r="P213" s="16">
        <v>530800010</v>
      </c>
    </row>
    <row r="214" spans="1:16" ht="16.5" customHeight="1" x14ac:dyDescent="0.3">
      <c r="A214" s="17" t="b">
        <v>1</v>
      </c>
      <c r="B214" s="18" t="str">
        <f t="shared" ref="B214:B227" si="105">"업적 - 룬스톤 합성 횟수 " &amp; J214 &amp; " 회"</f>
        <v>업적 - 룬스톤 합성 횟수 20 회</v>
      </c>
      <c r="C214" s="17">
        <f>C213+1</f>
        <v>902231002</v>
      </c>
      <c r="D214" s="17" t="str">
        <f>C213</f>
        <v>902231001</v>
      </c>
      <c r="E214" s="17">
        <f t="shared" ref="E214:E234" si="106">C215</f>
        <v>902231003</v>
      </c>
      <c r="F214" s="91" t="s">
        <v>1104</v>
      </c>
      <c r="G214" s="17">
        <f>G213</f>
        <v>2</v>
      </c>
      <c r="H214" s="17">
        <f t="shared" ref="H214:I229" si="107">H213</f>
        <v>2</v>
      </c>
      <c r="I214" s="17">
        <f t="shared" si="107"/>
        <v>3</v>
      </c>
      <c r="J214" s="17">
        <f>'Achievement Reward Base'!B243</f>
        <v>20</v>
      </c>
      <c r="K214" s="17" t="str">
        <f t="shared" ref="K214:K235" si="108">K213</f>
        <v>160001001</v>
      </c>
      <c r="L214" s="17">
        <f>'Achievement Reward Base'!D243</f>
        <v>2000</v>
      </c>
      <c r="M214" s="21" t="s">
        <v>18</v>
      </c>
      <c r="N214" s="17">
        <f t="shared" si="98"/>
        <v>51509</v>
      </c>
      <c r="O214" s="17">
        <f t="shared" si="98"/>
        <v>52509</v>
      </c>
      <c r="P214" s="21">
        <f t="shared" ref="P214:P235" si="109">P213</f>
        <v>530800010</v>
      </c>
    </row>
    <row r="215" spans="1:16" ht="16.5" customHeight="1" x14ac:dyDescent="0.3">
      <c r="A215" s="17" t="b">
        <v>1</v>
      </c>
      <c r="B215" s="18" t="str">
        <f t="shared" si="105"/>
        <v>업적 - 룬스톤 합성 횟수 30 회</v>
      </c>
      <c r="C215" s="17">
        <f t="shared" ref="C215:C235" si="110">C214+1</f>
        <v>902231003</v>
      </c>
      <c r="D215" s="17">
        <f t="shared" ref="D215:D227" si="111">C214</f>
        <v>902231002</v>
      </c>
      <c r="E215" s="17">
        <f t="shared" si="106"/>
        <v>902231004</v>
      </c>
      <c r="F215" s="91" t="s">
        <v>1104</v>
      </c>
      <c r="G215" s="17">
        <f t="shared" ref="G215:I230" si="112">G214</f>
        <v>2</v>
      </c>
      <c r="H215" s="17">
        <f t="shared" si="107"/>
        <v>2</v>
      </c>
      <c r="I215" s="17">
        <f t="shared" si="107"/>
        <v>3</v>
      </c>
      <c r="J215" s="17">
        <f>'Achievement Reward Base'!B244</f>
        <v>30</v>
      </c>
      <c r="K215" s="17" t="str">
        <f t="shared" si="108"/>
        <v>160001001</v>
      </c>
      <c r="L215" s="17">
        <f>'Achievement Reward Base'!D244</f>
        <v>4000</v>
      </c>
      <c r="M215" s="21" t="s">
        <v>18</v>
      </c>
      <c r="N215" s="17">
        <f t="shared" si="98"/>
        <v>51510</v>
      </c>
      <c r="O215" s="17">
        <f t="shared" si="98"/>
        <v>52510</v>
      </c>
      <c r="P215" s="21">
        <f t="shared" si="109"/>
        <v>530800010</v>
      </c>
    </row>
    <row r="216" spans="1:16" ht="16.5" customHeight="1" x14ac:dyDescent="0.3">
      <c r="A216" s="17" t="b">
        <v>1</v>
      </c>
      <c r="B216" s="18" t="str">
        <f t="shared" si="105"/>
        <v>업적 - 룬스톤 합성 횟수 40 회</v>
      </c>
      <c r="C216" s="17">
        <f t="shared" si="110"/>
        <v>902231004</v>
      </c>
      <c r="D216" s="17">
        <f t="shared" si="111"/>
        <v>902231003</v>
      </c>
      <c r="E216" s="17">
        <f t="shared" si="106"/>
        <v>902231005</v>
      </c>
      <c r="F216" s="91" t="s">
        <v>1104</v>
      </c>
      <c r="G216" s="17">
        <f t="shared" si="112"/>
        <v>2</v>
      </c>
      <c r="H216" s="17">
        <f t="shared" si="107"/>
        <v>2</v>
      </c>
      <c r="I216" s="17">
        <f t="shared" si="107"/>
        <v>3</v>
      </c>
      <c r="J216" s="17">
        <f>'Achievement Reward Base'!B245</f>
        <v>40</v>
      </c>
      <c r="K216" s="17" t="str">
        <f t="shared" si="108"/>
        <v>160001001</v>
      </c>
      <c r="L216" s="17">
        <f>'Achievement Reward Base'!D245</f>
        <v>6000</v>
      </c>
      <c r="M216" s="21" t="s">
        <v>18</v>
      </c>
      <c r="N216" s="17">
        <f t="shared" si="98"/>
        <v>51511</v>
      </c>
      <c r="O216" s="17">
        <f t="shared" si="98"/>
        <v>52511</v>
      </c>
      <c r="P216" s="21">
        <f t="shared" si="109"/>
        <v>530800010</v>
      </c>
    </row>
    <row r="217" spans="1:16" ht="16.5" customHeight="1" x14ac:dyDescent="0.3">
      <c r="A217" s="17" t="b">
        <v>1</v>
      </c>
      <c r="B217" s="18" t="str">
        <f t="shared" si="105"/>
        <v>업적 - 룬스톤 합성 횟수 50 회</v>
      </c>
      <c r="C217" s="17">
        <f t="shared" si="110"/>
        <v>902231005</v>
      </c>
      <c r="D217" s="17">
        <f t="shared" si="111"/>
        <v>902231004</v>
      </c>
      <c r="E217" s="17">
        <f t="shared" si="106"/>
        <v>902231006</v>
      </c>
      <c r="F217" s="91" t="s">
        <v>1104</v>
      </c>
      <c r="G217" s="17">
        <f t="shared" si="112"/>
        <v>2</v>
      </c>
      <c r="H217" s="17">
        <f t="shared" si="107"/>
        <v>2</v>
      </c>
      <c r="I217" s="17">
        <f t="shared" si="107"/>
        <v>3</v>
      </c>
      <c r="J217" s="17">
        <f>'Achievement Reward Base'!B246</f>
        <v>50</v>
      </c>
      <c r="K217" s="17" t="str">
        <f t="shared" si="108"/>
        <v>160001001</v>
      </c>
      <c r="L217" s="17">
        <f>'Achievement Reward Base'!D246</f>
        <v>8000</v>
      </c>
      <c r="M217" s="21" t="s">
        <v>18</v>
      </c>
      <c r="N217" s="17">
        <f t="shared" si="98"/>
        <v>51512</v>
      </c>
      <c r="O217" s="17">
        <f t="shared" si="98"/>
        <v>52512</v>
      </c>
      <c r="P217" s="21">
        <f t="shared" si="109"/>
        <v>530800010</v>
      </c>
    </row>
    <row r="218" spans="1:16" ht="16.5" customHeight="1" x14ac:dyDescent="0.3">
      <c r="A218" s="17" t="b">
        <v>1</v>
      </c>
      <c r="B218" s="18" t="str">
        <f t="shared" si="105"/>
        <v>업적 - 룬스톤 합성 횟수 75 회</v>
      </c>
      <c r="C218" s="17">
        <f t="shared" si="110"/>
        <v>902231006</v>
      </c>
      <c r="D218" s="17">
        <f t="shared" si="111"/>
        <v>902231005</v>
      </c>
      <c r="E218" s="17">
        <f t="shared" si="106"/>
        <v>902231007</v>
      </c>
      <c r="F218" s="91" t="s">
        <v>1104</v>
      </c>
      <c r="G218" s="17">
        <f t="shared" si="112"/>
        <v>2</v>
      </c>
      <c r="H218" s="17">
        <f t="shared" si="107"/>
        <v>2</v>
      </c>
      <c r="I218" s="17">
        <f t="shared" si="107"/>
        <v>3</v>
      </c>
      <c r="J218" s="17">
        <f>'Achievement Reward Base'!B247</f>
        <v>75</v>
      </c>
      <c r="K218" s="17" t="str">
        <f t="shared" si="108"/>
        <v>160001001</v>
      </c>
      <c r="L218" s="17">
        <f>'Achievement Reward Base'!D247</f>
        <v>10000</v>
      </c>
      <c r="M218" s="21" t="s">
        <v>18</v>
      </c>
      <c r="N218" s="17">
        <f t="shared" si="98"/>
        <v>51513</v>
      </c>
      <c r="O218" s="17">
        <f t="shared" si="98"/>
        <v>52513</v>
      </c>
      <c r="P218" s="21">
        <f t="shared" si="109"/>
        <v>530800010</v>
      </c>
    </row>
    <row r="219" spans="1:16" ht="16.5" customHeight="1" x14ac:dyDescent="0.3">
      <c r="A219" s="17" t="b">
        <v>1</v>
      </c>
      <c r="B219" s="18" t="str">
        <f t="shared" si="105"/>
        <v>업적 - 룬스톤 합성 횟수 100 회</v>
      </c>
      <c r="C219" s="17">
        <f t="shared" si="110"/>
        <v>902231007</v>
      </c>
      <c r="D219" s="17">
        <f t="shared" si="111"/>
        <v>902231006</v>
      </c>
      <c r="E219" s="17">
        <f t="shared" si="106"/>
        <v>902231008</v>
      </c>
      <c r="F219" s="91" t="s">
        <v>1104</v>
      </c>
      <c r="G219" s="17">
        <f t="shared" si="112"/>
        <v>2</v>
      </c>
      <c r="H219" s="17">
        <f t="shared" si="107"/>
        <v>2</v>
      </c>
      <c r="I219" s="17">
        <f t="shared" si="107"/>
        <v>3</v>
      </c>
      <c r="J219" s="17">
        <f>'Achievement Reward Base'!B248</f>
        <v>100</v>
      </c>
      <c r="K219" s="17" t="str">
        <f t="shared" si="108"/>
        <v>160001001</v>
      </c>
      <c r="L219" s="17">
        <f>'Achievement Reward Base'!D248</f>
        <v>12000</v>
      </c>
      <c r="M219" s="21" t="s">
        <v>18</v>
      </c>
      <c r="N219" s="17">
        <f t="shared" si="98"/>
        <v>51514</v>
      </c>
      <c r="O219" s="17">
        <f t="shared" si="98"/>
        <v>52514</v>
      </c>
      <c r="P219" s="21">
        <f t="shared" si="109"/>
        <v>530800010</v>
      </c>
    </row>
    <row r="220" spans="1:16" ht="16.5" customHeight="1" x14ac:dyDescent="0.3">
      <c r="A220" s="17" t="b">
        <v>1</v>
      </c>
      <c r="B220" s="18" t="str">
        <f t="shared" si="105"/>
        <v>업적 - 룬스톤 합성 횟수 150 회</v>
      </c>
      <c r="C220" s="17">
        <f t="shared" si="110"/>
        <v>902231008</v>
      </c>
      <c r="D220" s="17">
        <f t="shared" si="111"/>
        <v>902231007</v>
      </c>
      <c r="E220" s="17">
        <f t="shared" si="106"/>
        <v>902231009</v>
      </c>
      <c r="F220" s="91" t="s">
        <v>1104</v>
      </c>
      <c r="G220" s="17">
        <f t="shared" si="112"/>
        <v>2</v>
      </c>
      <c r="H220" s="17">
        <f t="shared" si="107"/>
        <v>2</v>
      </c>
      <c r="I220" s="17">
        <f t="shared" si="107"/>
        <v>3</v>
      </c>
      <c r="J220" s="17">
        <f>'Achievement Reward Base'!B249</f>
        <v>150</v>
      </c>
      <c r="K220" s="17" t="str">
        <f t="shared" si="108"/>
        <v>160001001</v>
      </c>
      <c r="L220" s="17">
        <f>'Achievement Reward Base'!D249</f>
        <v>14000</v>
      </c>
      <c r="M220" s="21" t="s">
        <v>18</v>
      </c>
      <c r="N220" s="17">
        <f t="shared" si="98"/>
        <v>51515</v>
      </c>
      <c r="O220" s="17">
        <f t="shared" si="98"/>
        <v>52515</v>
      </c>
      <c r="P220" s="21">
        <f t="shared" si="109"/>
        <v>530800010</v>
      </c>
    </row>
    <row r="221" spans="1:16" ht="16.5" customHeight="1" x14ac:dyDescent="0.3">
      <c r="A221" s="17" t="b">
        <v>1</v>
      </c>
      <c r="B221" s="18" t="str">
        <f t="shared" si="105"/>
        <v>업적 - 룬스톤 합성 횟수 200 회</v>
      </c>
      <c r="C221" s="17">
        <f t="shared" si="110"/>
        <v>902231009</v>
      </c>
      <c r="D221" s="17">
        <f t="shared" si="111"/>
        <v>902231008</v>
      </c>
      <c r="E221" s="17">
        <f t="shared" si="106"/>
        <v>902231010</v>
      </c>
      <c r="F221" s="91" t="s">
        <v>1104</v>
      </c>
      <c r="G221" s="17">
        <f t="shared" si="112"/>
        <v>2</v>
      </c>
      <c r="H221" s="17">
        <f t="shared" si="107"/>
        <v>2</v>
      </c>
      <c r="I221" s="17">
        <f t="shared" si="107"/>
        <v>3</v>
      </c>
      <c r="J221" s="17">
        <f>'Achievement Reward Base'!B250</f>
        <v>200</v>
      </c>
      <c r="K221" s="17" t="str">
        <f t="shared" si="108"/>
        <v>160001001</v>
      </c>
      <c r="L221" s="17">
        <f>'Achievement Reward Base'!D250</f>
        <v>16000</v>
      </c>
      <c r="M221" s="21" t="s">
        <v>18</v>
      </c>
      <c r="N221" s="17">
        <f t="shared" si="98"/>
        <v>51516</v>
      </c>
      <c r="O221" s="17">
        <f t="shared" si="98"/>
        <v>52516</v>
      </c>
      <c r="P221" s="21">
        <f t="shared" si="109"/>
        <v>530800010</v>
      </c>
    </row>
    <row r="222" spans="1:16" ht="16.5" customHeight="1" x14ac:dyDescent="0.3">
      <c r="A222" s="17" t="b">
        <v>1</v>
      </c>
      <c r="B222" s="18" t="str">
        <f t="shared" si="105"/>
        <v>업적 - 룬스톤 합성 횟수 300 회</v>
      </c>
      <c r="C222" s="17">
        <f t="shared" si="110"/>
        <v>902231010</v>
      </c>
      <c r="D222" s="17">
        <f t="shared" si="111"/>
        <v>902231009</v>
      </c>
      <c r="E222" s="17">
        <f t="shared" si="106"/>
        <v>902231011</v>
      </c>
      <c r="F222" s="91" t="s">
        <v>1104</v>
      </c>
      <c r="G222" s="17">
        <f t="shared" si="112"/>
        <v>2</v>
      </c>
      <c r="H222" s="17">
        <f t="shared" si="107"/>
        <v>2</v>
      </c>
      <c r="I222" s="17">
        <f t="shared" si="107"/>
        <v>3</v>
      </c>
      <c r="J222" s="17">
        <f>'Achievement Reward Base'!B251</f>
        <v>300</v>
      </c>
      <c r="K222" s="17" t="str">
        <f t="shared" si="108"/>
        <v>160001001</v>
      </c>
      <c r="L222" s="17">
        <f>'Achievement Reward Base'!D251</f>
        <v>18000</v>
      </c>
      <c r="M222" s="21" t="s">
        <v>18</v>
      </c>
      <c r="N222" s="17">
        <f t="shared" si="98"/>
        <v>51517</v>
      </c>
      <c r="O222" s="17">
        <f t="shared" si="98"/>
        <v>52517</v>
      </c>
      <c r="P222" s="21">
        <f t="shared" si="109"/>
        <v>530800010</v>
      </c>
    </row>
    <row r="223" spans="1:16" ht="16.5" customHeight="1" x14ac:dyDescent="0.3">
      <c r="A223" s="17" t="b">
        <v>1</v>
      </c>
      <c r="B223" s="18" t="str">
        <f t="shared" si="105"/>
        <v>업적 - 룬스톤 합성 횟수 400 회</v>
      </c>
      <c r="C223" s="17">
        <f t="shared" si="110"/>
        <v>902231011</v>
      </c>
      <c r="D223" s="17">
        <f t="shared" si="111"/>
        <v>902231010</v>
      </c>
      <c r="E223" s="17">
        <f t="shared" si="106"/>
        <v>902231012</v>
      </c>
      <c r="F223" s="91" t="s">
        <v>1104</v>
      </c>
      <c r="G223" s="17">
        <f t="shared" si="112"/>
        <v>2</v>
      </c>
      <c r="H223" s="17">
        <f t="shared" si="107"/>
        <v>2</v>
      </c>
      <c r="I223" s="17">
        <f t="shared" si="107"/>
        <v>3</v>
      </c>
      <c r="J223" s="17">
        <f>'Achievement Reward Base'!B252</f>
        <v>400</v>
      </c>
      <c r="K223" s="17" t="str">
        <f t="shared" si="108"/>
        <v>160001001</v>
      </c>
      <c r="L223" s="17">
        <f>'Achievement Reward Base'!D252</f>
        <v>20000</v>
      </c>
      <c r="M223" s="21" t="s">
        <v>18</v>
      </c>
      <c r="N223" s="17">
        <f t="shared" si="98"/>
        <v>51518</v>
      </c>
      <c r="O223" s="17">
        <f t="shared" si="98"/>
        <v>52518</v>
      </c>
      <c r="P223" s="21">
        <f t="shared" si="109"/>
        <v>530800010</v>
      </c>
    </row>
    <row r="224" spans="1:16" ht="16.5" customHeight="1" x14ac:dyDescent="0.3">
      <c r="A224" s="17" t="b">
        <v>1</v>
      </c>
      <c r="B224" s="18" t="str">
        <f t="shared" si="105"/>
        <v>업적 - 룬스톤 합성 횟수 500 회</v>
      </c>
      <c r="C224" s="17">
        <f t="shared" si="110"/>
        <v>902231012</v>
      </c>
      <c r="D224" s="17">
        <f t="shared" si="111"/>
        <v>902231011</v>
      </c>
      <c r="E224" s="17">
        <f t="shared" si="106"/>
        <v>902231013</v>
      </c>
      <c r="F224" s="91" t="s">
        <v>1104</v>
      </c>
      <c r="G224" s="17">
        <f t="shared" si="112"/>
        <v>2</v>
      </c>
      <c r="H224" s="17">
        <f t="shared" si="107"/>
        <v>2</v>
      </c>
      <c r="I224" s="17">
        <f t="shared" si="107"/>
        <v>3</v>
      </c>
      <c r="J224" s="17">
        <f>'Achievement Reward Base'!B253</f>
        <v>500</v>
      </c>
      <c r="K224" s="17" t="str">
        <f t="shared" si="108"/>
        <v>160001001</v>
      </c>
      <c r="L224" s="17">
        <f>'Achievement Reward Base'!D253</f>
        <v>25000</v>
      </c>
      <c r="M224" s="21" t="s">
        <v>18</v>
      </c>
      <c r="N224" s="17">
        <f t="shared" si="98"/>
        <v>51519</v>
      </c>
      <c r="O224" s="17">
        <f t="shared" si="98"/>
        <v>52519</v>
      </c>
      <c r="P224" s="21">
        <f t="shared" si="109"/>
        <v>530800010</v>
      </c>
    </row>
    <row r="225" spans="1:16" ht="16.5" customHeight="1" x14ac:dyDescent="0.3">
      <c r="A225" s="17" t="b">
        <v>1</v>
      </c>
      <c r="B225" s="18" t="str">
        <f t="shared" si="105"/>
        <v>업적 - 룬스톤 합성 횟수 750 회</v>
      </c>
      <c r="C225" s="17">
        <f t="shared" si="110"/>
        <v>902231013</v>
      </c>
      <c r="D225" s="17">
        <f t="shared" si="111"/>
        <v>902231012</v>
      </c>
      <c r="E225" s="17">
        <f t="shared" si="106"/>
        <v>902231014</v>
      </c>
      <c r="F225" s="91" t="s">
        <v>1104</v>
      </c>
      <c r="G225" s="17">
        <f t="shared" si="112"/>
        <v>2</v>
      </c>
      <c r="H225" s="17">
        <f t="shared" si="107"/>
        <v>2</v>
      </c>
      <c r="I225" s="17">
        <f t="shared" si="107"/>
        <v>3</v>
      </c>
      <c r="J225" s="17">
        <f>'Achievement Reward Base'!B254</f>
        <v>750</v>
      </c>
      <c r="K225" s="17" t="str">
        <f t="shared" si="108"/>
        <v>160001001</v>
      </c>
      <c r="L225" s="17">
        <f>'Achievement Reward Base'!D254</f>
        <v>30000</v>
      </c>
      <c r="M225" s="21" t="s">
        <v>18</v>
      </c>
      <c r="N225" s="17">
        <f t="shared" si="98"/>
        <v>51520</v>
      </c>
      <c r="O225" s="17">
        <f t="shared" si="98"/>
        <v>52520</v>
      </c>
      <c r="P225" s="21">
        <f t="shared" si="109"/>
        <v>530800010</v>
      </c>
    </row>
    <row r="226" spans="1:16" ht="16.5" customHeight="1" x14ac:dyDescent="0.3">
      <c r="A226" s="17" t="b">
        <v>1</v>
      </c>
      <c r="B226" s="18" t="str">
        <f t="shared" si="105"/>
        <v>업적 - 룬스톤 합성 횟수 1000 회</v>
      </c>
      <c r="C226" s="17">
        <f t="shared" si="110"/>
        <v>902231014</v>
      </c>
      <c r="D226" s="17">
        <f t="shared" si="111"/>
        <v>902231013</v>
      </c>
      <c r="E226" s="17">
        <f t="shared" si="106"/>
        <v>902231015</v>
      </c>
      <c r="F226" s="91" t="s">
        <v>1104</v>
      </c>
      <c r="G226" s="17">
        <f t="shared" si="112"/>
        <v>2</v>
      </c>
      <c r="H226" s="17">
        <f t="shared" si="107"/>
        <v>2</v>
      </c>
      <c r="I226" s="17">
        <f t="shared" si="107"/>
        <v>3</v>
      </c>
      <c r="J226" s="17">
        <f>'Achievement Reward Base'!B255</f>
        <v>1000</v>
      </c>
      <c r="K226" s="17" t="str">
        <f t="shared" si="108"/>
        <v>160001001</v>
      </c>
      <c r="L226" s="17">
        <f>'Achievement Reward Base'!D255</f>
        <v>35000</v>
      </c>
      <c r="M226" s="21" t="s">
        <v>18</v>
      </c>
      <c r="N226" s="17">
        <f t="shared" si="98"/>
        <v>51521</v>
      </c>
      <c r="O226" s="17">
        <f t="shared" si="98"/>
        <v>52521</v>
      </c>
      <c r="P226" s="21">
        <f t="shared" si="109"/>
        <v>530800010</v>
      </c>
    </row>
    <row r="227" spans="1:16" ht="16.5" customHeight="1" x14ac:dyDescent="0.3">
      <c r="A227" s="17" t="b">
        <v>1</v>
      </c>
      <c r="B227" s="18" t="str">
        <f t="shared" si="105"/>
        <v>업적 - 룬스톤 합성 횟수 1500 회</v>
      </c>
      <c r="C227" s="17">
        <f t="shared" si="110"/>
        <v>902231015</v>
      </c>
      <c r="D227" s="17">
        <f t="shared" si="111"/>
        <v>902231014</v>
      </c>
      <c r="E227" s="17">
        <f t="shared" si="106"/>
        <v>902231016</v>
      </c>
      <c r="F227" s="91" t="s">
        <v>1104</v>
      </c>
      <c r="G227" s="17">
        <f t="shared" si="112"/>
        <v>2</v>
      </c>
      <c r="H227" s="17">
        <f t="shared" si="107"/>
        <v>2</v>
      </c>
      <c r="I227" s="17">
        <f t="shared" si="107"/>
        <v>3</v>
      </c>
      <c r="J227" s="17">
        <f>'Achievement Reward Base'!B256</f>
        <v>1500</v>
      </c>
      <c r="K227" s="17" t="str">
        <f t="shared" si="108"/>
        <v>160001001</v>
      </c>
      <c r="L227" s="17">
        <f>'Achievement Reward Base'!D256</f>
        <v>40000</v>
      </c>
      <c r="M227" s="21" t="s">
        <v>18</v>
      </c>
      <c r="N227" s="17">
        <f t="shared" si="98"/>
        <v>51522</v>
      </c>
      <c r="O227" s="17">
        <f t="shared" si="98"/>
        <v>52522</v>
      </c>
      <c r="P227" s="21">
        <f t="shared" si="109"/>
        <v>530800010</v>
      </c>
    </row>
    <row r="228" spans="1:16" ht="16.5" customHeight="1" x14ac:dyDescent="0.3">
      <c r="A228" s="17" t="b">
        <v>1</v>
      </c>
      <c r="B228" s="18" t="str">
        <f t="shared" ref="B228" si="113">"업적 - 룬스톤 합성 횟수 " &amp; J228 &amp; " 회"</f>
        <v>업적 - 룬스톤 합성 횟수 2000 회</v>
      </c>
      <c r="C228" s="17">
        <f t="shared" si="110"/>
        <v>902231016</v>
      </c>
      <c r="D228" s="17">
        <f t="shared" ref="D228" si="114">C227</f>
        <v>902231015</v>
      </c>
      <c r="E228" s="17">
        <f t="shared" si="106"/>
        <v>902231017</v>
      </c>
      <c r="F228" s="91" t="s">
        <v>1104</v>
      </c>
      <c r="G228" s="17">
        <f t="shared" si="112"/>
        <v>2</v>
      </c>
      <c r="H228" s="17">
        <f t="shared" si="107"/>
        <v>2</v>
      </c>
      <c r="I228" s="17">
        <f t="shared" si="107"/>
        <v>3</v>
      </c>
      <c r="J228" s="17">
        <f>'Achievement Reward Base'!B257</f>
        <v>2000</v>
      </c>
      <c r="K228" s="17" t="str">
        <f t="shared" si="108"/>
        <v>160001001</v>
      </c>
      <c r="L228" s="17">
        <f>'Achievement Reward Base'!D257</f>
        <v>45000</v>
      </c>
      <c r="M228" s="21" t="s">
        <v>18</v>
      </c>
      <c r="N228" s="17">
        <f t="shared" si="98"/>
        <v>51523</v>
      </c>
      <c r="O228" s="17">
        <f t="shared" si="98"/>
        <v>52523</v>
      </c>
      <c r="P228" s="21">
        <f t="shared" si="109"/>
        <v>530800010</v>
      </c>
    </row>
    <row r="229" spans="1:16" ht="16.5" customHeight="1" x14ac:dyDescent="0.3">
      <c r="A229" s="17" t="b">
        <v>1</v>
      </c>
      <c r="B229" s="18" t="str">
        <f t="shared" ref="B229:B230" si="115">"업적 - 룬스톤 합성 횟수 " &amp; J229 &amp; " 회"</f>
        <v>업적 - 룬스톤 합성 횟수 2500 회</v>
      </c>
      <c r="C229" s="17">
        <f t="shared" si="110"/>
        <v>902231017</v>
      </c>
      <c r="D229" s="17">
        <f t="shared" ref="D229:D230" si="116">C228</f>
        <v>902231016</v>
      </c>
      <c r="E229" s="17">
        <f t="shared" si="106"/>
        <v>902231018</v>
      </c>
      <c r="F229" s="91" t="s">
        <v>1104</v>
      </c>
      <c r="G229" s="17">
        <f t="shared" si="112"/>
        <v>2</v>
      </c>
      <c r="H229" s="17">
        <f t="shared" si="107"/>
        <v>2</v>
      </c>
      <c r="I229" s="17">
        <f t="shared" si="107"/>
        <v>3</v>
      </c>
      <c r="J229" s="17">
        <f>'Achievement Reward Base'!B258</f>
        <v>2500</v>
      </c>
      <c r="K229" s="17" t="str">
        <f t="shared" si="108"/>
        <v>160001001</v>
      </c>
      <c r="L229" s="17">
        <f>'Achievement Reward Base'!D258</f>
        <v>50000</v>
      </c>
      <c r="M229" s="21" t="s">
        <v>18</v>
      </c>
      <c r="N229" s="17">
        <f t="shared" si="98"/>
        <v>51524</v>
      </c>
      <c r="O229" s="17">
        <f t="shared" si="98"/>
        <v>52524</v>
      </c>
      <c r="P229" s="21">
        <f t="shared" si="109"/>
        <v>530800010</v>
      </c>
    </row>
    <row r="230" spans="1:16" ht="16.5" customHeight="1" x14ac:dyDescent="0.3">
      <c r="A230" s="17" t="b">
        <v>1</v>
      </c>
      <c r="B230" s="18" t="str">
        <f t="shared" si="115"/>
        <v>업적 - 룬스톤 합성 횟수 3000 회</v>
      </c>
      <c r="C230" s="17">
        <f t="shared" si="110"/>
        <v>902231018</v>
      </c>
      <c r="D230" s="17">
        <f t="shared" si="116"/>
        <v>902231017</v>
      </c>
      <c r="E230" s="17">
        <f t="shared" si="106"/>
        <v>902231019</v>
      </c>
      <c r="F230" s="91" t="s">
        <v>1104</v>
      </c>
      <c r="G230" s="17">
        <f t="shared" si="112"/>
        <v>2</v>
      </c>
      <c r="H230" s="17">
        <f t="shared" si="112"/>
        <v>2</v>
      </c>
      <c r="I230" s="17">
        <f t="shared" si="112"/>
        <v>3</v>
      </c>
      <c r="J230" s="17">
        <f>'Achievement Reward Base'!B259</f>
        <v>3000</v>
      </c>
      <c r="K230" s="17" t="str">
        <f t="shared" si="108"/>
        <v>160001001</v>
      </c>
      <c r="L230" s="17">
        <f>'Achievement Reward Base'!D259</f>
        <v>60000</v>
      </c>
      <c r="M230" s="21" t="s">
        <v>18</v>
      </c>
      <c r="N230" s="17">
        <f t="shared" si="98"/>
        <v>51525</v>
      </c>
      <c r="O230" s="17">
        <f t="shared" si="98"/>
        <v>52525</v>
      </c>
      <c r="P230" s="21">
        <f t="shared" si="109"/>
        <v>530800010</v>
      </c>
    </row>
    <row r="231" spans="1:16" ht="16.5" customHeight="1" x14ac:dyDescent="0.3">
      <c r="A231" s="17" t="b">
        <v>1</v>
      </c>
      <c r="B231" s="18" t="str">
        <f t="shared" ref="B231:B234" si="117">"업적 - 룬스톤 합성 횟수 " &amp; J231 &amp; " 회"</f>
        <v>업적 - 룬스톤 합성 횟수 4000 회</v>
      </c>
      <c r="C231" s="17">
        <f t="shared" si="110"/>
        <v>902231019</v>
      </c>
      <c r="D231" s="17">
        <f t="shared" ref="D231:D234" si="118">C230</f>
        <v>902231018</v>
      </c>
      <c r="E231" s="17">
        <f t="shared" si="106"/>
        <v>902231020</v>
      </c>
      <c r="F231" s="91" t="s">
        <v>1104</v>
      </c>
      <c r="G231" s="17">
        <f t="shared" ref="G231:I231" si="119">G230</f>
        <v>2</v>
      </c>
      <c r="H231" s="17">
        <f t="shared" si="119"/>
        <v>2</v>
      </c>
      <c r="I231" s="17">
        <f t="shared" si="119"/>
        <v>3</v>
      </c>
      <c r="J231" s="17">
        <f>'Achievement Reward Base'!B260</f>
        <v>4000</v>
      </c>
      <c r="K231" s="17" t="str">
        <f t="shared" si="108"/>
        <v>160001001</v>
      </c>
      <c r="L231" s="17">
        <f>'Achievement Reward Base'!D260</f>
        <v>70000</v>
      </c>
      <c r="M231" s="21" t="s">
        <v>18</v>
      </c>
      <c r="N231" s="17">
        <f t="shared" si="98"/>
        <v>51526</v>
      </c>
      <c r="O231" s="17">
        <f t="shared" si="98"/>
        <v>52526</v>
      </c>
      <c r="P231" s="21">
        <f t="shared" si="109"/>
        <v>530800010</v>
      </c>
    </row>
    <row r="232" spans="1:16" ht="16.5" customHeight="1" x14ac:dyDescent="0.3">
      <c r="A232" s="17" t="b">
        <v>1</v>
      </c>
      <c r="B232" s="18" t="str">
        <f t="shared" si="117"/>
        <v>업적 - 룬스톤 합성 횟수 5000 회</v>
      </c>
      <c r="C232" s="17">
        <f t="shared" si="110"/>
        <v>902231020</v>
      </c>
      <c r="D232" s="17">
        <f t="shared" si="118"/>
        <v>902231019</v>
      </c>
      <c r="E232" s="17">
        <f t="shared" si="106"/>
        <v>902231021</v>
      </c>
      <c r="F232" s="91" t="s">
        <v>1104</v>
      </c>
      <c r="G232" s="17">
        <f t="shared" ref="G232:I232" si="120">G231</f>
        <v>2</v>
      </c>
      <c r="H232" s="17">
        <f t="shared" si="120"/>
        <v>2</v>
      </c>
      <c r="I232" s="17">
        <f t="shared" si="120"/>
        <v>3</v>
      </c>
      <c r="J232" s="17">
        <f>'Achievement Reward Base'!B261</f>
        <v>5000</v>
      </c>
      <c r="K232" s="17" t="str">
        <f t="shared" si="108"/>
        <v>160001001</v>
      </c>
      <c r="L232" s="17">
        <f>'Achievement Reward Base'!D261</f>
        <v>80000</v>
      </c>
      <c r="M232" s="21" t="s">
        <v>18</v>
      </c>
      <c r="N232" s="17">
        <f t="shared" si="98"/>
        <v>51527</v>
      </c>
      <c r="O232" s="17">
        <f t="shared" si="98"/>
        <v>52527</v>
      </c>
      <c r="P232" s="21">
        <f t="shared" si="109"/>
        <v>530800010</v>
      </c>
    </row>
    <row r="233" spans="1:16" ht="16.5" customHeight="1" x14ac:dyDescent="0.3">
      <c r="A233" s="17" t="b">
        <v>1</v>
      </c>
      <c r="B233" s="18" t="str">
        <f t="shared" si="117"/>
        <v>업적 - 룬스톤 합성 횟수 6000 회</v>
      </c>
      <c r="C233" s="17">
        <f t="shared" si="110"/>
        <v>902231021</v>
      </c>
      <c r="D233" s="17">
        <f t="shared" si="118"/>
        <v>902231020</v>
      </c>
      <c r="E233" s="17">
        <f t="shared" si="106"/>
        <v>902231022</v>
      </c>
      <c r="F233" s="91" t="s">
        <v>1104</v>
      </c>
      <c r="G233" s="17">
        <f t="shared" ref="G233:I233" si="121">G232</f>
        <v>2</v>
      </c>
      <c r="H233" s="17">
        <f t="shared" si="121"/>
        <v>2</v>
      </c>
      <c r="I233" s="17">
        <f t="shared" si="121"/>
        <v>3</v>
      </c>
      <c r="J233" s="17">
        <f>'Achievement Reward Base'!B262</f>
        <v>6000</v>
      </c>
      <c r="K233" s="17" t="str">
        <f t="shared" si="108"/>
        <v>160001001</v>
      </c>
      <c r="L233" s="17">
        <f>'Achievement Reward Base'!D262</f>
        <v>100000</v>
      </c>
      <c r="M233" s="21" t="s">
        <v>18</v>
      </c>
      <c r="N233" s="17">
        <f t="shared" si="98"/>
        <v>51528</v>
      </c>
      <c r="O233" s="17">
        <f t="shared" si="98"/>
        <v>52528</v>
      </c>
      <c r="P233" s="21">
        <f t="shared" si="109"/>
        <v>530800010</v>
      </c>
    </row>
    <row r="234" spans="1:16" ht="16.5" customHeight="1" x14ac:dyDescent="0.3">
      <c r="A234" s="17" t="b">
        <v>1</v>
      </c>
      <c r="B234" s="18" t="str">
        <f t="shared" si="117"/>
        <v>업적 - 룬스톤 합성 횟수 7000 회</v>
      </c>
      <c r="C234" s="17">
        <f t="shared" si="110"/>
        <v>902231022</v>
      </c>
      <c r="D234" s="17">
        <f t="shared" si="118"/>
        <v>902231021</v>
      </c>
      <c r="E234" s="17">
        <f t="shared" si="106"/>
        <v>902231023</v>
      </c>
      <c r="F234" s="91" t="s">
        <v>1104</v>
      </c>
      <c r="G234" s="17">
        <f t="shared" ref="G234:I234" si="122">G233</f>
        <v>2</v>
      </c>
      <c r="H234" s="17">
        <f t="shared" si="122"/>
        <v>2</v>
      </c>
      <c r="I234" s="17">
        <f t="shared" si="122"/>
        <v>3</v>
      </c>
      <c r="J234" s="17">
        <f>'Achievement Reward Base'!B263</f>
        <v>7000</v>
      </c>
      <c r="K234" s="17" t="str">
        <f t="shared" si="108"/>
        <v>160001001</v>
      </c>
      <c r="L234" s="17">
        <f>'Achievement Reward Base'!D263</f>
        <v>120000</v>
      </c>
      <c r="M234" s="21" t="s">
        <v>18</v>
      </c>
      <c r="N234" s="17">
        <f t="shared" si="98"/>
        <v>51529</v>
      </c>
      <c r="O234" s="17">
        <f t="shared" si="98"/>
        <v>52529</v>
      </c>
      <c r="P234" s="21">
        <f t="shared" si="109"/>
        <v>530800010</v>
      </c>
    </row>
    <row r="235" spans="1:16" ht="16.5" customHeight="1" x14ac:dyDescent="0.3">
      <c r="A235" s="17" t="b">
        <v>1</v>
      </c>
      <c r="B235" s="18" t="str">
        <f t="shared" ref="B235" si="123">"업적 - 룬스톤 합성 횟수 " &amp; J235 &amp; " 회"</f>
        <v>업적 - 룬스톤 합성 횟수 8000 회</v>
      </c>
      <c r="C235" s="17">
        <f t="shared" si="110"/>
        <v>902231023</v>
      </c>
      <c r="D235" s="17">
        <f t="shared" ref="D235" si="124">C234</f>
        <v>902231022</v>
      </c>
      <c r="E235" s="16">
        <v>0</v>
      </c>
      <c r="F235" s="91" t="s">
        <v>1104</v>
      </c>
      <c r="G235" s="17">
        <f t="shared" ref="G235:I235" si="125">G234</f>
        <v>2</v>
      </c>
      <c r="H235" s="17">
        <f t="shared" si="125"/>
        <v>2</v>
      </c>
      <c r="I235" s="17">
        <f t="shared" si="125"/>
        <v>3</v>
      </c>
      <c r="J235" s="17">
        <f>'Achievement Reward Base'!B264</f>
        <v>8000</v>
      </c>
      <c r="K235" s="17" t="str">
        <f t="shared" si="108"/>
        <v>160001001</v>
      </c>
      <c r="L235" s="17">
        <f>'Achievement Reward Base'!D264</f>
        <v>140000</v>
      </c>
      <c r="M235" s="21" t="s">
        <v>18</v>
      </c>
      <c r="N235" s="17">
        <f t="shared" si="98"/>
        <v>51530</v>
      </c>
      <c r="O235" s="17">
        <f t="shared" si="98"/>
        <v>52530</v>
      </c>
      <c r="P235" s="21">
        <f t="shared" si="109"/>
        <v>530800010</v>
      </c>
    </row>
    <row r="236" spans="1:16" ht="16.5" customHeight="1" x14ac:dyDescent="0.3">
      <c r="A236" s="14" t="b">
        <v>1</v>
      </c>
      <c r="B236" s="15" t="str">
        <f>"업적 - 룬스톤 5성 누적 획득 " &amp; J236 &amp; " 회"</f>
        <v>업적 - 룬스톤 5성 누적 획득 1 회</v>
      </c>
      <c r="C236" s="16" t="str">
        <f>90&amp;G236&amp;H236&amp;I236&amp;1001</f>
        <v>903221001</v>
      </c>
      <c r="D236" s="16">
        <v>0</v>
      </c>
      <c r="E236" s="14">
        <f>C237</f>
        <v>903221002</v>
      </c>
      <c r="F236" s="92" t="s">
        <v>1104</v>
      </c>
      <c r="G236" s="16">
        <v>3</v>
      </c>
      <c r="H236" s="16">
        <v>2</v>
      </c>
      <c r="I236" s="16">
        <v>2</v>
      </c>
      <c r="J236" s="16">
        <f>'Achievement Reward Base'!B265</f>
        <v>1</v>
      </c>
      <c r="K236" s="16" t="str">
        <f>IF(M236="Gem","160001002",IF(M236="Gold","160001001"))</f>
        <v>160001001</v>
      </c>
      <c r="L236" s="16">
        <f>'Achievement Reward Base'!D265</f>
        <v>5000</v>
      </c>
      <c r="M236" s="20" t="s">
        <v>18</v>
      </c>
      <c r="N236" s="16">
        <f t="shared" si="98"/>
        <v>51531</v>
      </c>
      <c r="O236" s="16">
        <f t="shared" si="98"/>
        <v>52531</v>
      </c>
      <c r="P236" s="16">
        <v>530800010</v>
      </c>
    </row>
    <row r="237" spans="1:16" ht="16.5" customHeight="1" x14ac:dyDescent="0.3">
      <c r="A237" s="14" t="b">
        <v>1</v>
      </c>
      <c r="B237" s="15" t="str">
        <f t="shared" ref="B237:B249" si="126">"업적 - 룬스톤 5성 누적 획득 " &amp; J237 &amp; " 회"</f>
        <v>업적 - 룬스톤 5성 누적 획득 10 회</v>
      </c>
      <c r="C237" s="14">
        <f>C236+1</f>
        <v>903221002</v>
      </c>
      <c r="D237" s="14" t="str">
        <f>C236</f>
        <v>903221001</v>
      </c>
      <c r="E237" s="14">
        <f t="shared" ref="E237:E248" si="127">C238</f>
        <v>903221003</v>
      </c>
      <c r="F237" s="92" t="s">
        <v>1104</v>
      </c>
      <c r="G237" s="14">
        <f>G236</f>
        <v>3</v>
      </c>
      <c r="H237" s="14">
        <f t="shared" ref="H237:I237" si="128">H236</f>
        <v>2</v>
      </c>
      <c r="I237" s="14">
        <f t="shared" si="128"/>
        <v>2</v>
      </c>
      <c r="J237" s="14">
        <f>'Achievement Reward Base'!B266</f>
        <v>10</v>
      </c>
      <c r="K237" s="14" t="str">
        <f t="shared" ref="K237:K249" si="129">K236</f>
        <v>160001001</v>
      </c>
      <c r="L237" s="14">
        <f>'Achievement Reward Base'!D266</f>
        <v>10000</v>
      </c>
      <c r="M237" s="20" t="s">
        <v>18</v>
      </c>
      <c r="N237" s="14">
        <f t="shared" si="98"/>
        <v>51532</v>
      </c>
      <c r="O237" s="14">
        <f t="shared" si="98"/>
        <v>52532</v>
      </c>
      <c r="P237" s="20">
        <f t="shared" ref="P237:P249" si="130">P236</f>
        <v>530800010</v>
      </c>
    </row>
    <row r="238" spans="1:16" ht="16.5" customHeight="1" x14ac:dyDescent="0.3">
      <c r="A238" s="14" t="b">
        <v>1</v>
      </c>
      <c r="B238" s="15" t="str">
        <f t="shared" si="126"/>
        <v>업적 - 룬스톤 5성 누적 획득 20 회</v>
      </c>
      <c r="C238" s="14">
        <f t="shared" ref="C238:C249" si="131">C237+1</f>
        <v>903221003</v>
      </c>
      <c r="D238" s="14">
        <f t="shared" ref="D238:D249" si="132">C237</f>
        <v>903221002</v>
      </c>
      <c r="E238" s="14">
        <f t="shared" si="127"/>
        <v>903221004</v>
      </c>
      <c r="F238" s="92" t="s">
        <v>1104</v>
      </c>
      <c r="G238" s="14">
        <f t="shared" ref="G238:I249" si="133">G237</f>
        <v>3</v>
      </c>
      <c r="H238" s="14">
        <f t="shared" si="133"/>
        <v>2</v>
      </c>
      <c r="I238" s="14">
        <f t="shared" si="133"/>
        <v>2</v>
      </c>
      <c r="J238" s="14">
        <f>'Achievement Reward Base'!B267</f>
        <v>20</v>
      </c>
      <c r="K238" s="14" t="str">
        <f t="shared" si="129"/>
        <v>160001001</v>
      </c>
      <c r="L238" s="14">
        <f>'Achievement Reward Base'!D267</f>
        <v>10000</v>
      </c>
      <c r="M238" s="20" t="s">
        <v>18</v>
      </c>
      <c r="N238" s="14">
        <f t="shared" si="98"/>
        <v>51533</v>
      </c>
      <c r="O238" s="14">
        <f t="shared" si="98"/>
        <v>52533</v>
      </c>
      <c r="P238" s="20">
        <f t="shared" si="130"/>
        <v>530800010</v>
      </c>
    </row>
    <row r="239" spans="1:16" ht="16.5" customHeight="1" x14ac:dyDescent="0.3">
      <c r="A239" s="14" t="b">
        <v>1</v>
      </c>
      <c r="B239" s="15" t="str">
        <f t="shared" si="126"/>
        <v>업적 - 룬스톤 5성 누적 획득 30 회</v>
      </c>
      <c r="C239" s="14">
        <f t="shared" si="131"/>
        <v>903221004</v>
      </c>
      <c r="D239" s="14">
        <f t="shared" si="132"/>
        <v>903221003</v>
      </c>
      <c r="E239" s="14">
        <f t="shared" si="127"/>
        <v>903221005</v>
      </c>
      <c r="F239" s="92" t="s">
        <v>1104</v>
      </c>
      <c r="G239" s="14">
        <f t="shared" si="133"/>
        <v>3</v>
      </c>
      <c r="H239" s="14">
        <f t="shared" si="133"/>
        <v>2</v>
      </c>
      <c r="I239" s="14">
        <f t="shared" si="133"/>
        <v>2</v>
      </c>
      <c r="J239" s="14">
        <f>'Achievement Reward Base'!B268</f>
        <v>30</v>
      </c>
      <c r="K239" s="14" t="str">
        <f t="shared" si="129"/>
        <v>160001001</v>
      </c>
      <c r="L239" s="14">
        <f>'Achievement Reward Base'!D268</f>
        <v>15000</v>
      </c>
      <c r="M239" s="20" t="s">
        <v>18</v>
      </c>
      <c r="N239" s="14">
        <f t="shared" si="98"/>
        <v>51534</v>
      </c>
      <c r="O239" s="14">
        <f t="shared" si="98"/>
        <v>52534</v>
      </c>
      <c r="P239" s="20">
        <f t="shared" si="130"/>
        <v>530800010</v>
      </c>
    </row>
    <row r="240" spans="1:16" ht="16.5" customHeight="1" x14ac:dyDescent="0.3">
      <c r="A240" s="14" t="b">
        <v>1</v>
      </c>
      <c r="B240" s="15" t="str">
        <f t="shared" si="126"/>
        <v>업적 - 룬스톤 5성 누적 획득 50 회</v>
      </c>
      <c r="C240" s="14">
        <f t="shared" si="131"/>
        <v>903221005</v>
      </c>
      <c r="D240" s="14">
        <f t="shared" si="132"/>
        <v>903221004</v>
      </c>
      <c r="E240" s="14">
        <f t="shared" si="127"/>
        <v>903221006</v>
      </c>
      <c r="F240" s="92" t="s">
        <v>1104</v>
      </c>
      <c r="G240" s="14">
        <f t="shared" si="133"/>
        <v>3</v>
      </c>
      <c r="H240" s="14">
        <f t="shared" si="133"/>
        <v>2</v>
      </c>
      <c r="I240" s="14">
        <f t="shared" si="133"/>
        <v>2</v>
      </c>
      <c r="J240" s="14">
        <f>'Achievement Reward Base'!B269</f>
        <v>50</v>
      </c>
      <c r="K240" s="14" t="str">
        <f t="shared" si="129"/>
        <v>160001001</v>
      </c>
      <c r="L240" s="14">
        <f>'Achievement Reward Base'!D269</f>
        <v>20000</v>
      </c>
      <c r="M240" s="20" t="s">
        <v>18</v>
      </c>
      <c r="N240" s="14">
        <f t="shared" si="98"/>
        <v>51535</v>
      </c>
      <c r="O240" s="14">
        <f t="shared" si="98"/>
        <v>52535</v>
      </c>
      <c r="P240" s="20">
        <f t="shared" si="130"/>
        <v>530800010</v>
      </c>
    </row>
    <row r="241" spans="1:16" ht="16.5" customHeight="1" x14ac:dyDescent="0.3">
      <c r="A241" s="14" t="b">
        <v>1</v>
      </c>
      <c r="B241" s="15" t="str">
        <f t="shared" si="126"/>
        <v>업적 - 룬스톤 5성 누적 획득 100 회</v>
      </c>
      <c r="C241" s="14">
        <f t="shared" si="131"/>
        <v>903221006</v>
      </c>
      <c r="D241" s="14">
        <f t="shared" si="132"/>
        <v>903221005</v>
      </c>
      <c r="E241" s="14">
        <f t="shared" si="127"/>
        <v>903221007</v>
      </c>
      <c r="F241" s="92" t="s">
        <v>1104</v>
      </c>
      <c r="G241" s="14">
        <f t="shared" si="133"/>
        <v>3</v>
      </c>
      <c r="H241" s="14">
        <f t="shared" si="133"/>
        <v>2</v>
      </c>
      <c r="I241" s="14">
        <f t="shared" si="133"/>
        <v>2</v>
      </c>
      <c r="J241" s="14">
        <f>'Achievement Reward Base'!B270</f>
        <v>100</v>
      </c>
      <c r="K241" s="14" t="str">
        <f t="shared" si="129"/>
        <v>160001001</v>
      </c>
      <c r="L241" s="14">
        <f>'Achievement Reward Base'!D270</f>
        <v>25000</v>
      </c>
      <c r="M241" s="20" t="s">
        <v>18</v>
      </c>
      <c r="N241" s="14">
        <f t="shared" si="98"/>
        <v>51536</v>
      </c>
      <c r="O241" s="14">
        <f t="shared" si="98"/>
        <v>52536</v>
      </c>
      <c r="P241" s="20">
        <f t="shared" si="130"/>
        <v>530800010</v>
      </c>
    </row>
    <row r="242" spans="1:16" ht="16.5" customHeight="1" x14ac:dyDescent="0.3">
      <c r="A242" s="14" t="b">
        <v>1</v>
      </c>
      <c r="B242" s="15" t="str">
        <f t="shared" si="126"/>
        <v>업적 - 룬스톤 5성 누적 획득 150 회</v>
      </c>
      <c r="C242" s="14">
        <f t="shared" si="131"/>
        <v>903221007</v>
      </c>
      <c r="D242" s="14">
        <f t="shared" si="132"/>
        <v>903221006</v>
      </c>
      <c r="E242" s="14">
        <f t="shared" si="127"/>
        <v>903221008</v>
      </c>
      <c r="F242" s="92" t="s">
        <v>1104</v>
      </c>
      <c r="G242" s="14">
        <f t="shared" si="133"/>
        <v>3</v>
      </c>
      <c r="H242" s="14">
        <f t="shared" si="133"/>
        <v>2</v>
      </c>
      <c r="I242" s="14">
        <f t="shared" si="133"/>
        <v>2</v>
      </c>
      <c r="J242" s="14">
        <f>'Achievement Reward Base'!B271</f>
        <v>150</v>
      </c>
      <c r="K242" s="14" t="str">
        <f t="shared" si="129"/>
        <v>160001001</v>
      </c>
      <c r="L242" s="14">
        <f>'Achievement Reward Base'!D271</f>
        <v>30000</v>
      </c>
      <c r="M242" s="20" t="s">
        <v>18</v>
      </c>
      <c r="N242" s="14">
        <f t="shared" si="98"/>
        <v>51537</v>
      </c>
      <c r="O242" s="14">
        <f t="shared" si="98"/>
        <v>52537</v>
      </c>
      <c r="P242" s="20">
        <f t="shared" si="130"/>
        <v>530800010</v>
      </c>
    </row>
    <row r="243" spans="1:16" ht="16.5" customHeight="1" x14ac:dyDescent="0.3">
      <c r="A243" s="14" t="b">
        <v>1</v>
      </c>
      <c r="B243" s="15" t="str">
        <f t="shared" si="126"/>
        <v>업적 - 룬스톤 5성 누적 획득 200 회</v>
      </c>
      <c r="C243" s="14">
        <f t="shared" si="131"/>
        <v>903221008</v>
      </c>
      <c r="D243" s="14">
        <f t="shared" si="132"/>
        <v>903221007</v>
      </c>
      <c r="E243" s="14">
        <f t="shared" si="127"/>
        <v>903221009</v>
      </c>
      <c r="F243" s="92" t="s">
        <v>1104</v>
      </c>
      <c r="G243" s="14">
        <f t="shared" si="133"/>
        <v>3</v>
      </c>
      <c r="H243" s="14">
        <f t="shared" si="133"/>
        <v>2</v>
      </c>
      <c r="I243" s="14">
        <f t="shared" si="133"/>
        <v>2</v>
      </c>
      <c r="J243" s="14">
        <f>'Achievement Reward Base'!B272</f>
        <v>200</v>
      </c>
      <c r="K243" s="14" t="str">
        <f t="shared" si="129"/>
        <v>160001001</v>
      </c>
      <c r="L243" s="14">
        <f>'Achievement Reward Base'!D272</f>
        <v>40000</v>
      </c>
      <c r="M243" s="20" t="s">
        <v>18</v>
      </c>
      <c r="N243" s="14">
        <f t="shared" si="98"/>
        <v>51538</v>
      </c>
      <c r="O243" s="14">
        <f t="shared" si="98"/>
        <v>52538</v>
      </c>
      <c r="P243" s="20">
        <f t="shared" si="130"/>
        <v>530800010</v>
      </c>
    </row>
    <row r="244" spans="1:16" ht="16.5" customHeight="1" x14ac:dyDescent="0.3">
      <c r="A244" s="14" t="b">
        <v>1</v>
      </c>
      <c r="B244" s="15" t="str">
        <f t="shared" si="126"/>
        <v>업적 - 룬스톤 5성 누적 획득 250 회</v>
      </c>
      <c r="C244" s="14">
        <f t="shared" si="131"/>
        <v>903221009</v>
      </c>
      <c r="D244" s="14">
        <f t="shared" si="132"/>
        <v>903221008</v>
      </c>
      <c r="E244" s="14">
        <f t="shared" si="127"/>
        <v>903221010</v>
      </c>
      <c r="F244" s="92" t="s">
        <v>1104</v>
      </c>
      <c r="G244" s="14">
        <f t="shared" si="133"/>
        <v>3</v>
      </c>
      <c r="H244" s="14">
        <f t="shared" si="133"/>
        <v>2</v>
      </c>
      <c r="I244" s="14">
        <f t="shared" si="133"/>
        <v>2</v>
      </c>
      <c r="J244" s="14">
        <f>'Achievement Reward Base'!B273</f>
        <v>250</v>
      </c>
      <c r="K244" s="14" t="str">
        <f t="shared" si="129"/>
        <v>160001001</v>
      </c>
      <c r="L244" s="14">
        <f>'Achievement Reward Base'!D273</f>
        <v>50000</v>
      </c>
      <c r="M244" s="20" t="s">
        <v>18</v>
      </c>
      <c r="N244" s="14">
        <f t="shared" si="98"/>
        <v>51539</v>
      </c>
      <c r="O244" s="14">
        <f t="shared" si="98"/>
        <v>52539</v>
      </c>
      <c r="P244" s="20">
        <f t="shared" si="130"/>
        <v>530800010</v>
      </c>
    </row>
    <row r="245" spans="1:16" ht="16.5" customHeight="1" x14ac:dyDescent="0.3">
      <c r="A245" s="14" t="b">
        <v>1</v>
      </c>
      <c r="B245" s="15" t="str">
        <f t="shared" si="126"/>
        <v>업적 - 룬스톤 5성 누적 획득 300 회</v>
      </c>
      <c r="C245" s="14">
        <f t="shared" si="131"/>
        <v>903221010</v>
      </c>
      <c r="D245" s="14">
        <f t="shared" si="132"/>
        <v>903221009</v>
      </c>
      <c r="E245" s="14">
        <f t="shared" si="127"/>
        <v>903221011</v>
      </c>
      <c r="F245" s="92" t="s">
        <v>1104</v>
      </c>
      <c r="G245" s="14">
        <f t="shared" si="133"/>
        <v>3</v>
      </c>
      <c r="H245" s="14">
        <f t="shared" si="133"/>
        <v>2</v>
      </c>
      <c r="I245" s="14">
        <f t="shared" si="133"/>
        <v>2</v>
      </c>
      <c r="J245" s="14">
        <f>'Achievement Reward Base'!B274</f>
        <v>300</v>
      </c>
      <c r="K245" s="14" t="str">
        <f t="shared" si="129"/>
        <v>160001001</v>
      </c>
      <c r="L245" s="14">
        <f>'Achievement Reward Base'!D274</f>
        <v>60000</v>
      </c>
      <c r="M245" s="20" t="s">
        <v>18</v>
      </c>
      <c r="N245" s="14">
        <f t="shared" si="98"/>
        <v>51540</v>
      </c>
      <c r="O245" s="14">
        <f t="shared" si="98"/>
        <v>52540</v>
      </c>
      <c r="P245" s="20">
        <f t="shared" si="130"/>
        <v>530800010</v>
      </c>
    </row>
    <row r="246" spans="1:16" ht="16.5" customHeight="1" x14ac:dyDescent="0.3">
      <c r="A246" s="14" t="b">
        <v>1</v>
      </c>
      <c r="B246" s="15" t="str">
        <f t="shared" si="126"/>
        <v>업적 - 룬스톤 5성 누적 획득 350 회</v>
      </c>
      <c r="C246" s="14">
        <f t="shared" si="131"/>
        <v>903221011</v>
      </c>
      <c r="D246" s="14">
        <f t="shared" si="132"/>
        <v>903221010</v>
      </c>
      <c r="E246" s="14">
        <f t="shared" si="127"/>
        <v>903221012</v>
      </c>
      <c r="F246" s="92" t="s">
        <v>1104</v>
      </c>
      <c r="G246" s="14">
        <f t="shared" si="133"/>
        <v>3</v>
      </c>
      <c r="H246" s="14">
        <f t="shared" si="133"/>
        <v>2</v>
      </c>
      <c r="I246" s="14">
        <f t="shared" si="133"/>
        <v>2</v>
      </c>
      <c r="J246" s="14">
        <f>'Achievement Reward Base'!B275</f>
        <v>350</v>
      </c>
      <c r="K246" s="14" t="str">
        <f t="shared" si="129"/>
        <v>160001001</v>
      </c>
      <c r="L246" s="14">
        <f>'Achievement Reward Base'!D275</f>
        <v>80000</v>
      </c>
      <c r="M246" s="20" t="s">
        <v>18</v>
      </c>
      <c r="N246" s="14">
        <f t="shared" si="98"/>
        <v>51541</v>
      </c>
      <c r="O246" s="14">
        <f t="shared" si="98"/>
        <v>52541</v>
      </c>
      <c r="P246" s="20">
        <f t="shared" si="130"/>
        <v>530800010</v>
      </c>
    </row>
    <row r="247" spans="1:16" ht="16.5" customHeight="1" x14ac:dyDescent="0.3">
      <c r="A247" s="14" t="b">
        <v>1</v>
      </c>
      <c r="B247" s="15" t="str">
        <f t="shared" si="126"/>
        <v>업적 - 룬스톤 5성 누적 획득 400 회</v>
      </c>
      <c r="C247" s="14">
        <f t="shared" si="131"/>
        <v>903221012</v>
      </c>
      <c r="D247" s="14">
        <f t="shared" si="132"/>
        <v>903221011</v>
      </c>
      <c r="E247" s="14">
        <f t="shared" si="127"/>
        <v>903221013</v>
      </c>
      <c r="F247" s="92" t="s">
        <v>1104</v>
      </c>
      <c r="G247" s="14">
        <f t="shared" si="133"/>
        <v>3</v>
      </c>
      <c r="H247" s="14">
        <f t="shared" si="133"/>
        <v>2</v>
      </c>
      <c r="I247" s="14">
        <f t="shared" si="133"/>
        <v>2</v>
      </c>
      <c r="J247" s="14">
        <f>'Achievement Reward Base'!B276</f>
        <v>400</v>
      </c>
      <c r="K247" s="14" t="str">
        <f t="shared" si="129"/>
        <v>160001001</v>
      </c>
      <c r="L247" s="14">
        <f>'Achievement Reward Base'!D276</f>
        <v>100000</v>
      </c>
      <c r="M247" s="20" t="s">
        <v>18</v>
      </c>
      <c r="N247" s="14">
        <f t="shared" si="98"/>
        <v>51542</v>
      </c>
      <c r="O247" s="14">
        <f t="shared" si="98"/>
        <v>52542</v>
      </c>
      <c r="P247" s="20">
        <f t="shared" si="130"/>
        <v>530800010</v>
      </c>
    </row>
    <row r="248" spans="1:16" ht="16.5" customHeight="1" x14ac:dyDescent="0.3">
      <c r="A248" s="14" t="b">
        <v>1</v>
      </c>
      <c r="B248" s="15" t="str">
        <f t="shared" si="126"/>
        <v>업적 - 룬스톤 5성 누적 획득 450 회</v>
      </c>
      <c r="C248" s="14">
        <f t="shared" si="131"/>
        <v>903221013</v>
      </c>
      <c r="D248" s="14">
        <f t="shared" si="132"/>
        <v>903221012</v>
      </c>
      <c r="E248" s="14">
        <f t="shared" si="127"/>
        <v>903221014</v>
      </c>
      <c r="F248" s="92" t="s">
        <v>1104</v>
      </c>
      <c r="G248" s="14">
        <f t="shared" si="133"/>
        <v>3</v>
      </c>
      <c r="H248" s="14">
        <f t="shared" si="133"/>
        <v>2</v>
      </c>
      <c r="I248" s="14">
        <f t="shared" si="133"/>
        <v>2</v>
      </c>
      <c r="J248" s="14">
        <f>'Achievement Reward Base'!B277</f>
        <v>450</v>
      </c>
      <c r="K248" s="14" t="str">
        <f t="shared" si="129"/>
        <v>160001001</v>
      </c>
      <c r="L248" s="14">
        <f>'Achievement Reward Base'!D277</f>
        <v>120000</v>
      </c>
      <c r="M248" s="20" t="s">
        <v>18</v>
      </c>
      <c r="N248" s="14">
        <f t="shared" si="98"/>
        <v>51543</v>
      </c>
      <c r="O248" s="14">
        <f t="shared" si="98"/>
        <v>52543</v>
      </c>
      <c r="P248" s="20">
        <f t="shared" si="130"/>
        <v>530800010</v>
      </c>
    </row>
    <row r="249" spans="1:16" ht="16.5" customHeight="1" x14ac:dyDescent="0.3">
      <c r="A249" s="14" t="b">
        <v>1</v>
      </c>
      <c r="B249" s="15" t="str">
        <f t="shared" si="126"/>
        <v>업적 - 룬스톤 5성 누적 획득 500 회</v>
      </c>
      <c r="C249" s="14">
        <f t="shared" si="131"/>
        <v>903221014</v>
      </c>
      <c r="D249" s="14">
        <f t="shared" si="132"/>
        <v>903221013</v>
      </c>
      <c r="E249" s="16">
        <v>0</v>
      </c>
      <c r="F249" s="92" t="s">
        <v>1104</v>
      </c>
      <c r="G249" s="14">
        <f t="shared" si="133"/>
        <v>3</v>
      </c>
      <c r="H249" s="14">
        <f t="shared" si="133"/>
        <v>2</v>
      </c>
      <c r="I249" s="14">
        <f t="shared" si="133"/>
        <v>2</v>
      </c>
      <c r="J249" s="14">
        <f>'Achievement Reward Base'!B278</f>
        <v>500</v>
      </c>
      <c r="K249" s="14" t="str">
        <f t="shared" si="129"/>
        <v>160001001</v>
      </c>
      <c r="L249" s="14">
        <f>'Achievement Reward Base'!D278</f>
        <v>150000</v>
      </c>
      <c r="M249" s="20" t="s">
        <v>18</v>
      </c>
      <c r="N249" s="14">
        <f t="shared" si="98"/>
        <v>51544</v>
      </c>
      <c r="O249" s="14">
        <f t="shared" si="98"/>
        <v>52544</v>
      </c>
      <c r="P249" s="20">
        <f t="shared" si="130"/>
        <v>530800010</v>
      </c>
    </row>
    <row r="250" spans="1:16" ht="16.5" customHeight="1" x14ac:dyDescent="0.3">
      <c r="A250" s="17" t="b">
        <v>1</v>
      </c>
      <c r="B250" s="18" t="str">
        <f>"업적 - 룬스톤 6성 누적 획득 " &amp; J250 &amp; " 회"</f>
        <v>업적 - 룬스톤 6성 누적 획득 1 회</v>
      </c>
      <c r="C250" s="16" t="str">
        <f>90&amp;G250&amp;H250&amp;I250&amp;1001</f>
        <v>903231001</v>
      </c>
      <c r="D250" s="16">
        <v>0</v>
      </c>
      <c r="E250" s="17">
        <f>C251</f>
        <v>903231002</v>
      </c>
      <c r="F250" s="91" t="s">
        <v>1104</v>
      </c>
      <c r="G250" s="16">
        <v>3</v>
      </c>
      <c r="H250" s="16">
        <v>2</v>
      </c>
      <c r="I250" s="16">
        <v>3</v>
      </c>
      <c r="J250" s="16">
        <f>'Achievement Reward Base'!B279</f>
        <v>1</v>
      </c>
      <c r="K250" s="16" t="str">
        <f>IF(M250="Gem","160001002",IF(M250="Gold","160001001"))</f>
        <v>160001001</v>
      </c>
      <c r="L250" s="16">
        <f>'Achievement Reward Base'!D279</f>
        <v>10000</v>
      </c>
      <c r="M250" s="17" t="s">
        <v>18</v>
      </c>
      <c r="N250" s="16">
        <f t="shared" si="98"/>
        <v>51545</v>
      </c>
      <c r="O250" s="16">
        <f t="shared" si="98"/>
        <v>52545</v>
      </c>
      <c r="P250" s="16">
        <v>530800010</v>
      </c>
    </row>
    <row r="251" spans="1:16" ht="16.5" customHeight="1" x14ac:dyDescent="0.3">
      <c r="A251" s="17" t="b">
        <v>1</v>
      </c>
      <c r="B251" s="18" t="str">
        <f t="shared" ref="B251:B263" si="134">"업적 - 룬스톤 6성 누적 획득 " &amp; J251 &amp; " 회"</f>
        <v>업적 - 룬스톤 6성 누적 획득 10 회</v>
      </c>
      <c r="C251" s="17">
        <f>C250+1</f>
        <v>903231002</v>
      </c>
      <c r="D251" s="17" t="str">
        <f>C250</f>
        <v>903231001</v>
      </c>
      <c r="E251" s="17">
        <f t="shared" ref="E251:E262" si="135">C252</f>
        <v>903231003</v>
      </c>
      <c r="F251" s="91" t="s">
        <v>1104</v>
      </c>
      <c r="G251" s="17">
        <f>G250</f>
        <v>3</v>
      </c>
      <c r="H251" s="17">
        <f t="shared" ref="H251:I251" si="136">H250</f>
        <v>2</v>
      </c>
      <c r="I251" s="17">
        <f t="shared" si="136"/>
        <v>3</v>
      </c>
      <c r="J251" s="17">
        <f>'Achievement Reward Base'!B280</f>
        <v>10</v>
      </c>
      <c r="K251" s="17" t="str">
        <f t="shared" ref="K251:K263" si="137">K250</f>
        <v>160001001</v>
      </c>
      <c r="L251" s="17">
        <f>'Achievement Reward Base'!D280</f>
        <v>20000</v>
      </c>
      <c r="M251" s="17" t="s">
        <v>18</v>
      </c>
      <c r="N251" s="17">
        <f t="shared" si="98"/>
        <v>51546</v>
      </c>
      <c r="O251" s="17">
        <f t="shared" si="98"/>
        <v>52546</v>
      </c>
      <c r="P251" s="17">
        <f t="shared" ref="P251:P263" si="138">P250</f>
        <v>530800010</v>
      </c>
    </row>
    <row r="252" spans="1:16" ht="16.5" customHeight="1" x14ac:dyDescent="0.3">
      <c r="A252" s="17" t="b">
        <v>1</v>
      </c>
      <c r="B252" s="18" t="str">
        <f t="shared" si="134"/>
        <v>업적 - 룬스톤 6성 누적 획득 20 회</v>
      </c>
      <c r="C252" s="17">
        <f t="shared" ref="C252:C263" si="139">C251+1</f>
        <v>903231003</v>
      </c>
      <c r="D252" s="17">
        <f t="shared" ref="D252:D263" si="140">C251</f>
        <v>903231002</v>
      </c>
      <c r="E252" s="17">
        <f t="shared" si="135"/>
        <v>903231004</v>
      </c>
      <c r="F252" s="91" t="s">
        <v>1104</v>
      </c>
      <c r="G252" s="17">
        <f t="shared" ref="G252:I263" si="141">G251</f>
        <v>3</v>
      </c>
      <c r="H252" s="17">
        <f t="shared" si="141"/>
        <v>2</v>
      </c>
      <c r="I252" s="17">
        <f t="shared" si="141"/>
        <v>3</v>
      </c>
      <c r="J252" s="17">
        <f>'Achievement Reward Base'!B281</f>
        <v>20</v>
      </c>
      <c r="K252" s="17" t="str">
        <f t="shared" si="137"/>
        <v>160001001</v>
      </c>
      <c r="L252" s="17">
        <f>'Achievement Reward Base'!D281</f>
        <v>40000</v>
      </c>
      <c r="M252" s="17" t="s">
        <v>18</v>
      </c>
      <c r="N252" s="17">
        <f t="shared" si="98"/>
        <v>51547</v>
      </c>
      <c r="O252" s="17">
        <f t="shared" si="98"/>
        <v>52547</v>
      </c>
      <c r="P252" s="17">
        <f t="shared" si="138"/>
        <v>530800010</v>
      </c>
    </row>
    <row r="253" spans="1:16" ht="16.5" customHeight="1" x14ac:dyDescent="0.3">
      <c r="A253" s="17" t="b">
        <v>1</v>
      </c>
      <c r="B253" s="18" t="str">
        <f t="shared" si="134"/>
        <v>업적 - 룬스톤 6성 누적 획득 30 회</v>
      </c>
      <c r="C253" s="17">
        <f t="shared" si="139"/>
        <v>903231004</v>
      </c>
      <c r="D253" s="17">
        <f t="shared" si="140"/>
        <v>903231003</v>
      </c>
      <c r="E253" s="17">
        <f t="shared" si="135"/>
        <v>903231005</v>
      </c>
      <c r="F253" s="91" t="s">
        <v>1104</v>
      </c>
      <c r="G253" s="17">
        <f t="shared" si="141"/>
        <v>3</v>
      </c>
      <c r="H253" s="17">
        <f t="shared" si="141"/>
        <v>2</v>
      </c>
      <c r="I253" s="17">
        <f t="shared" si="141"/>
        <v>3</v>
      </c>
      <c r="J253" s="17">
        <f>'Achievement Reward Base'!B282</f>
        <v>30</v>
      </c>
      <c r="K253" s="17" t="str">
        <f t="shared" si="137"/>
        <v>160001001</v>
      </c>
      <c r="L253" s="17">
        <f>'Achievement Reward Base'!D282</f>
        <v>30000</v>
      </c>
      <c r="M253" s="17" t="s">
        <v>18</v>
      </c>
      <c r="N253" s="17">
        <f t="shared" si="98"/>
        <v>51548</v>
      </c>
      <c r="O253" s="17">
        <f t="shared" si="98"/>
        <v>52548</v>
      </c>
      <c r="P253" s="17">
        <f t="shared" si="138"/>
        <v>530800010</v>
      </c>
    </row>
    <row r="254" spans="1:16" ht="16.5" customHeight="1" x14ac:dyDescent="0.3">
      <c r="A254" s="17" t="b">
        <v>1</v>
      </c>
      <c r="B254" s="18" t="str">
        <f t="shared" si="134"/>
        <v>업적 - 룬스톤 6성 누적 획득 50 회</v>
      </c>
      <c r="C254" s="17">
        <f t="shared" si="139"/>
        <v>903231005</v>
      </c>
      <c r="D254" s="17">
        <f t="shared" si="140"/>
        <v>903231004</v>
      </c>
      <c r="E254" s="17">
        <f t="shared" si="135"/>
        <v>903231006</v>
      </c>
      <c r="F254" s="91" t="s">
        <v>1104</v>
      </c>
      <c r="G254" s="17">
        <f t="shared" si="141"/>
        <v>3</v>
      </c>
      <c r="H254" s="17">
        <f t="shared" si="141"/>
        <v>2</v>
      </c>
      <c r="I254" s="17">
        <f t="shared" si="141"/>
        <v>3</v>
      </c>
      <c r="J254" s="17">
        <f>'Achievement Reward Base'!B283</f>
        <v>50</v>
      </c>
      <c r="K254" s="17" t="str">
        <f t="shared" si="137"/>
        <v>160001001</v>
      </c>
      <c r="L254" s="17">
        <f>'Achievement Reward Base'!D283</f>
        <v>50000</v>
      </c>
      <c r="M254" s="17" t="s">
        <v>18</v>
      </c>
      <c r="N254" s="17">
        <f t="shared" si="98"/>
        <v>51549</v>
      </c>
      <c r="O254" s="17">
        <f t="shared" si="98"/>
        <v>52549</v>
      </c>
      <c r="P254" s="17">
        <f t="shared" si="138"/>
        <v>530800010</v>
      </c>
    </row>
    <row r="255" spans="1:16" ht="16.5" customHeight="1" x14ac:dyDescent="0.3">
      <c r="A255" s="17" t="b">
        <v>1</v>
      </c>
      <c r="B255" s="18" t="str">
        <f t="shared" si="134"/>
        <v>업적 - 룬스톤 6성 누적 획득 100 회</v>
      </c>
      <c r="C255" s="17">
        <f t="shared" si="139"/>
        <v>903231006</v>
      </c>
      <c r="D255" s="17">
        <f t="shared" si="140"/>
        <v>903231005</v>
      </c>
      <c r="E255" s="17">
        <f t="shared" si="135"/>
        <v>903231007</v>
      </c>
      <c r="F255" s="91" t="s">
        <v>1104</v>
      </c>
      <c r="G255" s="17">
        <f t="shared" si="141"/>
        <v>3</v>
      </c>
      <c r="H255" s="17">
        <f t="shared" si="141"/>
        <v>2</v>
      </c>
      <c r="I255" s="17">
        <f t="shared" si="141"/>
        <v>3</v>
      </c>
      <c r="J255" s="17">
        <f>'Achievement Reward Base'!B284</f>
        <v>100</v>
      </c>
      <c r="K255" s="17" t="str">
        <f t="shared" si="137"/>
        <v>160001001</v>
      </c>
      <c r="L255" s="17">
        <f>'Achievement Reward Base'!D284</f>
        <v>75000</v>
      </c>
      <c r="M255" s="17" t="s">
        <v>18</v>
      </c>
      <c r="N255" s="17">
        <f t="shared" si="98"/>
        <v>51550</v>
      </c>
      <c r="O255" s="17">
        <f t="shared" si="98"/>
        <v>52550</v>
      </c>
      <c r="P255" s="17">
        <f t="shared" si="138"/>
        <v>530800010</v>
      </c>
    </row>
    <row r="256" spans="1:16" ht="16.5" customHeight="1" x14ac:dyDescent="0.3">
      <c r="A256" s="17" t="b">
        <v>1</v>
      </c>
      <c r="B256" s="18" t="str">
        <f t="shared" si="134"/>
        <v>업적 - 룬스톤 6성 누적 획득 150 회</v>
      </c>
      <c r="C256" s="17">
        <f t="shared" si="139"/>
        <v>903231007</v>
      </c>
      <c r="D256" s="17">
        <f t="shared" si="140"/>
        <v>903231006</v>
      </c>
      <c r="E256" s="17">
        <f t="shared" si="135"/>
        <v>903231008</v>
      </c>
      <c r="F256" s="91" t="s">
        <v>1104</v>
      </c>
      <c r="G256" s="17">
        <f t="shared" si="141"/>
        <v>3</v>
      </c>
      <c r="H256" s="17">
        <f t="shared" si="141"/>
        <v>2</v>
      </c>
      <c r="I256" s="17">
        <f t="shared" si="141"/>
        <v>3</v>
      </c>
      <c r="J256" s="17">
        <f>'Achievement Reward Base'!B285</f>
        <v>150</v>
      </c>
      <c r="K256" s="17" t="str">
        <f t="shared" si="137"/>
        <v>160001001</v>
      </c>
      <c r="L256" s="17">
        <f>'Achievement Reward Base'!D285</f>
        <v>100000</v>
      </c>
      <c r="M256" s="17" t="s">
        <v>18</v>
      </c>
      <c r="N256" s="17">
        <f t="shared" si="98"/>
        <v>51551</v>
      </c>
      <c r="O256" s="17">
        <f t="shared" si="98"/>
        <v>52551</v>
      </c>
      <c r="P256" s="17">
        <f t="shared" si="138"/>
        <v>530800010</v>
      </c>
    </row>
    <row r="257" spans="1:16" ht="16.5" customHeight="1" x14ac:dyDescent="0.3">
      <c r="A257" s="17" t="b">
        <v>1</v>
      </c>
      <c r="B257" s="18" t="str">
        <f t="shared" si="134"/>
        <v>업적 - 룬스톤 6성 누적 획득 200 회</v>
      </c>
      <c r="C257" s="17">
        <f t="shared" si="139"/>
        <v>903231008</v>
      </c>
      <c r="D257" s="17">
        <f t="shared" si="140"/>
        <v>903231007</v>
      </c>
      <c r="E257" s="17">
        <f t="shared" si="135"/>
        <v>903231009</v>
      </c>
      <c r="F257" s="91" t="s">
        <v>1104</v>
      </c>
      <c r="G257" s="17">
        <f t="shared" si="141"/>
        <v>3</v>
      </c>
      <c r="H257" s="17">
        <f t="shared" si="141"/>
        <v>2</v>
      </c>
      <c r="I257" s="17">
        <f t="shared" si="141"/>
        <v>3</v>
      </c>
      <c r="J257" s="17">
        <f>'Achievement Reward Base'!B286</f>
        <v>200</v>
      </c>
      <c r="K257" s="17" t="str">
        <f t="shared" si="137"/>
        <v>160001001</v>
      </c>
      <c r="L257" s="17">
        <f>'Achievement Reward Base'!D286</f>
        <v>125000</v>
      </c>
      <c r="M257" s="17" t="s">
        <v>18</v>
      </c>
      <c r="N257" s="17">
        <f t="shared" si="98"/>
        <v>51552</v>
      </c>
      <c r="O257" s="17">
        <f t="shared" si="98"/>
        <v>52552</v>
      </c>
      <c r="P257" s="17">
        <f t="shared" si="138"/>
        <v>530800010</v>
      </c>
    </row>
    <row r="258" spans="1:16" ht="16.5" customHeight="1" x14ac:dyDescent="0.3">
      <c r="A258" s="17" t="b">
        <v>1</v>
      </c>
      <c r="B258" s="18" t="str">
        <f t="shared" si="134"/>
        <v>업적 - 룬스톤 6성 누적 획득 250 회</v>
      </c>
      <c r="C258" s="17">
        <f t="shared" si="139"/>
        <v>903231009</v>
      </c>
      <c r="D258" s="17">
        <f t="shared" si="140"/>
        <v>903231008</v>
      </c>
      <c r="E258" s="17">
        <f t="shared" si="135"/>
        <v>903231010</v>
      </c>
      <c r="F258" s="91" t="s">
        <v>1104</v>
      </c>
      <c r="G258" s="17">
        <f t="shared" si="141"/>
        <v>3</v>
      </c>
      <c r="H258" s="17">
        <f t="shared" si="141"/>
        <v>2</v>
      </c>
      <c r="I258" s="17">
        <f t="shared" si="141"/>
        <v>3</v>
      </c>
      <c r="J258" s="17">
        <f>'Achievement Reward Base'!B287</f>
        <v>250</v>
      </c>
      <c r="K258" s="17" t="str">
        <f t="shared" si="137"/>
        <v>160001001</v>
      </c>
      <c r="L258" s="17">
        <f>'Achievement Reward Base'!D287</f>
        <v>150000</v>
      </c>
      <c r="M258" s="17" t="s">
        <v>18</v>
      </c>
      <c r="N258" s="17">
        <f t="shared" si="98"/>
        <v>51553</v>
      </c>
      <c r="O258" s="17">
        <f t="shared" si="98"/>
        <v>52553</v>
      </c>
      <c r="P258" s="17">
        <f t="shared" si="138"/>
        <v>530800010</v>
      </c>
    </row>
    <row r="259" spans="1:16" ht="16.5" customHeight="1" x14ac:dyDescent="0.3">
      <c r="A259" s="17" t="b">
        <v>1</v>
      </c>
      <c r="B259" s="18" t="str">
        <f t="shared" si="134"/>
        <v>업적 - 룬스톤 6성 누적 획득 300 회</v>
      </c>
      <c r="C259" s="17">
        <f t="shared" si="139"/>
        <v>903231010</v>
      </c>
      <c r="D259" s="17">
        <f t="shared" si="140"/>
        <v>903231009</v>
      </c>
      <c r="E259" s="17">
        <f t="shared" si="135"/>
        <v>903231011</v>
      </c>
      <c r="F259" s="91" t="s">
        <v>1104</v>
      </c>
      <c r="G259" s="17">
        <f t="shared" si="141"/>
        <v>3</v>
      </c>
      <c r="H259" s="17">
        <f t="shared" si="141"/>
        <v>2</v>
      </c>
      <c r="I259" s="17">
        <f t="shared" si="141"/>
        <v>3</v>
      </c>
      <c r="J259" s="17">
        <f>'Achievement Reward Base'!B288</f>
        <v>300</v>
      </c>
      <c r="K259" s="17" t="str">
        <f t="shared" si="137"/>
        <v>160001001</v>
      </c>
      <c r="L259" s="17">
        <f>'Achievement Reward Base'!D288</f>
        <v>180000</v>
      </c>
      <c r="M259" s="17" t="s">
        <v>18</v>
      </c>
      <c r="N259" s="17">
        <f t="shared" si="98"/>
        <v>51554</v>
      </c>
      <c r="O259" s="17">
        <f t="shared" si="98"/>
        <v>52554</v>
      </c>
      <c r="P259" s="17">
        <f t="shared" si="138"/>
        <v>530800010</v>
      </c>
    </row>
    <row r="260" spans="1:16" ht="16.5" customHeight="1" x14ac:dyDescent="0.3">
      <c r="A260" s="17" t="b">
        <v>1</v>
      </c>
      <c r="B260" s="18" t="str">
        <f t="shared" si="134"/>
        <v>업적 - 룬스톤 6성 누적 획득 350 회</v>
      </c>
      <c r="C260" s="17">
        <f t="shared" si="139"/>
        <v>903231011</v>
      </c>
      <c r="D260" s="17">
        <f t="shared" si="140"/>
        <v>903231010</v>
      </c>
      <c r="E260" s="17">
        <f t="shared" si="135"/>
        <v>903231012</v>
      </c>
      <c r="F260" s="91" t="s">
        <v>1104</v>
      </c>
      <c r="G260" s="17">
        <f t="shared" si="141"/>
        <v>3</v>
      </c>
      <c r="H260" s="17">
        <f t="shared" si="141"/>
        <v>2</v>
      </c>
      <c r="I260" s="17">
        <f t="shared" si="141"/>
        <v>3</v>
      </c>
      <c r="J260" s="17">
        <f>'Achievement Reward Base'!B289</f>
        <v>350</v>
      </c>
      <c r="K260" s="17" t="str">
        <f t="shared" si="137"/>
        <v>160001001</v>
      </c>
      <c r="L260" s="17">
        <f>'Achievement Reward Base'!D289</f>
        <v>210000</v>
      </c>
      <c r="M260" s="17" t="s">
        <v>18</v>
      </c>
      <c r="N260" s="17">
        <f t="shared" si="98"/>
        <v>51555</v>
      </c>
      <c r="O260" s="17">
        <f t="shared" si="98"/>
        <v>52555</v>
      </c>
      <c r="P260" s="17">
        <f t="shared" si="138"/>
        <v>530800010</v>
      </c>
    </row>
    <row r="261" spans="1:16" ht="16.5" customHeight="1" x14ac:dyDescent="0.3">
      <c r="A261" s="17" t="b">
        <v>1</v>
      </c>
      <c r="B261" s="18" t="str">
        <f t="shared" si="134"/>
        <v>업적 - 룬스톤 6성 누적 획득 400 회</v>
      </c>
      <c r="C261" s="17">
        <f t="shared" si="139"/>
        <v>903231012</v>
      </c>
      <c r="D261" s="17">
        <f t="shared" si="140"/>
        <v>903231011</v>
      </c>
      <c r="E261" s="17">
        <f t="shared" si="135"/>
        <v>903231013</v>
      </c>
      <c r="F261" s="91" t="s">
        <v>1104</v>
      </c>
      <c r="G261" s="17">
        <f t="shared" si="141"/>
        <v>3</v>
      </c>
      <c r="H261" s="17">
        <f t="shared" si="141"/>
        <v>2</v>
      </c>
      <c r="I261" s="17">
        <f t="shared" si="141"/>
        <v>3</v>
      </c>
      <c r="J261" s="17">
        <f>'Achievement Reward Base'!B290</f>
        <v>400</v>
      </c>
      <c r="K261" s="17" t="str">
        <f t="shared" si="137"/>
        <v>160001001</v>
      </c>
      <c r="L261" s="17">
        <f>'Achievement Reward Base'!D290</f>
        <v>240000</v>
      </c>
      <c r="M261" s="17" t="s">
        <v>18</v>
      </c>
      <c r="N261" s="17">
        <f t="shared" si="98"/>
        <v>51556</v>
      </c>
      <c r="O261" s="17">
        <f t="shared" si="98"/>
        <v>52556</v>
      </c>
      <c r="P261" s="17">
        <f t="shared" si="138"/>
        <v>530800010</v>
      </c>
    </row>
    <row r="262" spans="1:16" ht="16.5" customHeight="1" x14ac:dyDescent="0.3">
      <c r="A262" s="17" t="b">
        <v>1</v>
      </c>
      <c r="B262" s="18" t="str">
        <f t="shared" si="134"/>
        <v>업적 - 룬스톤 6성 누적 획득 450 회</v>
      </c>
      <c r="C262" s="17">
        <f t="shared" si="139"/>
        <v>903231013</v>
      </c>
      <c r="D262" s="17">
        <f t="shared" si="140"/>
        <v>903231012</v>
      </c>
      <c r="E262" s="17">
        <f t="shared" si="135"/>
        <v>903231014</v>
      </c>
      <c r="F262" s="91" t="s">
        <v>1104</v>
      </c>
      <c r="G262" s="17">
        <f t="shared" si="141"/>
        <v>3</v>
      </c>
      <c r="H262" s="17">
        <f t="shared" si="141"/>
        <v>2</v>
      </c>
      <c r="I262" s="17">
        <f t="shared" si="141"/>
        <v>3</v>
      </c>
      <c r="J262" s="17">
        <f>'Achievement Reward Base'!B291</f>
        <v>450</v>
      </c>
      <c r="K262" s="17" t="str">
        <f t="shared" si="137"/>
        <v>160001001</v>
      </c>
      <c r="L262" s="17">
        <f>'Achievement Reward Base'!D291</f>
        <v>270000</v>
      </c>
      <c r="M262" s="17" t="s">
        <v>18</v>
      </c>
      <c r="N262" s="17">
        <f t="shared" si="98"/>
        <v>51557</v>
      </c>
      <c r="O262" s="17">
        <f t="shared" si="98"/>
        <v>52557</v>
      </c>
      <c r="P262" s="17">
        <f t="shared" si="138"/>
        <v>530800010</v>
      </c>
    </row>
    <row r="263" spans="1:16" ht="16.5" customHeight="1" x14ac:dyDescent="0.3">
      <c r="A263" s="17" t="b">
        <v>1</v>
      </c>
      <c r="B263" s="18" t="str">
        <f t="shared" si="134"/>
        <v>업적 - 룬스톤 6성 누적 획득 500 회</v>
      </c>
      <c r="C263" s="17">
        <f t="shared" si="139"/>
        <v>903231014</v>
      </c>
      <c r="D263" s="17">
        <f t="shared" si="140"/>
        <v>903231013</v>
      </c>
      <c r="E263" s="16">
        <v>0</v>
      </c>
      <c r="F263" s="91" t="s">
        <v>1104</v>
      </c>
      <c r="G263" s="17">
        <f t="shared" si="141"/>
        <v>3</v>
      </c>
      <c r="H263" s="17">
        <f t="shared" si="141"/>
        <v>2</v>
      </c>
      <c r="I263" s="17">
        <f t="shared" si="141"/>
        <v>3</v>
      </c>
      <c r="J263" s="17">
        <f>'Achievement Reward Base'!B292</f>
        <v>500</v>
      </c>
      <c r="K263" s="17" t="str">
        <f t="shared" si="137"/>
        <v>160001001</v>
      </c>
      <c r="L263" s="17">
        <f>'Achievement Reward Base'!D292</f>
        <v>300000</v>
      </c>
      <c r="M263" s="17" t="s">
        <v>18</v>
      </c>
      <c r="N263" s="17">
        <f t="shared" ref="N263:O326" si="142">N262+1</f>
        <v>51558</v>
      </c>
      <c r="O263" s="17">
        <f t="shared" si="142"/>
        <v>52558</v>
      </c>
      <c r="P263" s="17">
        <f t="shared" si="138"/>
        <v>530800010</v>
      </c>
    </row>
    <row r="264" spans="1:16" ht="16.5" customHeight="1" x14ac:dyDescent="0.3">
      <c r="A264" s="14" t="b">
        <v>1</v>
      </c>
      <c r="B264" s="15" t="str">
        <f>"업적 - 룬스톤 7성 누적 획득 " &amp; J264 &amp; " 회"</f>
        <v>업적 - 룬스톤 7성 누적 획득 1 회</v>
      </c>
      <c r="C264" s="16" t="str">
        <f>90&amp;G264&amp;H264&amp;I264&amp;1001</f>
        <v>903241001</v>
      </c>
      <c r="D264" s="16">
        <v>0</v>
      </c>
      <c r="E264" s="14">
        <f>C265</f>
        <v>903241002</v>
      </c>
      <c r="F264" s="92" t="s">
        <v>1104</v>
      </c>
      <c r="G264" s="16">
        <v>3</v>
      </c>
      <c r="H264" s="16">
        <v>2</v>
      </c>
      <c r="I264" s="16">
        <v>4</v>
      </c>
      <c r="J264" s="16">
        <f>'Achievement Reward Base'!B293</f>
        <v>1</v>
      </c>
      <c r="K264" s="16" t="str">
        <f>IF(M264="Gem","160001002",IF(M264="Gold","160001001"))</f>
        <v>160001001</v>
      </c>
      <c r="L264" s="16">
        <f>'Achievement Reward Base'!D293</f>
        <v>20000</v>
      </c>
      <c r="M264" s="20" t="s">
        <v>18</v>
      </c>
      <c r="N264" s="16">
        <f t="shared" si="142"/>
        <v>51559</v>
      </c>
      <c r="O264" s="16">
        <f t="shared" si="142"/>
        <v>52559</v>
      </c>
      <c r="P264" s="16">
        <v>530800010</v>
      </c>
    </row>
    <row r="265" spans="1:16" ht="16.5" customHeight="1" x14ac:dyDescent="0.3">
      <c r="A265" s="14" t="b">
        <v>1</v>
      </c>
      <c r="B265" s="15" t="str">
        <f t="shared" ref="B265:B277" si="143">"업적 - 룬스톤 7성 누적 획득 " &amp; J265 &amp; " 회"</f>
        <v>업적 - 룬스톤 7성 누적 획득 10 회</v>
      </c>
      <c r="C265" s="14">
        <f>C264+1</f>
        <v>903241002</v>
      </c>
      <c r="D265" s="14" t="str">
        <f>C264</f>
        <v>903241001</v>
      </c>
      <c r="E265" s="14">
        <f t="shared" ref="E265:E276" si="144">C266</f>
        <v>903241003</v>
      </c>
      <c r="F265" s="92" t="s">
        <v>1104</v>
      </c>
      <c r="G265" s="14">
        <f>G264</f>
        <v>3</v>
      </c>
      <c r="H265" s="14">
        <f t="shared" ref="H265:I265" si="145">H264</f>
        <v>2</v>
      </c>
      <c r="I265" s="14">
        <f t="shared" si="145"/>
        <v>4</v>
      </c>
      <c r="J265" s="14">
        <f>'Achievement Reward Base'!B294</f>
        <v>10</v>
      </c>
      <c r="K265" s="14" t="str">
        <f t="shared" ref="K265:K277" si="146">K264</f>
        <v>160001001</v>
      </c>
      <c r="L265" s="14">
        <f>'Achievement Reward Base'!D294</f>
        <v>40000</v>
      </c>
      <c r="M265" s="20" t="s">
        <v>18</v>
      </c>
      <c r="N265" s="14">
        <f t="shared" si="142"/>
        <v>51560</v>
      </c>
      <c r="O265" s="14">
        <f t="shared" si="142"/>
        <v>52560</v>
      </c>
      <c r="P265" s="20">
        <f t="shared" ref="P265:P277" si="147">P264</f>
        <v>530800010</v>
      </c>
    </row>
    <row r="266" spans="1:16" ht="16.5" customHeight="1" x14ac:dyDescent="0.3">
      <c r="A266" s="14" t="b">
        <v>1</v>
      </c>
      <c r="B266" s="15" t="str">
        <f t="shared" si="143"/>
        <v>업적 - 룬스톤 7성 누적 획득 20 회</v>
      </c>
      <c r="C266" s="14">
        <f t="shared" ref="C266:C277" si="148">C265+1</f>
        <v>903241003</v>
      </c>
      <c r="D266" s="14">
        <f t="shared" ref="D266:D277" si="149">C265</f>
        <v>903241002</v>
      </c>
      <c r="E266" s="14">
        <f t="shared" si="144"/>
        <v>903241004</v>
      </c>
      <c r="F266" s="92" t="s">
        <v>1104</v>
      </c>
      <c r="G266" s="14">
        <f t="shared" ref="G266:I277" si="150">G265</f>
        <v>3</v>
      </c>
      <c r="H266" s="14">
        <f t="shared" si="150"/>
        <v>2</v>
      </c>
      <c r="I266" s="14">
        <f t="shared" si="150"/>
        <v>4</v>
      </c>
      <c r="J266" s="14">
        <f>'Achievement Reward Base'!B295</f>
        <v>20</v>
      </c>
      <c r="K266" s="14" t="str">
        <f t="shared" si="146"/>
        <v>160001001</v>
      </c>
      <c r="L266" s="14">
        <f>'Achievement Reward Base'!D295</f>
        <v>80000</v>
      </c>
      <c r="M266" s="20" t="s">
        <v>18</v>
      </c>
      <c r="N266" s="14">
        <f t="shared" si="142"/>
        <v>51561</v>
      </c>
      <c r="O266" s="14">
        <f t="shared" si="142"/>
        <v>52561</v>
      </c>
      <c r="P266" s="20">
        <f t="shared" si="147"/>
        <v>530800010</v>
      </c>
    </row>
    <row r="267" spans="1:16" ht="16.5" customHeight="1" x14ac:dyDescent="0.3">
      <c r="A267" s="14" t="b">
        <v>1</v>
      </c>
      <c r="B267" s="15" t="str">
        <f t="shared" si="143"/>
        <v>업적 - 룬스톤 7성 누적 획득 30 회</v>
      </c>
      <c r="C267" s="14">
        <f t="shared" si="148"/>
        <v>903241004</v>
      </c>
      <c r="D267" s="14">
        <f t="shared" si="149"/>
        <v>903241003</v>
      </c>
      <c r="E267" s="14">
        <f t="shared" si="144"/>
        <v>903241005</v>
      </c>
      <c r="F267" s="92" t="s">
        <v>1104</v>
      </c>
      <c r="G267" s="14">
        <f t="shared" si="150"/>
        <v>3</v>
      </c>
      <c r="H267" s="14">
        <f t="shared" si="150"/>
        <v>2</v>
      </c>
      <c r="I267" s="14">
        <f t="shared" si="150"/>
        <v>4</v>
      </c>
      <c r="J267" s="14">
        <f>'Achievement Reward Base'!B296</f>
        <v>30</v>
      </c>
      <c r="K267" s="14" t="str">
        <f t="shared" si="146"/>
        <v>160001001</v>
      </c>
      <c r="L267" s="14">
        <f>'Achievement Reward Base'!D296</f>
        <v>60000</v>
      </c>
      <c r="M267" s="20" t="s">
        <v>18</v>
      </c>
      <c r="N267" s="14">
        <f t="shared" si="142"/>
        <v>51562</v>
      </c>
      <c r="O267" s="14">
        <f t="shared" si="142"/>
        <v>52562</v>
      </c>
      <c r="P267" s="20">
        <f t="shared" si="147"/>
        <v>530800010</v>
      </c>
    </row>
    <row r="268" spans="1:16" ht="16.5" customHeight="1" x14ac:dyDescent="0.3">
      <c r="A268" s="14" t="b">
        <v>1</v>
      </c>
      <c r="B268" s="15" t="str">
        <f t="shared" si="143"/>
        <v>업적 - 룬스톤 7성 누적 획득 50 회</v>
      </c>
      <c r="C268" s="14">
        <f t="shared" si="148"/>
        <v>903241005</v>
      </c>
      <c r="D268" s="14">
        <f t="shared" si="149"/>
        <v>903241004</v>
      </c>
      <c r="E268" s="14">
        <f t="shared" si="144"/>
        <v>903241006</v>
      </c>
      <c r="F268" s="92" t="s">
        <v>1104</v>
      </c>
      <c r="G268" s="14">
        <f t="shared" si="150"/>
        <v>3</v>
      </c>
      <c r="H268" s="14">
        <f t="shared" si="150"/>
        <v>2</v>
      </c>
      <c r="I268" s="14">
        <f t="shared" si="150"/>
        <v>4</v>
      </c>
      <c r="J268" s="14">
        <f>'Achievement Reward Base'!B297</f>
        <v>50</v>
      </c>
      <c r="K268" s="14" t="str">
        <f t="shared" si="146"/>
        <v>160001001</v>
      </c>
      <c r="L268" s="14">
        <f>'Achievement Reward Base'!D297</f>
        <v>90000</v>
      </c>
      <c r="M268" s="20" t="s">
        <v>18</v>
      </c>
      <c r="N268" s="14">
        <f t="shared" si="142"/>
        <v>51563</v>
      </c>
      <c r="O268" s="14">
        <f t="shared" si="142"/>
        <v>52563</v>
      </c>
      <c r="P268" s="20">
        <f t="shared" si="147"/>
        <v>530800010</v>
      </c>
    </row>
    <row r="269" spans="1:16" ht="16.5" customHeight="1" x14ac:dyDescent="0.3">
      <c r="A269" s="14" t="b">
        <v>1</v>
      </c>
      <c r="B269" s="15" t="str">
        <f t="shared" si="143"/>
        <v>업적 - 룬스톤 7성 누적 획득 100 회</v>
      </c>
      <c r="C269" s="14">
        <f t="shared" si="148"/>
        <v>903241006</v>
      </c>
      <c r="D269" s="14">
        <f t="shared" si="149"/>
        <v>903241005</v>
      </c>
      <c r="E269" s="14">
        <f t="shared" si="144"/>
        <v>903241007</v>
      </c>
      <c r="F269" s="92" t="s">
        <v>1104</v>
      </c>
      <c r="G269" s="14">
        <f t="shared" si="150"/>
        <v>3</v>
      </c>
      <c r="H269" s="14">
        <f t="shared" si="150"/>
        <v>2</v>
      </c>
      <c r="I269" s="14">
        <f t="shared" si="150"/>
        <v>4</v>
      </c>
      <c r="J269" s="14">
        <f>'Achievement Reward Base'!B298</f>
        <v>100</v>
      </c>
      <c r="K269" s="14" t="str">
        <f t="shared" si="146"/>
        <v>160001001</v>
      </c>
      <c r="L269" s="14">
        <f>'Achievement Reward Base'!D298</f>
        <v>120000</v>
      </c>
      <c r="M269" s="20" t="s">
        <v>18</v>
      </c>
      <c r="N269" s="14">
        <f t="shared" si="142"/>
        <v>51564</v>
      </c>
      <c r="O269" s="14">
        <f t="shared" si="142"/>
        <v>52564</v>
      </c>
      <c r="P269" s="20">
        <f t="shared" si="147"/>
        <v>530800010</v>
      </c>
    </row>
    <row r="270" spans="1:16" ht="16.5" customHeight="1" x14ac:dyDescent="0.3">
      <c r="A270" s="14" t="b">
        <v>1</v>
      </c>
      <c r="B270" s="15" t="str">
        <f t="shared" si="143"/>
        <v>업적 - 룬스톤 7성 누적 획득 150 회</v>
      </c>
      <c r="C270" s="14">
        <f t="shared" si="148"/>
        <v>903241007</v>
      </c>
      <c r="D270" s="14">
        <f t="shared" si="149"/>
        <v>903241006</v>
      </c>
      <c r="E270" s="14">
        <f t="shared" si="144"/>
        <v>903241008</v>
      </c>
      <c r="F270" s="92" t="s">
        <v>1104</v>
      </c>
      <c r="G270" s="14">
        <f t="shared" si="150"/>
        <v>3</v>
      </c>
      <c r="H270" s="14">
        <f t="shared" si="150"/>
        <v>2</v>
      </c>
      <c r="I270" s="14">
        <f t="shared" si="150"/>
        <v>4</v>
      </c>
      <c r="J270" s="14">
        <f>'Achievement Reward Base'!B299</f>
        <v>150</v>
      </c>
      <c r="K270" s="14" t="str">
        <f t="shared" si="146"/>
        <v>160001001</v>
      </c>
      <c r="L270" s="14">
        <f>'Achievement Reward Base'!D299</f>
        <v>150000</v>
      </c>
      <c r="M270" s="20" t="s">
        <v>18</v>
      </c>
      <c r="N270" s="14">
        <f t="shared" si="142"/>
        <v>51565</v>
      </c>
      <c r="O270" s="14">
        <f t="shared" si="142"/>
        <v>52565</v>
      </c>
      <c r="P270" s="20">
        <f t="shared" si="147"/>
        <v>530800010</v>
      </c>
    </row>
    <row r="271" spans="1:16" ht="16.5" customHeight="1" x14ac:dyDescent="0.3">
      <c r="A271" s="14" t="b">
        <v>1</v>
      </c>
      <c r="B271" s="15" t="str">
        <f t="shared" si="143"/>
        <v>업적 - 룬스톤 7성 누적 획득 200 회</v>
      </c>
      <c r="C271" s="14">
        <f t="shared" si="148"/>
        <v>903241008</v>
      </c>
      <c r="D271" s="14">
        <f t="shared" si="149"/>
        <v>903241007</v>
      </c>
      <c r="E271" s="14">
        <f t="shared" si="144"/>
        <v>903241009</v>
      </c>
      <c r="F271" s="92" t="s">
        <v>1104</v>
      </c>
      <c r="G271" s="14">
        <f t="shared" si="150"/>
        <v>3</v>
      </c>
      <c r="H271" s="14">
        <f t="shared" si="150"/>
        <v>2</v>
      </c>
      <c r="I271" s="14">
        <f t="shared" si="150"/>
        <v>4</v>
      </c>
      <c r="J271" s="14">
        <f>'Achievement Reward Base'!B300</f>
        <v>200</v>
      </c>
      <c r="K271" s="14" t="str">
        <f t="shared" si="146"/>
        <v>160001001</v>
      </c>
      <c r="L271" s="14">
        <f>'Achievement Reward Base'!D300</f>
        <v>180000</v>
      </c>
      <c r="M271" s="20" t="s">
        <v>18</v>
      </c>
      <c r="N271" s="14">
        <f t="shared" si="142"/>
        <v>51566</v>
      </c>
      <c r="O271" s="14">
        <f t="shared" si="142"/>
        <v>52566</v>
      </c>
      <c r="P271" s="20">
        <f t="shared" si="147"/>
        <v>530800010</v>
      </c>
    </row>
    <row r="272" spans="1:16" ht="16.5" customHeight="1" x14ac:dyDescent="0.3">
      <c r="A272" s="14" t="b">
        <v>1</v>
      </c>
      <c r="B272" s="15" t="str">
        <f t="shared" si="143"/>
        <v>업적 - 룬스톤 7성 누적 획득 250 회</v>
      </c>
      <c r="C272" s="14">
        <f t="shared" si="148"/>
        <v>903241009</v>
      </c>
      <c r="D272" s="14">
        <f t="shared" si="149"/>
        <v>903241008</v>
      </c>
      <c r="E272" s="14">
        <f t="shared" si="144"/>
        <v>903241010</v>
      </c>
      <c r="F272" s="92" t="s">
        <v>1104</v>
      </c>
      <c r="G272" s="14">
        <f t="shared" si="150"/>
        <v>3</v>
      </c>
      <c r="H272" s="14">
        <f t="shared" si="150"/>
        <v>2</v>
      </c>
      <c r="I272" s="14">
        <f t="shared" si="150"/>
        <v>4</v>
      </c>
      <c r="J272" s="14">
        <f>'Achievement Reward Base'!B301</f>
        <v>250</v>
      </c>
      <c r="K272" s="14" t="str">
        <f t="shared" si="146"/>
        <v>160001001</v>
      </c>
      <c r="L272" s="14">
        <f>'Achievement Reward Base'!D301</f>
        <v>220000</v>
      </c>
      <c r="M272" s="20" t="s">
        <v>18</v>
      </c>
      <c r="N272" s="14">
        <f t="shared" si="142"/>
        <v>51567</v>
      </c>
      <c r="O272" s="14">
        <f t="shared" si="142"/>
        <v>52567</v>
      </c>
      <c r="P272" s="20">
        <f t="shared" si="147"/>
        <v>530800010</v>
      </c>
    </row>
    <row r="273" spans="1:16" ht="16.5" customHeight="1" x14ac:dyDescent="0.3">
      <c r="A273" s="14" t="b">
        <v>1</v>
      </c>
      <c r="B273" s="15" t="str">
        <f t="shared" si="143"/>
        <v>업적 - 룬스톤 7성 누적 획득 300 회</v>
      </c>
      <c r="C273" s="14">
        <f t="shared" si="148"/>
        <v>903241010</v>
      </c>
      <c r="D273" s="14">
        <f t="shared" si="149"/>
        <v>903241009</v>
      </c>
      <c r="E273" s="14">
        <f t="shared" si="144"/>
        <v>903241011</v>
      </c>
      <c r="F273" s="92" t="s">
        <v>1104</v>
      </c>
      <c r="G273" s="14">
        <f t="shared" si="150"/>
        <v>3</v>
      </c>
      <c r="H273" s="14">
        <f t="shared" si="150"/>
        <v>2</v>
      </c>
      <c r="I273" s="14">
        <f t="shared" si="150"/>
        <v>4</v>
      </c>
      <c r="J273" s="14">
        <f>'Achievement Reward Base'!B302</f>
        <v>300</v>
      </c>
      <c r="K273" s="14" t="str">
        <f t="shared" si="146"/>
        <v>160001001</v>
      </c>
      <c r="L273" s="14">
        <f>'Achievement Reward Base'!D302</f>
        <v>260000</v>
      </c>
      <c r="M273" s="20" t="s">
        <v>18</v>
      </c>
      <c r="N273" s="14">
        <f t="shared" si="142"/>
        <v>51568</v>
      </c>
      <c r="O273" s="14">
        <f t="shared" si="142"/>
        <v>52568</v>
      </c>
      <c r="P273" s="20">
        <f t="shared" si="147"/>
        <v>530800010</v>
      </c>
    </row>
    <row r="274" spans="1:16" ht="16.5" customHeight="1" x14ac:dyDescent="0.3">
      <c r="A274" s="14" t="b">
        <v>1</v>
      </c>
      <c r="B274" s="15" t="str">
        <f t="shared" si="143"/>
        <v>업적 - 룬스톤 7성 누적 획득 350 회</v>
      </c>
      <c r="C274" s="14">
        <f t="shared" si="148"/>
        <v>903241011</v>
      </c>
      <c r="D274" s="14">
        <f t="shared" si="149"/>
        <v>903241010</v>
      </c>
      <c r="E274" s="14">
        <f t="shared" si="144"/>
        <v>903241012</v>
      </c>
      <c r="F274" s="92" t="s">
        <v>1104</v>
      </c>
      <c r="G274" s="14">
        <f t="shared" si="150"/>
        <v>3</v>
      </c>
      <c r="H274" s="14">
        <f t="shared" si="150"/>
        <v>2</v>
      </c>
      <c r="I274" s="14">
        <f t="shared" si="150"/>
        <v>4</v>
      </c>
      <c r="J274" s="14">
        <f>'Achievement Reward Base'!B303</f>
        <v>350</v>
      </c>
      <c r="K274" s="14" t="str">
        <f t="shared" si="146"/>
        <v>160001001</v>
      </c>
      <c r="L274" s="14">
        <f>'Achievement Reward Base'!D303</f>
        <v>300000</v>
      </c>
      <c r="M274" s="20" t="s">
        <v>18</v>
      </c>
      <c r="N274" s="14">
        <f t="shared" si="142"/>
        <v>51569</v>
      </c>
      <c r="O274" s="14">
        <f t="shared" si="142"/>
        <v>52569</v>
      </c>
      <c r="P274" s="20">
        <f t="shared" si="147"/>
        <v>530800010</v>
      </c>
    </row>
    <row r="275" spans="1:16" ht="16.5" customHeight="1" x14ac:dyDescent="0.3">
      <c r="A275" s="14" t="b">
        <v>1</v>
      </c>
      <c r="B275" s="15" t="str">
        <f t="shared" si="143"/>
        <v>업적 - 룬스톤 7성 누적 획득 400 회</v>
      </c>
      <c r="C275" s="14">
        <f t="shared" si="148"/>
        <v>903241012</v>
      </c>
      <c r="D275" s="14">
        <f t="shared" si="149"/>
        <v>903241011</v>
      </c>
      <c r="E275" s="14">
        <f t="shared" si="144"/>
        <v>903241013</v>
      </c>
      <c r="F275" s="92" t="s">
        <v>1104</v>
      </c>
      <c r="G275" s="14">
        <f t="shared" si="150"/>
        <v>3</v>
      </c>
      <c r="H275" s="14">
        <f t="shared" si="150"/>
        <v>2</v>
      </c>
      <c r="I275" s="14">
        <f t="shared" si="150"/>
        <v>4</v>
      </c>
      <c r="J275" s="14">
        <f>'Achievement Reward Base'!B304</f>
        <v>400</v>
      </c>
      <c r="K275" s="14" t="str">
        <f t="shared" si="146"/>
        <v>160001001</v>
      </c>
      <c r="L275" s="14">
        <f>'Achievement Reward Base'!D304</f>
        <v>350000</v>
      </c>
      <c r="M275" s="20" t="s">
        <v>18</v>
      </c>
      <c r="N275" s="14">
        <f t="shared" si="142"/>
        <v>51570</v>
      </c>
      <c r="O275" s="14">
        <f t="shared" si="142"/>
        <v>52570</v>
      </c>
      <c r="P275" s="20">
        <f t="shared" si="147"/>
        <v>530800010</v>
      </c>
    </row>
    <row r="276" spans="1:16" ht="16.5" customHeight="1" x14ac:dyDescent="0.3">
      <c r="A276" s="14" t="b">
        <v>1</v>
      </c>
      <c r="B276" s="15" t="str">
        <f t="shared" si="143"/>
        <v>업적 - 룬스톤 7성 누적 획득 450 회</v>
      </c>
      <c r="C276" s="14">
        <f t="shared" si="148"/>
        <v>903241013</v>
      </c>
      <c r="D276" s="14">
        <f t="shared" si="149"/>
        <v>903241012</v>
      </c>
      <c r="E276" s="14">
        <f t="shared" si="144"/>
        <v>903241014</v>
      </c>
      <c r="F276" s="92" t="s">
        <v>1104</v>
      </c>
      <c r="G276" s="14">
        <f t="shared" si="150"/>
        <v>3</v>
      </c>
      <c r="H276" s="14">
        <f t="shared" si="150"/>
        <v>2</v>
      </c>
      <c r="I276" s="14">
        <f t="shared" si="150"/>
        <v>4</v>
      </c>
      <c r="J276" s="14">
        <f>'Achievement Reward Base'!B305</f>
        <v>450</v>
      </c>
      <c r="K276" s="14" t="str">
        <f t="shared" si="146"/>
        <v>160001001</v>
      </c>
      <c r="L276" s="14">
        <f>'Achievement Reward Base'!D305</f>
        <v>400000</v>
      </c>
      <c r="M276" s="20" t="s">
        <v>18</v>
      </c>
      <c r="N276" s="14">
        <f t="shared" si="142"/>
        <v>51571</v>
      </c>
      <c r="O276" s="14">
        <f t="shared" si="142"/>
        <v>52571</v>
      </c>
      <c r="P276" s="20">
        <f t="shared" si="147"/>
        <v>530800010</v>
      </c>
    </row>
    <row r="277" spans="1:16" ht="16.5" customHeight="1" x14ac:dyDescent="0.3">
      <c r="A277" s="14" t="b">
        <v>1</v>
      </c>
      <c r="B277" s="15" t="str">
        <f t="shared" si="143"/>
        <v>업적 - 룬스톤 7성 누적 획득 500 회</v>
      </c>
      <c r="C277" s="14">
        <f t="shared" si="148"/>
        <v>903241014</v>
      </c>
      <c r="D277" s="14">
        <f t="shared" si="149"/>
        <v>903241013</v>
      </c>
      <c r="E277" s="16">
        <v>0</v>
      </c>
      <c r="F277" s="92" t="s">
        <v>1104</v>
      </c>
      <c r="G277" s="14">
        <f t="shared" si="150"/>
        <v>3</v>
      </c>
      <c r="H277" s="14">
        <f t="shared" si="150"/>
        <v>2</v>
      </c>
      <c r="I277" s="14">
        <f t="shared" si="150"/>
        <v>4</v>
      </c>
      <c r="J277" s="14">
        <f>'Achievement Reward Base'!B306</f>
        <v>500</v>
      </c>
      <c r="K277" s="14" t="str">
        <f t="shared" si="146"/>
        <v>160001001</v>
      </c>
      <c r="L277" s="14">
        <f>'Achievement Reward Base'!D306</f>
        <v>450000</v>
      </c>
      <c r="M277" s="20" t="s">
        <v>18</v>
      </c>
      <c r="N277" s="14">
        <f t="shared" si="142"/>
        <v>51572</v>
      </c>
      <c r="O277" s="14">
        <f t="shared" si="142"/>
        <v>52572</v>
      </c>
      <c r="P277" s="20">
        <f t="shared" si="147"/>
        <v>530800010</v>
      </c>
    </row>
    <row r="278" spans="1:16" ht="16.5" customHeight="1" x14ac:dyDescent="0.3">
      <c r="A278" s="17" t="b">
        <v>1</v>
      </c>
      <c r="B278" s="18" t="str">
        <f>"업적 - 장비아이템 합성 누적 횟수 " &amp; J278 &amp; " 회"</f>
        <v>업적 - 장비아이템 합성 누적 횟수 1 회</v>
      </c>
      <c r="C278" s="16" t="str">
        <f>90&amp;G278&amp;H278&amp;I278&amp;1001</f>
        <v>902131001</v>
      </c>
      <c r="D278" s="16">
        <v>0</v>
      </c>
      <c r="E278" s="17">
        <f t="shared" ref="E278:E300" si="151">C279</f>
        <v>902131002</v>
      </c>
      <c r="F278" s="91" t="s">
        <v>1104</v>
      </c>
      <c r="G278" s="16">
        <v>2</v>
      </c>
      <c r="H278" s="16">
        <v>1</v>
      </c>
      <c r="I278" s="16">
        <v>3</v>
      </c>
      <c r="J278" s="16">
        <f>'Achievement Reward Base'!B307</f>
        <v>1</v>
      </c>
      <c r="K278" s="16" t="str">
        <f>IF(M278="Gem","160001002",IF(M278="Gold","160001001"))</f>
        <v>160001001</v>
      </c>
      <c r="L278" s="16">
        <f>'Achievement Reward Base'!D307</f>
        <v>3000</v>
      </c>
      <c r="M278" s="21" t="s">
        <v>18</v>
      </c>
      <c r="N278" s="16">
        <f t="shared" si="142"/>
        <v>51573</v>
      </c>
      <c r="O278" s="16">
        <f t="shared" si="142"/>
        <v>52573</v>
      </c>
      <c r="P278" s="16">
        <v>530800009</v>
      </c>
    </row>
    <row r="279" spans="1:16" ht="16.5" customHeight="1" x14ac:dyDescent="0.3">
      <c r="A279" s="17" t="b">
        <v>1</v>
      </c>
      <c r="B279" s="18" t="str">
        <f t="shared" ref="B279:B293" si="152">"업적 - 장비아이템 합성 누적 횟수 " &amp; J279 &amp; " 회"</f>
        <v>업적 - 장비아이템 합성 누적 횟수 5 회</v>
      </c>
      <c r="C279" s="17">
        <f t="shared" ref="C279:C318" si="153">C278+1</f>
        <v>902131002</v>
      </c>
      <c r="D279" s="17" t="str">
        <f t="shared" ref="D279:D293" si="154">C278</f>
        <v>902131001</v>
      </c>
      <c r="E279" s="17">
        <f t="shared" si="151"/>
        <v>902131003</v>
      </c>
      <c r="F279" s="91" t="s">
        <v>1104</v>
      </c>
      <c r="G279" s="17">
        <f>G278</f>
        <v>2</v>
      </c>
      <c r="H279" s="17">
        <f t="shared" ref="H279:I293" si="155">H278</f>
        <v>1</v>
      </c>
      <c r="I279" s="17">
        <f t="shared" si="155"/>
        <v>3</v>
      </c>
      <c r="J279" s="17">
        <f>'Achievement Reward Base'!B308</f>
        <v>5</v>
      </c>
      <c r="K279" s="17" t="str">
        <f t="shared" ref="K279:K301" si="156">K278</f>
        <v>160001001</v>
      </c>
      <c r="L279" s="17">
        <f>'Achievement Reward Base'!D308</f>
        <v>6000</v>
      </c>
      <c r="M279" s="21" t="s">
        <v>18</v>
      </c>
      <c r="N279" s="17">
        <f t="shared" si="142"/>
        <v>51574</v>
      </c>
      <c r="O279" s="17">
        <f t="shared" si="142"/>
        <v>52574</v>
      </c>
      <c r="P279" s="21">
        <f t="shared" ref="P279:P301" si="157">P278</f>
        <v>530800009</v>
      </c>
    </row>
    <row r="280" spans="1:16" ht="16.5" customHeight="1" x14ac:dyDescent="0.3">
      <c r="A280" s="17" t="b">
        <v>1</v>
      </c>
      <c r="B280" s="18" t="str">
        <f t="shared" si="152"/>
        <v>업적 - 장비아이템 합성 누적 횟수 10 회</v>
      </c>
      <c r="C280" s="17">
        <f t="shared" si="153"/>
        <v>902131003</v>
      </c>
      <c r="D280" s="17">
        <f t="shared" si="154"/>
        <v>902131002</v>
      </c>
      <c r="E280" s="17">
        <f t="shared" si="151"/>
        <v>902131004</v>
      </c>
      <c r="F280" s="91" t="s">
        <v>1104</v>
      </c>
      <c r="G280" s="17">
        <f t="shared" ref="G280:I295" si="158">G279</f>
        <v>2</v>
      </c>
      <c r="H280" s="17">
        <f t="shared" si="155"/>
        <v>1</v>
      </c>
      <c r="I280" s="17">
        <f t="shared" si="155"/>
        <v>3</v>
      </c>
      <c r="J280" s="17">
        <f>'Achievement Reward Base'!B309</f>
        <v>10</v>
      </c>
      <c r="K280" s="17" t="str">
        <f t="shared" si="156"/>
        <v>160001001</v>
      </c>
      <c r="L280" s="17">
        <f>'Achievement Reward Base'!D309</f>
        <v>9000</v>
      </c>
      <c r="M280" s="21" t="s">
        <v>18</v>
      </c>
      <c r="N280" s="17">
        <f t="shared" si="142"/>
        <v>51575</v>
      </c>
      <c r="O280" s="17">
        <f t="shared" si="142"/>
        <v>52575</v>
      </c>
      <c r="P280" s="21">
        <f t="shared" si="157"/>
        <v>530800009</v>
      </c>
    </row>
    <row r="281" spans="1:16" ht="16.5" customHeight="1" x14ac:dyDescent="0.3">
      <c r="A281" s="17" t="b">
        <v>1</v>
      </c>
      <c r="B281" s="18" t="str">
        <f t="shared" si="152"/>
        <v>업적 - 장비아이템 합성 누적 횟수 15 회</v>
      </c>
      <c r="C281" s="17">
        <f t="shared" si="153"/>
        <v>902131004</v>
      </c>
      <c r="D281" s="17">
        <f t="shared" si="154"/>
        <v>902131003</v>
      </c>
      <c r="E281" s="17">
        <f t="shared" si="151"/>
        <v>902131005</v>
      </c>
      <c r="F281" s="91" t="s">
        <v>1104</v>
      </c>
      <c r="G281" s="17">
        <f t="shared" si="158"/>
        <v>2</v>
      </c>
      <c r="H281" s="17">
        <f t="shared" si="155"/>
        <v>1</v>
      </c>
      <c r="I281" s="17">
        <f t="shared" si="155"/>
        <v>3</v>
      </c>
      <c r="J281" s="17">
        <f>'Achievement Reward Base'!B310</f>
        <v>15</v>
      </c>
      <c r="K281" s="17" t="str">
        <f t="shared" si="156"/>
        <v>160001001</v>
      </c>
      <c r="L281" s="17">
        <f>'Achievement Reward Base'!D310</f>
        <v>12000</v>
      </c>
      <c r="M281" s="21" t="s">
        <v>18</v>
      </c>
      <c r="N281" s="17">
        <f t="shared" si="142"/>
        <v>51576</v>
      </c>
      <c r="O281" s="17">
        <f t="shared" si="142"/>
        <v>52576</v>
      </c>
      <c r="P281" s="21">
        <f t="shared" si="157"/>
        <v>530800009</v>
      </c>
    </row>
    <row r="282" spans="1:16" ht="16.5" customHeight="1" x14ac:dyDescent="0.3">
      <c r="A282" s="17" t="b">
        <v>1</v>
      </c>
      <c r="B282" s="18" t="str">
        <f t="shared" si="152"/>
        <v>업적 - 장비아이템 합성 누적 횟수 20 회</v>
      </c>
      <c r="C282" s="17">
        <f t="shared" si="153"/>
        <v>902131005</v>
      </c>
      <c r="D282" s="17">
        <f t="shared" si="154"/>
        <v>902131004</v>
      </c>
      <c r="E282" s="17">
        <f t="shared" si="151"/>
        <v>902131006</v>
      </c>
      <c r="F282" s="91" t="s">
        <v>1104</v>
      </c>
      <c r="G282" s="17">
        <f t="shared" si="158"/>
        <v>2</v>
      </c>
      <c r="H282" s="17">
        <f t="shared" si="155"/>
        <v>1</v>
      </c>
      <c r="I282" s="17">
        <f t="shared" si="155"/>
        <v>3</v>
      </c>
      <c r="J282" s="17">
        <f>'Achievement Reward Base'!B311</f>
        <v>20</v>
      </c>
      <c r="K282" s="17" t="str">
        <f t="shared" si="156"/>
        <v>160001001</v>
      </c>
      <c r="L282" s="17">
        <f>'Achievement Reward Base'!D311</f>
        <v>15000</v>
      </c>
      <c r="M282" s="21" t="s">
        <v>18</v>
      </c>
      <c r="N282" s="17">
        <f t="shared" si="142"/>
        <v>51577</v>
      </c>
      <c r="O282" s="17">
        <f t="shared" si="142"/>
        <v>52577</v>
      </c>
      <c r="P282" s="21">
        <f t="shared" si="157"/>
        <v>530800009</v>
      </c>
    </row>
    <row r="283" spans="1:16" ht="16.5" customHeight="1" x14ac:dyDescent="0.3">
      <c r="A283" s="17" t="b">
        <v>1</v>
      </c>
      <c r="B283" s="18" t="str">
        <f t="shared" si="152"/>
        <v>업적 - 장비아이템 합성 누적 횟수 25 회</v>
      </c>
      <c r="C283" s="17">
        <f t="shared" si="153"/>
        <v>902131006</v>
      </c>
      <c r="D283" s="17">
        <f t="shared" si="154"/>
        <v>902131005</v>
      </c>
      <c r="E283" s="17">
        <f t="shared" si="151"/>
        <v>902131007</v>
      </c>
      <c r="F283" s="91" t="s">
        <v>1104</v>
      </c>
      <c r="G283" s="17">
        <f t="shared" si="158"/>
        <v>2</v>
      </c>
      <c r="H283" s="17">
        <f t="shared" si="155"/>
        <v>1</v>
      </c>
      <c r="I283" s="17">
        <f t="shared" si="155"/>
        <v>3</v>
      </c>
      <c r="J283" s="17">
        <f>'Achievement Reward Base'!B312</f>
        <v>25</v>
      </c>
      <c r="K283" s="17" t="str">
        <f t="shared" si="156"/>
        <v>160001001</v>
      </c>
      <c r="L283" s="17">
        <f>'Achievement Reward Base'!D312</f>
        <v>19000</v>
      </c>
      <c r="M283" s="21" t="s">
        <v>18</v>
      </c>
      <c r="N283" s="17">
        <f t="shared" si="142"/>
        <v>51578</v>
      </c>
      <c r="O283" s="17">
        <f t="shared" si="142"/>
        <v>52578</v>
      </c>
      <c r="P283" s="21">
        <f t="shared" si="157"/>
        <v>530800009</v>
      </c>
    </row>
    <row r="284" spans="1:16" ht="16.5" customHeight="1" x14ac:dyDescent="0.3">
      <c r="A284" s="17" t="b">
        <v>1</v>
      </c>
      <c r="B284" s="18" t="str">
        <f t="shared" si="152"/>
        <v>업적 - 장비아이템 합성 누적 횟수 30 회</v>
      </c>
      <c r="C284" s="17">
        <f t="shared" si="153"/>
        <v>902131007</v>
      </c>
      <c r="D284" s="17">
        <f t="shared" si="154"/>
        <v>902131006</v>
      </c>
      <c r="E284" s="17">
        <f t="shared" si="151"/>
        <v>902131008</v>
      </c>
      <c r="F284" s="91" t="s">
        <v>1104</v>
      </c>
      <c r="G284" s="17">
        <f t="shared" si="158"/>
        <v>2</v>
      </c>
      <c r="H284" s="17">
        <f t="shared" si="155"/>
        <v>1</v>
      </c>
      <c r="I284" s="17">
        <f t="shared" si="155"/>
        <v>3</v>
      </c>
      <c r="J284" s="17">
        <f>'Achievement Reward Base'!B313</f>
        <v>30</v>
      </c>
      <c r="K284" s="17" t="str">
        <f t="shared" si="156"/>
        <v>160001001</v>
      </c>
      <c r="L284" s="17">
        <f>'Achievement Reward Base'!D313</f>
        <v>23000</v>
      </c>
      <c r="M284" s="21" t="s">
        <v>18</v>
      </c>
      <c r="N284" s="17">
        <f t="shared" si="142"/>
        <v>51579</v>
      </c>
      <c r="O284" s="17">
        <f t="shared" si="142"/>
        <v>52579</v>
      </c>
      <c r="P284" s="21">
        <f t="shared" si="157"/>
        <v>530800009</v>
      </c>
    </row>
    <row r="285" spans="1:16" ht="16.5" customHeight="1" x14ac:dyDescent="0.3">
      <c r="A285" s="17" t="b">
        <v>1</v>
      </c>
      <c r="B285" s="18" t="str">
        <f t="shared" si="152"/>
        <v>업적 - 장비아이템 합성 누적 횟수 35 회</v>
      </c>
      <c r="C285" s="17">
        <f t="shared" si="153"/>
        <v>902131008</v>
      </c>
      <c r="D285" s="17">
        <f t="shared" si="154"/>
        <v>902131007</v>
      </c>
      <c r="E285" s="17">
        <f t="shared" si="151"/>
        <v>902131009</v>
      </c>
      <c r="F285" s="91" t="s">
        <v>1104</v>
      </c>
      <c r="G285" s="17">
        <f t="shared" si="158"/>
        <v>2</v>
      </c>
      <c r="H285" s="17">
        <f t="shared" si="155"/>
        <v>1</v>
      </c>
      <c r="I285" s="17">
        <f t="shared" si="155"/>
        <v>3</v>
      </c>
      <c r="J285" s="17">
        <f>'Achievement Reward Base'!B314</f>
        <v>35</v>
      </c>
      <c r="K285" s="17" t="str">
        <f t="shared" si="156"/>
        <v>160001001</v>
      </c>
      <c r="L285" s="17">
        <f>'Achievement Reward Base'!D314</f>
        <v>27000</v>
      </c>
      <c r="M285" s="21" t="s">
        <v>18</v>
      </c>
      <c r="N285" s="17">
        <f t="shared" si="142"/>
        <v>51580</v>
      </c>
      <c r="O285" s="17">
        <f t="shared" si="142"/>
        <v>52580</v>
      </c>
      <c r="P285" s="21">
        <f t="shared" si="157"/>
        <v>530800009</v>
      </c>
    </row>
    <row r="286" spans="1:16" ht="16.5" customHeight="1" x14ac:dyDescent="0.3">
      <c r="A286" s="17" t="b">
        <v>1</v>
      </c>
      <c r="B286" s="18" t="str">
        <f t="shared" si="152"/>
        <v>업적 - 장비아이템 합성 누적 횟수 40 회</v>
      </c>
      <c r="C286" s="17">
        <f t="shared" si="153"/>
        <v>902131009</v>
      </c>
      <c r="D286" s="17">
        <f t="shared" si="154"/>
        <v>902131008</v>
      </c>
      <c r="E286" s="17">
        <f t="shared" si="151"/>
        <v>902131010</v>
      </c>
      <c r="F286" s="91" t="s">
        <v>1104</v>
      </c>
      <c r="G286" s="17">
        <f t="shared" si="158"/>
        <v>2</v>
      </c>
      <c r="H286" s="17">
        <f t="shared" si="155"/>
        <v>1</v>
      </c>
      <c r="I286" s="17">
        <f t="shared" si="155"/>
        <v>3</v>
      </c>
      <c r="J286" s="17">
        <f>'Achievement Reward Base'!B315</f>
        <v>40</v>
      </c>
      <c r="K286" s="17" t="str">
        <f t="shared" si="156"/>
        <v>160001001</v>
      </c>
      <c r="L286" s="17">
        <f>'Achievement Reward Base'!D315</f>
        <v>31000</v>
      </c>
      <c r="M286" s="21" t="s">
        <v>18</v>
      </c>
      <c r="N286" s="17">
        <f t="shared" si="142"/>
        <v>51581</v>
      </c>
      <c r="O286" s="17">
        <f t="shared" si="142"/>
        <v>52581</v>
      </c>
      <c r="P286" s="21">
        <f t="shared" si="157"/>
        <v>530800009</v>
      </c>
    </row>
    <row r="287" spans="1:16" ht="16.5" customHeight="1" x14ac:dyDescent="0.3">
      <c r="A287" s="17" t="b">
        <v>1</v>
      </c>
      <c r="B287" s="18" t="str">
        <f t="shared" si="152"/>
        <v>업적 - 장비아이템 합성 누적 횟수 45 회</v>
      </c>
      <c r="C287" s="17">
        <f t="shared" si="153"/>
        <v>902131010</v>
      </c>
      <c r="D287" s="17">
        <f t="shared" si="154"/>
        <v>902131009</v>
      </c>
      <c r="E287" s="17">
        <f t="shared" si="151"/>
        <v>902131011</v>
      </c>
      <c r="F287" s="91" t="s">
        <v>1104</v>
      </c>
      <c r="G287" s="17">
        <f t="shared" si="158"/>
        <v>2</v>
      </c>
      <c r="H287" s="17">
        <f t="shared" si="155"/>
        <v>1</v>
      </c>
      <c r="I287" s="17">
        <f t="shared" si="155"/>
        <v>3</v>
      </c>
      <c r="J287" s="17">
        <f>'Achievement Reward Base'!B316</f>
        <v>45</v>
      </c>
      <c r="K287" s="17" t="str">
        <f t="shared" si="156"/>
        <v>160001001</v>
      </c>
      <c r="L287" s="17">
        <f>'Achievement Reward Base'!D316</f>
        <v>35000</v>
      </c>
      <c r="M287" s="21" t="s">
        <v>18</v>
      </c>
      <c r="N287" s="17">
        <f t="shared" si="142"/>
        <v>51582</v>
      </c>
      <c r="O287" s="17">
        <f t="shared" si="142"/>
        <v>52582</v>
      </c>
      <c r="P287" s="21">
        <f t="shared" si="157"/>
        <v>530800009</v>
      </c>
    </row>
    <row r="288" spans="1:16" ht="16.5" customHeight="1" x14ac:dyDescent="0.3">
      <c r="A288" s="17" t="b">
        <v>1</v>
      </c>
      <c r="B288" s="18" t="str">
        <f t="shared" si="152"/>
        <v>업적 - 장비아이템 합성 누적 횟수 50 회</v>
      </c>
      <c r="C288" s="17">
        <f t="shared" si="153"/>
        <v>902131011</v>
      </c>
      <c r="D288" s="17">
        <f t="shared" si="154"/>
        <v>902131010</v>
      </c>
      <c r="E288" s="17">
        <f t="shared" si="151"/>
        <v>902131012</v>
      </c>
      <c r="F288" s="91" t="s">
        <v>1104</v>
      </c>
      <c r="G288" s="17">
        <f t="shared" si="158"/>
        <v>2</v>
      </c>
      <c r="H288" s="17">
        <f t="shared" si="155"/>
        <v>1</v>
      </c>
      <c r="I288" s="17">
        <f t="shared" si="155"/>
        <v>3</v>
      </c>
      <c r="J288" s="17">
        <f>'Achievement Reward Base'!B317</f>
        <v>50</v>
      </c>
      <c r="K288" s="17" t="str">
        <f t="shared" si="156"/>
        <v>160001001</v>
      </c>
      <c r="L288" s="17">
        <f>'Achievement Reward Base'!D317</f>
        <v>40000</v>
      </c>
      <c r="M288" s="21" t="s">
        <v>18</v>
      </c>
      <c r="N288" s="17">
        <f t="shared" si="142"/>
        <v>51583</v>
      </c>
      <c r="O288" s="17">
        <f t="shared" si="142"/>
        <v>52583</v>
      </c>
      <c r="P288" s="21">
        <f t="shared" si="157"/>
        <v>530800009</v>
      </c>
    </row>
    <row r="289" spans="1:16" ht="16.5" customHeight="1" x14ac:dyDescent="0.3">
      <c r="A289" s="17" t="b">
        <v>1</v>
      </c>
      <c r="B289" s="18" t="str">
        <f t="shared" si="152"/>
        <v>업적 - 장비아이템 합성 누적 횟수 60 회</v>
      </c>
      <c r="C289" s="17">
        <f t="shared" si="153"/>
        <v>902131012</v>
      </c>
      <c r="D289" s="17">
        <f t="shared" si="154"/>
        <v>902131011</v>
      </c>
      <c r="E289" s="17">
        <f t="shared" si="151"/>
        <v>902131013</v>
      </c>
      <c r="F289" s="91" t="s">
        <v>1104</v>
      </c>
      <c r="G289" s="17">
        <f t="shared" si="158"/>
        <v>2</v>
      </c>
      <c r="H289" s="17">
        <f t="shared" si="155"/>
        <v>1</v>
      </c>
      <c r="I289" s="17">
        <f t="shared" si="155"/>
        <v>3</v>
      </c>
      <c r="J289" s="17">
        <f>'Achievement Reward Base'!B318</f>
        <v>60</v>
      </c>
      <c r="K289" s="17" t="str">
        <f t="shared" si="156"/>
        <v>160001001</v>
      </c>
      <c r="L289" s="17">
        <f>'Achievement Reward Base'!D318</f>
        <v>45000</v>
      </c>
      <c r="M289" s="21" t="s">
        <v>18</v>
      </c>
      <c r="N289" s="17">
        <f t="shared" si="142"/>
        <v>51584</v>
      </c>
      <c r="O289" s="17">
        <f t="shared" si="142"/>
        <v>52584</v>
      </c>
      <c r="P289" s="21">
        <f t="shared" si="157"/>
        <v>530800009</v>
      </c>
    </row>
    <row r="290" spans="1:16" ht="16.5" customHeight="1" x14ac:dyDescent="0.3">
      <c r="A290" s="17" t="b">
        <v>1</v>
      </c>
      <c r="B290" s="18" t="str">
        <f t="shared" si="152"/>
        <v>업적 - 장비아이템 합성 누적 횟수 70 회</v>
      </c>
      <c r="C290" s="17">
        <f t="shared" si="153"/>
        <v>902131013</v>
      </c>
      <c r="D290" s="17">
        <f t="shared" si="154"/>
        <v>902131012</v>
      </c>
      <c r="E290" s="17">
        <f t="shared" si="151"/>
        <v>902131014</v>
      </c>
      <c r="F290" s="91" t="s">
        <v>1104</v>
      </c>
      <c r="G290" s="17">
        <f t="shared" si="158"/>
        <v>2</v>
      </c>
      <c r="H290" s="17">
        <f t="shared" si="155"/>
        <v>1</v>
      </c>
      <c r="I290" s="17">
        <f t="shared" si="155"/>
        <v>3</v>
      </c>
      <c r="J290" s="17">
        <f>'Achievement Reward Base'!B319</f>
        <v>70</v>
      </c>
      <c r="K290" s="17" t="str">
        <f t="shared" si="156"/>
        <v>160001001</v>
      </c>
      <c r="L290" s="17">
        <f>'Achievement Reward Base'!D319</f>
        <v>50000</v>
      </c>
      <c r="M290" s="21" t="s">
        <v>18</v>
      </c>
      <c r="N290" s="17">
        <f t="shared" si="142"/>
        <v>51585</v>
      </c>
      <c r="O290" s="17">
        <f t="shared" si="142"/>
        <v>52585</v>
      </c>
      <c r="P290" s="21">
        <f t="shared" si="157"/>
        <v>530800009</v>
      </c>
    </row>
    <row r="291" spans="1:16" ht="16.5" customHeight="1" x14ac:dyDescent="0.3">
      <c r="A291" s="17" t="b">
        <v>1</v>
      </c>
      <c r="B291" s="18" t="str">
        <f t="shared" si="152"/>
        <v>업적 - 장비아이템 합성 누적 횟수 80 회</v>
      </c>
      <c r="C291" s="17">
        <f t="shared" si="153"/>
        <v>902131014</v>
      </c>
      <c r="D291" s="17">
        <f t="shared" si="154"/>
        <v>902131013</v>
      </c>
      <c r="E291" s="17">
        <f t="shared" si="151"/>
        <v>902131015</v>
      </c>
      <c r="F291" s="91" t="s">
        <v>1104</v>
      </c>
      <c r="G291" s="17">
        <f t="shared" si="158"/>
        <v>2</v>
      </c>
      <c r="H291" s="17">
        <f t="shared" si="155"/>
        <v>1</v>
      </c>
      <c r="I291" s="17">
        <f t="shared" si="155"/>
        <v>3</v>
      </c>
      <c r="J291" s="17">
        <f>'Achievement Reward Base'!B320</f>
        <v>80</v>
      </c>
      <c r="K291" s="17" t="str">
        <f t="shared" si="156"/>
        <v>160001001</v>
      </c>
      <c r="L291" s="17">
        <f>'Achievement Reward Base'!D320</f>
        <v>55000</v>
      </c>
      <c r="M291" s="21" t="s">
        <v>18</v>
      </c>
      <c r="N291" s="17">
        <f t="shared" si="142"/>
        <v>51586</v>
      </c>
      <c r="O291" s="17">
        <f t="shared" si="142"/>
        <v>52586</v>
      </c>
      <c r="P291" s="21">
        <f t="shared" si="157"/>
        <v>530800009</v>
      </c>
    </row>
    <row r="292" spans="1:16" ht="16.5" customHeight="1" x14ac:dyDescent="0.3">
      <c r="A292" s="17" t="b">
        <v>1</v>
      </c>
      <c r="B292" s="18" t="str">
        <f t="shared" si="152"/>
        <v>업적 - 장비아이템 합성 누적 횟수 90 회</v>
      </c>
      <c r="C292" s="17">
        <f t="shared" si="153"/>
        <v>902131015</v>
      </c>
      <c r="D292" s="17">
        <f t="shared" si="154"/>
        <v>902131014</v>
      </c>
      <c r="E292" s="17">
        <f t="shared" si="151"/>
        <v>902131016</v>
      </c>
      <c r="F292" s="91" t="s">
        <v>1104</v>
      </c>
      <c r="G292" s="17">
        <f t="shared" si="158"/>
        <v>2</v>
      </c>
      <c r="H292" s="17">
        <f t="shared" si="155"/>
        <v>1</v>
      </c>
      <c r="I292" s="17">
        <f t="shared" si="155"/>
        <v>3</v>
      </c>
      <c r="J292" s="17">
        <f>'Achievement Reward Base'!B321</f>
        <v>90</v>
      </c>
      <c r="K292" s="17" t="str">
        <f t="shared" si="156"/>
        <v>160001001</v>
      </c>
      <c r="L292" s="17">
        <f>'Achievement Reward Base'!D321</f>
        <v>60000</v>
      </c>
      <c r="M292" s="21" t="s">
        <v>18</v>
      </c>
      <c r="N292" s="17">
        <f t="shared" si="142"/>
        <v>51587</v>
      </c>
      <c r="O292" s="17">
        <f t="shared" si="142"/>
        <v>52587</v>
      </c>
      <c r="P292" s="21">
        <f t="shared" si="157"/>
        <v>530800009</v>
      </c>
    </row>
    <row r="293" spans="1:16" ht="16.5" customHeight="1" x14ac:dyDescent="0.3">
      <c r="A293" s="17" t="b">
        <v>1</v>
      </c>
      <c r="B293" s="18" t="str">
        <f t="shared" si="152"/>
        <v>업적 - 장비아이템 합성 누적 횟수 100 회</v>
      </c>
      <c r="C293" s="17">
        <f t="shared" si="153"/>
        <v>902131016</v>
      </c>
      <c r="D293" s="17">
        <f t="shared" si="154"/>
        <v>902131015</v>
      </c>
      <c r="E293" s="17">
        <f t="shared" si="151"/>
        <v>902131017</v>
      </c>
      <c r="F293" s="91" t="s">
        <v>1104</v>
      </c>
      <c r="G293" s="17">
        <f t="shared" si="158"/>
        <v>2</v>
      </c>
      <c r="H293" s="17">
        <f t="shared" si="155"/>
        <v>1</v>
      </c>
      <c r="I293" s="17">
        <f t="shared" si="155"/>
        <v>3</v>
      </c>
      <c r="J293" s="17">
        <f>'Achievement Reward Base'!B322</f>
        <v>100</v>
      </c>
      <c r="K293" s="17" t="str">
        <f t="shared" si="156"/>
        <v>160001001</v>
      </c>
      <c r="L293" s="17">
        <f>'Achievement Reward Base'!D322</f>
        <v>70000</v>
      </c>
      <c r="M293" s="21" t="s">
        <v>18</v>
      </c>
      <c r="N293" s="17">
        <f t="shared" si="142"/>
        <v>51588</v>
      </c>
      <c r="O293" s="17">
        <f t="shared" si="142"/>
        <v>52588</v>
      </c>
      <c r="P293" s="21">
        <f t="shared" si="157"/>
        <v>530800009</v>
      </c>
    </row>
    <row r="294" spans="1:16" ht="16.5" customHeight="1" x14ac:dyDescent="0.3">
      <c r="A294" s="17" t="b">
        <v>1</v>
      </c>
      <c r="B294" s="18" t="str">
        <f t="shared" ref="B294:B300" si="159">"업적 - 장비아이템 합성 누적 횟수 " &amp; J294 &amp; " 회"</f>
        <v>업적 - 장비아이템 합성 누적 횟수 150 회</v>
      </c>
      <c r="C294" s="17">
        <f t="shared" si="153"/>
        <v>902131017</v>
      </c>
      <c r="D294" s="17">
        <f t="shared" ref="D294:D300" si="160">C293</f>
        <v>902131016</v>
      </c>
      <c r="E294" s="17">
        <f t="shared" si="151"/>
        <v>902131018</v>
      </c>
      <c r="F294" s="91" t="s">
        <v>1104</v>
      </c>
      <c r="G294" s="17">
        <f t="shared" si="158"/>
        <v>2</v>
      </c>
      <c r="H294" s="17">
        <f t="shared" si="158"/>
        <v>1</v>
      </c>
      <c r="I294" s="17">
        <f t="shared" si="158"/>
        <v>3</v>
      </c>
      <c r="J294" s="17">
        <f>'Achievement Reward Base'!B323</f>
        <v>150</v>
      </c>
      <c r="K294" s="17" t="str">
        <f t="shared" si="156"/>
        <v>160001001</v>
      </c>
      <c r="L294" s="17">
        <f>'Achievement Reward Base'!D323</f>
        <v>80000</v>
      </c>
      <c r="M294" s="21" t="s">
        <v>18</v>
      </c>
      <c r="N294" s="17">
        <f t="shared" si="142"/>
        <v>51589</v>
      </c>
      <c r="O294" s="17">
        <f t="shared" si="142"/>
        <v>52589</v>
      </c>
      <c r="P294" s="21">
        <f t="shared" si="157"/>
        <v>530800009</v>
      </c>
    </row>
    <row r="295" spans="1:16" ht="16.5" customHeight="1" x14ac:dyDescent="0.3">
      <c r="A295" s="17" t="b">
        <v>1</v>
      </c>
      <c r="B295" s="18" t="str">
        <f t="shared" si="159"/>
        <v>업적 - 장비아이템 합성 누적 횟수 200 회</v>
      </c>
      <c r="C295" s="17">
        <f t="shared" si="153"/>
        <v>902131018</v>
      </c>
      <c r="D295" s="17">
        <f t="shared" si="160"/>
        <v>902131017</v>
      </c>
      <c r="E295" s="17">
        <f t="shared" si="151"/>
        <v>902131019</v>
      </c>
      <c r="F295" s="91" t="s">
        <v>1104</v>
      </c>
      <c r="G295" s="17">
        <f t="shared" si="158"/>
        <v>2</v>
      </c>
      <c r="H295" s="17">
        <f t="shared" si="158"/>
        <v>1</v>
      </c>
      <c r="I295" s="17">
        <f t="shared" si="158"/>
        <v>3</v>
      </c>
      <c r="J295" s="17">
        <f>'Achievement Reward Base'!B324</f>
        <v>200</v>
      </c>
      <c r="K295" s="17" t="str">
        <f t="shared" si="156"/>
        <v>160001001</v>
      </c>
      <c r="L295" s="17">
        <f>'Achievement Reward Base'!D324</f>
        <v>90000</v>
      </c>
      <c r="M295" s="21" t="s">
        <v>18</v>
      </c>
      <c r="N295" s="17">
        <f t="shared" si="142"/>
        <v>51590</v>
      </c>
      <c r="O295" s="17">
        <f t="shared" si="142"/>
        <v>52590</v>
      </c>
      <c r="P295" s="21">
        <f t="shared" si="157"/>
        <v>530800009</v>
      </c>
    </row>
    <row r="296" spans="1:16" ht="16.5" customHeight="1" x14ac:dyDescent="0.3">
      <c r="A296" s="17" t="b">
        <v>1</v>
      </c>
      <c r="B296" s="18" t="str">
        <f t="shared" si="159"/>
        <v>업적 - 장비아이템 합성 누적 횟수 250 회</v>
      </c>
      <c r="C296" s="17">
        <f t="shared" si="153"/>
        <v>902131019</v>
      </c>
      <c r="D296" s="17">
        <f t="shared" si="160"/>
        <v>902131018</v>
      </c>
      <c r="E296" s="17">
        <f t="shared" si="151"/>
        <v>902131020</v>
      </c>
      <c r="F296" s="91" t="s">
        <v>1104</v>
      </c>
      <c r="G296" s="17">
        <f t="shared" ref="G296:I301" si="161">G295</f>
        <v>2</v>
      </c>
      <c r="H296" s="17">
        <f t="shared" si="161"/>
        <v>1</v>
      </c>
      <c r="I296" s="17">
        <f t="shared" si="161"/>
        <v>3</v>
      </c>
      <c r="J296" s="17">
        <f>'Achievement Reward Base'!B325</f>
        <v>250</v>
      </c>
      <c r="K296" s="17" t="str">
        <f t="shared" si="156"/>
        <v>160001001</v>
      </c>
      <c r="L296" s="17">
        <f>'Achievement Reward Base'!D325</f>
        <v>100000</v>
      </c>
      <c r="M296" s="21" t="s">
        <v>18</v>
      </c>
      <c r="N296" s="17">
        <f t="shared" si="142"/>
        <v>51591</v>
      </c>
      <c r="O296" s="17">
        <f t="shared" si="142"/>
        <v>52591</v>
      </c>
      <c r="P296" s="21">
        <f t="shared" si="157"/>
        <v>530800009</v>
      </c>
    </row>
    <row r="297" spans="1:16" ht="16.5" customHeight="1" x14ac:dyDescent="0.3">
      <c r="A297" s="17" t="b">
        <v>1</v>
      </c>
      <c r="B297" s="18" t="str">
        <f t="shared" si="159"/>
        <v>업적 - 장비아이템 합성 누적 횟수 300 회</v>
      </c>
      <c r="C297" s="17">
        <f t="shared" si="153"/>
        <v>902131020</v>
      </c>
      <c r="D297" s="17">
        <f t="shared" si="160"/>
        <v>902131019</v>
      </c>
      <c r="E297" s="17">
        <f t="shared" si="151"/>
        <v>902131021</v>
      </c>
      <c r="F297" s="91" t="s">
        <v>1104</v>
      </c>
      <c r="G297" s="17">
        <f t="shared" si="161"/>
        <v>2</v>
      </c>
      <c r="H297" s="17">
        <f t="shared" si="161"/>
        <v>1</v>
      </c>
      <c r="I297" s="17">
        <f t="shared" si="161"/>
        <v>3</v>
      </c>
      <c r="J297" s="17">
        <f>'Achievement Reward Base'!B326</f>
        <v>300</v>
      </c>
      <c r="K297" s="17" t="str">
        <f t="shared" si="156"/>
        <v>160001001</v>
      </c>
      <c r="L297" s="17">
        <f>'Achievement Reward Base'!D326</f>
        <v>120000</v>
      </c>
      <c r="M297" s="21" t="s">
        <v>18</v>
      </c>
      <c r="N297" s="17">
        <f t="shared" si="142"/>
        <v>51592</v>
      </c>
      <c r="O297" s="17">
        <f t="shared" si="142"/>
        <v>52592</v>
      </c>
      <c r="P297" s="21">
        <f t="shared" si="157"/>
        <v>530800009</v>
      </c>
    </row>
    <row r="298" spans="1:16" ht="16.5" customHeight="1" x14ac:dyDescent="0.3">
      <c r="A298" s="17" t="b">
        <v>1</v>
      </c>
      <c r="B298" s="18" t="str">
        <f t="shared" si="159"/>
        <v>업적 - 장비아이템 합성 누적 횟수 350 회</v>
      </c>
      <c r="C298" s="17">
        <f t="shared" si="153"/>
        <v>902131021</v>
      </c>
      <c r="D298" s="17">
        <f t="shared" si="160"/>
        <v>902131020</v>
      </c>
      <c r="E298" s="17">
        <f t="shared" si="151"/>
        <v>902131022</v>
      </c>
      <c r="F298" s="91" t="s">
        <v>1104</v>
      </c>
      <c r="G298" s="17">
        <f t="shared" si="161"/>
        <v>2</v>
      </c>
      <c r="H298" s="17">
        <f t="shared" si="161"/>
        <v>1</v>
      </c>
      <c r="I298" s="17">
        <f t="shared" si="161"/>
        <v>3</v>
      </c>
      <c r="J298" s="17">
        <f>'Achievement Reward Base'!B327</f>
        <v>350</v>
      </c>
      <c r="K298" s="17" t="str">
        <f t="shared" si="156"/>
        <v>160001001</v>
      </c>
      <c r="L298" s="17">
        <f>'Achievement Reward Base'!D327</f>
        <v>150000</v>
      </c>
      <c r="M298" s="21" t="s">
        <v>18</v>
      </c>
      <c r="N298" s="17">
        <f t="shared" si="142"/>
        <v>51593</v>
      </c>
      <c r="O298" s="17">
        <f t="shared" si="142"/>
        <v>52593</v>
      </c>
      <c r="P298" s="21">
        <f t="shared" si="157"/>
        <v>530800009</v>
      </c>
    </row>
    <row r="299" spans="1:16" ht="16.5" customHeight="1" x14ac:dyDescent="0.3">
      <c r="A299" s="17" t="b">
        <v>1</v>
      </c>
      <c r="B299" s="18" t="str">
        <f t="shared" si="159"/>
        <v>업적 - 장비아이템 합성 누적 횟수 400 회</v>
      </c>
      <c r="C299" s="17">
        <f t="shared" si="153"/>
        <v>902131022</v>
      </c>
      <c r="D299" s="17">
        <f t="shared" si="160"/>
        <v>902131021</v>
      </c>
      <c r="E299" s="17">
        <f t="shared" si="151"/>
        <v>902131023</v>
      </c>
      <c r="F299" s="91" t="s">
        <v>1104</v>
      </c>
      <c r="G299" s="17">
        <f t="shared" si="161"/>
        <v>2</v>
      </c>
      <c r="H299" s="17">
        <f t="shared" si="161"/>
        <v>1</v>
      </c>
      <c r="I299" s="17">
        <f t="shared" si="161"/>
        <v>3</v>
      </c>
      <c r="J299" s="17">
        <f>'Achievement Reward Base'!B328</f>
        <v>400</v>
      </c>
      <c r="K299" s="17" t="str">
        <f t="shared" si="156"/>
        <v>160001001</v>
      </c>
      <c r="L299" s="17">
        <f>'Achievement Reward Base'!D328</f>
        <v>190000</v>
      </c>
      <c r="M299" s="21" t="s">
        <v>18</v>
      </c>
      <c r="N299" s="17">
        <f t="shared" si="142"/>
        <v>51594</v>
      </c>
      <c r="O299" s="17">
        <f t="shared" si="142"/>
        <v>52594</v>
      </c>
      <c r="P299" s="21">
        <f t="shared" si="157"/>
        <v>530800009</v>
      </c>
    </row>
    <row r="300" spans="1:16" ht="16.5" customHeight="1" x14ac:dyDescent="0.3">
      <c r="A300" s="17" t="b">
        <v>1</v>
      </c>
      <c r="B300" s="18" t="str">
        <f t="shared" si="159"/>
        <v>업적 - 장비아이템 합성 누적 횟수 450 회</v>
      </c>
      <c r="C300" s="17">
        <f t="shared" si="153"/>
        <v>902131023</v>
      </c>
      <c r="D300" s="17">
        <f t="shared" si="160"/>
        <v>902131022</v>
      </c>
      <c r="E300" s="17">
        <f t="shared" si="151"/>
        <v>902131024</v>
      </c>
      <c r="F300" s="91" t="s">
        <v>1104</v>
      </c>
      <c r="G300" s="17">
        <f t="shared" si="161"/>
        <v>2</v>
      </c>
      <c r="H300" s="17">
        <f t="shared" si="161"/>
        <v>1</v>
      </c>
      <c r="I300" s="17">
        <f t="shared" si="161"/>
        <v>3</v>
      </c>
      <c r="J300" s="17">
        <f>'Achievement Reward Base'!B329</f>
        <v>450</v>
      </c>
      <c r="K300" s="17" t="str">
        <f t="shared" si="156"/>
        <v>160001001</v>
      </c>
      <c r="L300" s="17">
        <f>'Achievement Reward Base'!D329</f>
        <v>240000</v>
      </c>
      <c r="M300" s="21" t="s">
        <v>18</v>
      </c>
      <c r="N300" s="17">
        <f t="shared" si="142"/>
        <v>51595</v>
      </c>
      <c r="O300" s="17">
        <f t="shared" si="142"/>
        <v>52595</v>
      </c>
      <c r="P300" s="21">
        <f t="shared" si="157"/>
        <v>530800009</v>
      </c>
    </row>
    <row r="301" spans="1:16" ht="16.5" customHeight="1" x14ac:dyDescent="0.3">
      <c r="A301" s="17" t="b">
        <v>1</v>
      </c>
      <c r="B301" s="18" t="str">
        <f t="shared" ref="B301" si="162">"업적 - 장비아이템 합성 누적 횟수 " &amp; J301 &amp; " 회"</f>
        <v>업적 - 장비아이템 합성 누적 횟수 500 회</v>
      </c>
      <c r="C301" s="17">
        <f t="shared" si="153"/>
        <v>902131024</v>
      </c>
      <c r="D301" s="17">
        <f t="shared" ref="D301" si="163">C300</f>
        <v>902131023</v>
      </c>
      <c r="E301" s="16">
        <v>0</v>
      </c>
      <c r="F301" s="91" t="s">
        <v>1104</v>
      </c>
      <c r="G301" s="17">
        <f t="shared" si="161"/>
        <v>2</v>
      </c>
      <c r="H301" s="17">
        <f t="shared" si="161"/>
        <v>1</v>
      </c>
      <c r="I301" s="17">
        <f t="shared" si="161"/>
        <v>3</v>
      </c>
      <c r="J301" s="17">
        <f>'Achievement Reward Base'!B330</f>
        <v>500</v>
      </c>
      <c r="K301" s="17" t="str">
        <f t="shared" si="156"/>
        <v>160001001</v>
      </c>
      <c r="L301" s="17">
        <f>'Achievement Reward Base'!D330</f>
        <v>300000</v>
      </c>
      <c r="M301" s="21" t="s">
        <v>18</v>
      </c>
      <c r="N301" s="17">
        <f t="shared" si="142"/>
        <v>51596</v>
      </c>
      <c r="O301" s="17">
        <f t="shared" si="142"/>
        <v>52596</v>
      </c>
      <c r="P301" s="21">
        <f t="shared" si="157"/>
        <v>530800009</v>
      </c>
    </row>
    <row r="302" spans="1:16" ht="16.5" customHeight="1" x14ac:dyDescent="0.3">
      <c r="A302" s="14" t="b">
        <v>1</v>
      </c>
      <c r="B302" s="15" t="str">
        <f>"업적 - 장비아이템 승급 누적 횟수 " &amp; J302 &amp; " 회"</f>
        <v>업적 - 장비아이템 승급 누적 횟수 1 회</v>
      </c>
      <c r="C302" s="16" t="str">
        <f>90&amp;G302&amp;H302&amp;I302&amp;1001</f>
        <v>902141001</v>
      </c>
      <c r="D302" s="16">
        <v>0</v>
      </c>
      <c r="E302" s="14">
        <f t="shared" ref="E302:E317" si="164">C303</f>
        <v>902141002</v>
      </c>
      <c r="F302" s="92" t="s">
        <v>1104</v>
      </c>
      <c r="G302" s="16">
        <v>2</v>
      </c>
      <c r="H302" s="16">
        <v>1</v>
      </c>
      <c r="I302" s="16">
        <v>4</v>
      </c>
      <c r="J302" s="16">
        <f>'Achievement Reward Base'!B331</f>
        <v>1</v>
      </c>
      <c r="K302" s="16" t="str">
        <f>IF(M302="Gem","160001002",IF(M302="Gold","160001001"))</f>
        <v>160001001</v>
      </c>
      <c r="L302" s="16">
        <f>'Achievement Reward Base'!D331</f>
        <v>5000</v>
      </c>
      <c r="M302" s="20" t="s">
        <v>18</v>
      </c>
      <c r="N302" s="16">
        <f t="shared" si="142"/>
        <v>51597</v>
      </c>
      <c r="O302" s="16">
        <f t="shared" si="142"/>
        <v>52597</v>
      </c>
      <c r="P302" s="16">
        <v>530800009</v>
      </c>
    </row>
    <row r="303" spans="1:16" ht="16.5" customHeight="1" x14ac:dyDescent="0.3">
      <c r="A303" s="14" t="b">
        <v>1</v>
      </c>
      <c r="B303" s="15" t="str">
        <f t="shared" ref="B303:B317" si="165">"업적 - 장비아이템 승급 누적 횟수 " &amp; J303 &amp; " 회"</f>
        <v>업적 - 장비아이템 승급 누적 횟수 5 회</v>
      </c>
      <c r="C303" s="14">
        <f t="shared" si="153"/>
        <v>902141002</v>
      </c>
      <c r="D303" s="14" t="str">
        <f t="shared" ref="D303:D317" si="166">C302</f>
        <v>902141001</v>
      </c>
      <c r="E303" s="14">
        <f t="shared" si="164"/>
        <v>902141003</v>
      </c>
      <c r="F303" s="92" t="s">
        <v>1104</v>
      </c>
      <c r="G303" s="14">
        <f>G302</f>
        <v>2</v>
      </c>
      <c r="H303" s="14">
        <f t="shared" ref="H303:I318" si="167">H302</f>
        <v>1</v>
      </c>
      <c r="I303" s="14">
        <f t="shared" si="167"/>
        <v>4</v>
      </c>
      <c r="J303" s="14">
        <f>'Achievement Reward Base'!B332</f>
        <v>5</v>
      </c>
      <c r="K303" s="14" t="str">
        <f t="shared" ref="K303:K318" si="168">K302</f>
        <v>160001001</v>
      </c>
      <c r="L303" s="14">
        <f>'Achievement Reward Base'!D332</f>
        <v>10000</v>
      </c>
      <c r="M303" s="20" t="s">
        <v>18</v>
      </c>
      <c r="N303" s="14">
        <f t="shared" si="142"/>
        <v>51598</v>
      </c>
      <c r="O303" s="14">
        <f t="shared" si="142"/>
        <v>52598</v>
      </c>
      <c r="P303" s="20">
        <f t="shared" ref="P303:P318" si="169">P302</f>
        <v>530800009</v>
      </c>
    </row>
    <row r="304" spans="1:16" ht="16.5" customHeight="1" x14ac:dyDescent="0.3">
      <c r="A304" s="14" t="b">
        <v>1</v>
      </c>
      <c r="B304" s="15" t="str">
        <f t="shared" si="165"/>
        <v>업적 - 장비아이템 승급 누적 횟수 10 회</v>
      </c>
      <c r="C304" s="14">
        <f t="shared" si="153"/>
        <v>902141003</v>
      </c>
      <c r="D304" s="14">
        <f t="shared" si="166"/>
        <v>902141002</v>
      </c>
      <c r="E304" s="14">
        <f t="shared" si="164"/>
        <v>902141004</v>
      </c>
      <c r="F304" s="92" t="s">
        <v>1104</v>
      </c>
      <c r="G304" s="14">
        <f t="shared" ref="G304:G318" si="170">G303</f>
        <v>2</v>
      </c>
      <c r="H304" s="14">
        <f t="shared" si="167"/>
        <v>1</v>
      </c>
      <c r="I304" s="14">
        <f t="shared" si="167"/>
        <v>4</v>
      </c>
      <c r="J304" s="14">
        <f>'Achievement Reward Base'!B333</f>
        <v>10</v>
      </c>
      <c r="K304" s="14" t="str">
        <f t="shared" si="168"/>
        <v>160001001</v>
      </c>
      <c r="L304" s="14">
        <f>'Achievement Reward Base'!D333</f>
        <v>15000</v>
      </c>
      <c r="M304" s="20" t="s">
        <v>18</v>
      </c>
      <c r="N304" s="14">
        <f t="shared" si="142"/>
        <v>51599</v>
      </c>
      <c r="O304" s="14">
        <f t="shared" si="142"/>
        <v>52599</v>
      </c>
      <c r="P304" s="20">
        <f t="shared" si="169"/>
        <v>530800009</v>
      </c>
    </row>
    <row r="305" spans="1:16" ht="16.5" customHeight="1" x14ac:dyDescent="0.3">
      <c r="A305" s="14" t="b">
        <v>1</v>
      </c>
      <c r="B305" s="15" t="str">
        <f t="shared" si="165"/>
        <v>업적 - 장비아이템 승급 누적 횟수 15 회</v>
      </c>
      <c r="C305" s="14">
        <f t="shared" si="153"/>
        <v>902141004</v>
      </c>
      <c r="D305" s="14">
        <f t="shared" si="166"/>
        <v>902141003</v>
      </c>
      <c r="E305" s="14">
        <f t="shared" si="164"/>
        <v>902141005</v>
      </c>
      <c r="F305" s="92" t="s">
        <v>1104</v>
      </c>
      <c r="G305" s="14">
        <f t="shared" si="170"/>
        <v>2</v>
      </c>
      <c r="H305" s="14">
        <f t="shared" si="167"/>
        <v>1</v>
      </c>
      <c r="I305" s="14">
        <f t="shared" si="167"/>
        <v>4</v>
      </c>
      <c r="J305" s="14">
        <f>'Achievement Reward Base'!B334</f>
        <v>15</v>
      </c>
      <c r="K305" s="14" t="str">
        <f t="shared" si="168"/>
        <v>160001001</v>
      </c>
      <c r="L305" s="14">
        <f>'Achievement Reward Base'!D334</f>
        <v>20000</v>
      </c>
      <c r="M305" s="20" t="s">
        <v>18</v>
      </c>
      <c r="N305" s="14">
        <f t="shared" si="142"/>
        <v>51600</v>
      </c>
      <c r="O305" s="14">
        <f t="shared" si="142"/>
        <v>52600</v>
      </c>
      <c r="P305" s="20">
        <f t="shared" si="169"/>
        <v>530800009</v>
      </c>
    </row>
    <row r="306" spans="1:16" ht="16.5" customHeight="1" x14ac:dyDescent="0.3">
      <c r="A306" s="14" t="b">
        <v>1</v>
      </c>
      <c r="B306" s="15" t="str">
        <f t="shared" si="165"/>
        <v>업적 - 장비아이템 승급 누적 횟수 20 회</v>
      </c>
      <c r="C306" s="14">
        <f t="shared" si="153"/>
        <v>902141005</v>
      </c>
      <c r="D306" s="14">
        <f t="shared" si="166"/>
        <v>902141004</v>
      </c>
      <c r="E306" s="14">
        <f t="shared" si="164"/>
        <v>902141006</v>
      </c>
      <c r="F306" s="92" t="s">
        <v>1104</v>
      </c>
      <c r="G306" s="14">
        <f t="shared" si="170"/>
        <v>2</v>
      </c>
      <c r="H306" s="14">
        <f t="shared" si="167"/>
        <v>1</v>
      </c>
      <c r="I306" s="14">
        <f t="shared" si="167"/>
        <v>4</v>
      </c>
      <c r="J306" s="14">
        <f>'Achievement Reward Base'!B335</f>
        <v>20</v>
      </c>
      <c r="K306" s="14" t="str">
        <f t="shared" si="168"/>
        <v>160001001</v>
      </c>
      <c r="L306" s="14">
        <f>'Achievement Reward Base'!D335</f>
        <v>30000</v>
      </c>
      <c r="M306" s="20" t="s">
        <v>18</v>
      </c>
      <c r="N306" s="14">
        <f t="shared" si="142"/>
        <v>51601</v>
      </c>
      <c r="O306" s="14">
        <f t="shared" si="142"/>
        <v>52601</v>
      </c>
      <c r="P306" s="20">
        <f t="shared" si="169"/>
        <v>530800009</v>
      </c>
    </row>
    <row r="307" spans="1:16" ht="16.5" customHeight="1" x14ac:dyDescent="0.3">
      <c r="A307" s="14" t="b">
        <v>1</v>
      </c>
      <c r="B307" s="15" t="str">
        <f t="shared" si="165"/>
        <v>업적 - 장비아이템 승급 누적 횟수 25 회</v>
      </c>
      <c r="C307" s="14">
        <f t="shared" si="153"/>
        <v>902141006</v>
      </c>
      <c r="D307" s="14">
        <f t="shared" si="166"/>
        <v>902141005</v>
      </c>
      <c r="E307" s="14">
        <f t="shared" si="164"/>
        <v>902141007</v>
      </c>
      <c r="F307" s="92" t="s">
        <v>1104</v>
      </c>
      <c r="G307" s="14">
        <f t="shared" si="170"/>
        <v>2</v>
      </c>
      <c r="H307" s="14">
        <f t="shared" si="167"/>
        <v>1</v>
      </c>
      <c r="I307" s="14">
        <f t="shared" si="167"/>
        <v>4</v>
      </c>
      <c r="J307" s="14">
        <f>'Achievement Reward Base'!B336</f>
        <v>25</v>
      </c>
      <c r="K307" s="14" t="str">
        <f t="shared" si="168"/>
        <v>160001001</v>
      </c>
      <c r="L307" s="14">
        <f>'Achievement Reward Base'!D336</f>
        <v>40000</v>
      </c>
      <c r="M307" s="20" t="s">
        <v>18</v>
      </c>
      <c r="N307" s="14">
        <f t="shared" si="142"/>
        <v>51602</v>
      </c>
      <c r="O307" s="14">
        <f t="shared" si="142"/>
        <v>52602</v>
      </c>
      <c r="P307" s="20">
        <f t="shared" si="169"/>
        <v>530800009</v>
      </c>
    </row>
    <row r="308" spans="1:16" ht="16.5" customHeight="1" x14ac:dyDescent="0.3">
      <c r="A308" s="14" t="b">
        <v>1</v>
      </c>
      <c r="B308" s="15" t="str">
        <f t="shared" si="165"/>
        <v>업적 - 장비아이템 승급 누적 횟수 30 회</v>
      </c>
      <c r="C308" s="14">
        <f t="shared" si="153"/>
        <v>902141007</v>
      </c>
      <c r="D308" s="14">
        <f t="shared" si="166"/>
        <v>902141006</v>
      </c>
      <c r="E308" s="14">
        <f t="shared" si="164"/>
        <v>902141008</v>
      </c>
      <c r="F308" s="92" t="s">
        <v>1104</v>
      </c>
      <c r="G308" s="14">
        <f t="shared" si="170"/>
        <v>2</v>
      </c>
      <c r="H308" s="14">
        <f t="shared" si="167"/>
        <v>1</v>
      </c>
      <c r="I308" s="14">
        <f t="shared" si="167"/>
        <v>4</v>
      </c>
      <c r="J308" s="14">
        <f>'Achievement Reward Base'!B337</f>
        <v>30</v>
      </c>
      <c r="K308" s="14" t="str">
        <f t="shared" si="168"/>
        <v>160001001</v>
      </c>
      <c r="L308" s="14">
        <f>'Achievement Reward Base'!D337</f>
        <v>50000</v>
      </c>
      <c r="M308" s="20" t="s">
        <v>18</v>
      </c>
      <c r="N308" s="14">
        <f t="shared" si="142"/>
        <v>51603</v>
      </c>
      <c r="O308" s="14">
        <f t="shared" si="142"/>
        <v>52603</v>
      </c>
      <c r="P308" s="20">
        <f t="shared" si="169"/>
        <v>530800009</v>
      </c>
    </row>
    <row r="309" spans="1:16" ht="16.5" customHeight="1" x14ac:dyDescent="0.3">
      <c r="A309" s="14" t="b">
        <v>1</v>
      </c>
      <c r="B309" s="15" t="str">
        <f t="shared" si="165"/>
        <v>업적 - 장비아이템 승급 누적 횟수 35 회</v>
      </c>
      <c r="C309" s="14">
        <f t="shared" si="153"/>
        <v>902141008</v>
      </c>
      <c r="D309" s="14">
        <f t="shared" si="166"/>
        <v>902141007</v>
      </c>
      <c r="E309" s="14">
        <f t="shared" si="164"/>
        <v>902141009</v>
      </c>
      <c r="F309" s="92" t="s">
        <v>1104</v>
      </c>
      <c r="G309" s="14">
        <f t="shared" si="170"/>
        <v>2</v>
      </c>
      <c r="H309" s="14">
        <f t="shared" si="167"/>
        <v>1</v>
      </c>
      <c r="I309" s="14">
        <f t="shared" si="167"/>
        <v>4</v>
      </c>
      <c r="J309" s="14">
        <f>'Achievement Reward Base'!B338</f>
        <v>35</v>
      </c>
      <c r="K309" s="14" t="str">
        <f t="shared" si="168"/>
        <v>160001001</v>
      </c>
      <c r="L309" s="14">
        <f>'Achievement Reward Base'!D338</f>
        <v>75000</v>
      </c>
      <c r="M309" s="20" t="s">
        <v>18</v>
      </c>
      <c r="N309" s="14">
        <f t="shared" si="142"/>
        <v>51604</v>
      </c>
      <c r="O309" s="14">
        <f t="shared" si="142"/>
        <v>52604</v>
      </c>
      <c r="P309" s="20">
        <f t="shared" si="169"/>
        <v>530800009</v>
      </c>
    </row>
    <row r="310" spans="1:16" ht="16.5" customHeight="1" x14ac:dyDescent="0.3">
      <c r="A310" s="14" t="b">
        <v>1</v>
      </c>
      <c r="B310" s="15" t="str">
        <f t="shared" si="165"/>
        <v>업적 - 장비아이템 승급 누적 횟수 40 회</v>
      </c>
      <c r="C310" s="14">
        <f t="shared" si="153"/>
        <v>902141009</v>
      </c>
      <c r="D310" s="14">
        <f t="shared" si="166"/>
        <v>902141008</v>
      </c>
      <c r="E310" s="14">
        <f t="shared" si="164"/>
        <v>902141010</v>
      </c>
      <c r="F310" s="92" t="s">
        <v>1104</v>
      </c>
      <c r="G310" s="14">
        <f t="shared" si="170"/>
        <v>2</v>
      </c>
      <c r="H310" s="14">
        <f t="shared" si="167"/>
        <v>1</v>
      </c>
      <c r="I310" s="14">
        <f t="shared" si="167"/>
        <v>4</v>
      </c>
      <c r="J310" s="14">
        <f>'Achievement Reward Base'!B339</f>
        <v>40</v>
      </c>
      <c r="K310" s="14" t="str">
        <f t="shared" si="168"/>
        <v>160001001</v>
      </c>
      <c r="L310" s="14">
        <f>'Achievement Reward Base'!D339</f>
        <v>100000</v>
      </c>
      <c r="M310" s="20" t="s">
        <v>18</v>
      </c>
      <c r="N310" s="14">
        <f t="shared" si="142"/>
        <v>51605</v>
      </c>
      <c r="O310" s="14">
        <f t="shared" si="142"/>
        <v>52605</v>
      </c>
      <c r="P310" s="20">
        <f t="shared" si="169"/>
        <v>530800009</v>
      </c>
    </row>
    <row r="311" spans="1:16" ht="16.5" customHeight="1" x14ac:dyDescent="0.3">
      <c r="A311" s="14" t="b">
        <v>1</v>
      </c>
      <c r="B311" s="15" t="str">
        <f t="shared" si="165"/>
        <v>업적 - 장비아이템 승급 누적 횟수 45 회</v>
      </c>
      <c r="C311" s="14">
        <f t="shared" si="153"/>
        <v>902141010</v>
      </c>
      <c r="D311" s="14">
        <f t="shared" si="166"/>
        <v>902141009</v>
      </c>
      <c r="E311" s="14">
        <f t="shared" si="164"/>
        <v>902141011</v>
      </c>
      <c r="F311" s="92" t="s">
        <v>1104</v>
      </c>
      <c r="G311" s="14">
        <f t="shared" si="170"/>
        <v>2</v>
      </c>
      <c r="H311" s="14">
        <f t="shared" si="167"/>
        <v>1</v>
      </c>
      <c r="I311" s="14">
        <f t="shared" si="167"/>
        <v>4</v>
      </c>
      <c r="J311" s="14">
        <f>'Achievement Reward Base'!B340</f>
        <v>45</v>
      </c>
      <c r="K311" s="14" t="str">
        <f t="shared" si="168"/>
        <v>160001001</v>
      </c>
      <c r="L311" s="14">
        <f>'Achievement Reward Base'!D340</f>
        <v>125000</v>
      </c>
      <c r="M311" s="20" t="s">
        <v>18</v>
      </c>
      <c r="N311" s="14">
        <f t="shared" si="142"/>
        <v>51606</v>
      </c>
      <c r="O311" s="14">
        <f t="shared" si="142"/>
        <v>52606</v>
      </c>
      <c r="P311" s="20">
        <f t="shared" si="169"/>
        <v>530800009</v>
      </c>
    </row>
    <row r="312" spans="1:16" ht="16.5" customHeight="1" x14ac:dyDescent="0.3">
      <c r="A312" s="14" t="b">
        <v>1</v>
      </c>
      <c r="B312" s="15" t="str">
        <f t="shared" si="165"/>
        <v>업적 - 장비아이템 승급 누적 횟수 50 회</v>
      </c>
      <c r="C312" s="14">
        <f t="shared" si="153"/>
        <v>902141011</v>
      </c>
      <c r="D312" s="14">
        <f t="shared" si="166"/>
        <v>902141010</v>
      </c>
      <c r="E312" s="14">
        <f t="shared" si="164"/>
        <v>902141012</v>
      </c>
      <c r="F312" s="92" t="s">
        <v>1104</v>
      </c>
      <c r="G312" s="14">
        <f t="shared" si="170"/>
        <v>2</v>
      </c>
      <c r="H312" s="14">
        <f t="shared" si="167"/>
        <v>1</v>
      </c>
      <c r="I312" s="14">
        <f t="shared" si="167"/>
        <v>4</v>
      </c>
      <c r="J312" s="14">
        <f>'Achievement Reward Base'!B341</f>
        <v>50</v>
      </c>
      <c r="K312" s="14" t="str">
        <f t="shared" si="168"/>
        <v>160001001</v>
      </c>
      <c r="L312" s="14">
        <f>'Achievement Reward Base'!D341</f>
        <v>150000</v>
      </c>
      <c r="M312" s="20" t="s">
        <v>18</v>
      </c>
      <c r="N312" s="14">
        <f t="shared" si="142"/>
        <v>51607</v>
      </c>
      <c r="O312" s="14">
        <f t="shared" si="142"/>
        <v>52607</v>
      </c>
      <c r="P312" s="20">
        <f t="shared" si="169"/>
        <v>530800009</v>
      </c>
    </row>
    <row r="313" spans="1:16" ht="16.5" customHeight="1" x14ac:dyDescent="0.3">
      <c r="A313" s="14" t="b">
        <v>1</v>
      </c>
      <c r="B313" s="15" t="str">
        <f t="shared" si="165"/>
        <v>업적 - 장비아이템 승급 누적 횟수 60 회</v>
      </c>
      <c r="C313" s="14">
        <f t="shared" si="153"/>
        <v>902141012</v>
      </c>
      <c r="D313" s="14">
        <f t="shared" si="166"/>
        <v>902141011</v>
      </c>
      <c r="E313" s="14">
        <f t="shared" si="164"/>
        <v>902141013</v>
      </c>
      <c r="F313" s="92" t="s">
        <v>1104</v>
      </c>
      <c r="G313" s="14">
        <f t="shared" si="170"/>
        <v>2</v>
      </c>
      <c r="H313" s="14">
        <f t="shared" si="167"/>
        <v>1</v>
      </c>
      <c r="I313" s="14">
        <f t="shared" si="167"/>
        <v>4</v>
      </c>
      <c r="J313" s="14">
        <f>'Achievement Reward Base'!B342</f>
        <v>60</v>
      </c>
      <c r="K313" s="14" t="str">
        <f t="shared" si="168"/>
        <v>160001001</v>
      </c>
      <c r="L313" s="14">
        <f>'Achievement Reward Base'!D342</f>
        <v>175000</v>
      </c>
      <c r="M313" s="20" t="s">
        <v>18</v>
      </c>
      <c r="N313" s="14">
        <f t="shared" si="142"/>
        <v>51608</v>
      </c>
      <c r="O313" s="14">
        <f t="shared" si="142"/>
        <v>52608</v>
      </c>
      <c r="P313" s="20">
        <f t="shared" si="169"/>
        <v>530800009</v>
      </c>
    </row>
    <row r="314" spans="1:16" ht="16.5" customHeight="1" x14ac:dyDescent="0.3">
      <c r="A314" s="14" t="b">
        <v>1</v>
      </c>
      <c r="B314" s="15" t="str">
        <f t="shared" si="165"/>
        <v>업적 - 장비아이템 승급 누적 횟수 70 회</v>
      </c>
      <c r="C314" s="14">
        <f t="shared" si="153"/>
        <v>902141013</v>
      </c>
      <c r="D314" s="14">
        <f t="shared" si="166"/>
        <v>902141012</v>
      </c>
      <c r="E314" s="14">
        <f t="shared" si="164"/>
        <v>902141014</v>
      </c>
      <c r="F314" s="92" t="s">
        <v>1104</v>
      </c>
      <c r="G314" s="14">
        <f t="shared" si="170"/>
        <v>2</v>
      </c>
      <c r="H314" s="14">
        <f t="shared" si="167"/>
        <v>1</v>
      </c>
      <c r="I314" s="14">
        <f t="shared" si="167"/>
        <v>4</v>
      </c>
      <c r="J314" s="14">
        <f>'Achievement Reward Base'!B343</f>
        <v>70</v>
      </c>
      <c r="K314" s="14" t="str">
        <f t="shared" si="168"/>
        <v>160001001</v>
      </c>
      <c r="L314" s="14">
        <f>'Achievement Reward Base'!D343</f>
        <v>200000</v>
      </c>
      <c r="M314" s="20" t="s">
        <v>18</v>
      </c>
      <c r="N314" s="14">
        <f t="shared" si="142"/>
        <v>51609</v>
      </c>
      <c r="O314" s="14">
        <f t="shared" si="142"/>
        <v>52609</v>
      </c>
      <c r="P314" s="20">
        <f t="shared" si="169"/>
        <v>530800009</v>
      </c>
    </row>
    <row r="315" spans="1:16" ht="16.5" customHeight="1" x14ac:dyDescent="0.3">
      <c r="A315" s="14" t="b">
        <v>1</v>
      </c>
      <c r="B315" s="15" t="str">
        <f t="shared" si="165"/>
        <v>업적 - 장비아이템 승급 누적 횟수 80 회</v>
      </c>
      <c r="C315" s="14">
        <f t="shared" si="153"/>
        <v>902141014</v>
      </c>
      <c r="D315" s="14">
        <f t="shared" si="166"/>
        <v>902141013</v>
      </c>
      <c r="E315" s="14">
        <f t="shared" si="164"/>
        <v>902141015</v>
      </c>
      <c r="F315" s="92" t="s">
        <v>1104</v>
      </c>
      <c r="G315" s="14">
        <f t="shared" si="170"/>
        <v>2</v>
      </c>
      <c r="H315" s="14">
        <f t="shared" si="167"/>
        <v>1</v>
      </c>
      <c r="I315" s="14">
        <f t="shared" si="167"/>
        <v>4</v>
      </c>
      <c r="J315" s="14">
        <f>'Achievement Reward Base'!B344</f>
        <v>80</v>
      </c>
      <c r="K315" s="14" t="str">
        <f t="shared" si="168"/>
        <v>160001001</v>
      </c>
      <c r="L315" s="14">
        <f>'Achievement Reward Base'!D344</f>
        <v>240000</v>
      </c>
      <c r="M315" s="20" t="s">
        <v>18</v>
      </c>
      <c r="N315" s="14">
        <f t="shared" si="142"/>
        <v>51610</v>
      </c>
      <c r="O315" s="14">
        <f t="shared" si="142"/>
        <v>52610</v>
      </c>
      <c r="P315" s="20">
        <f t="shared" si="169"/>
        <v>530800009</v>
      </c>
    </row>
    <row r="316" spans="1:16" ht="16.5" customHeight="1" x14ac:dyDescent="0.3">
      <c r="A316" s="14" t="b">
        <v>1</v>
      </c>
      <c r="B316" s="15" t="str">
        <f t="shared" si="165"/>
        <v>업적 - 장비아이템 승급 누적 횟수 90 회</v>
      </c>
      <c r="C316" s="14">
        <f t="shared" si="153"/>
        <v>902141015</v>
      </c>
      <c r="D316" s="14">
        <f t="shared" si="166"/>
        <v>902141014</v>
      </c>
      <c r="E316" s="14">
        <f t="shared" si="164"/>
        <v>902141016</v>
      </c>
      <c r="F316" s="92" t="s">
        <v>1104</v>
      </c>
      <c r="G316" s="14">
        <f t="shared" si="170"/>
        <v>2</v>
      </c>
      <c r="H316" s="14">
        <f t="shared" si="167"/>
        <v>1</v>
      </c>
      <c r="I316" s="14">
        <f t="shared" si="167"/>
        <v>4</v>
      </c>
      <c r="J316" s="14">
        <f>'Achievement Reward Base'!B345</f>
        <v>90</v>
      </c>
      <c r="K316" s="14" t="str">
        <f t="shared" si="168"/>
        <v>160001001</v>
      </c>
      <c r="L316" s="14">
        <f>'Achievement Reward Base'!D345</f>
        <v>280000</v>
      </c>
      <c r="M316" s="20" t="s">
        <v>18</v>
      </c>
      <c r="N316" s="14">
        <f t="shared" si="142"/>
        <v>51611</v>
      </c>
      <c r="O316" s="14">
        <f t="shared" si="142"/>
        <v>52611</v>
      </c>
      <c r="P316" s="20">
        <f t="shared" si="169"/>
        <v>530800009</v>
      </c>
    </row>
    <row r="317" spans="1:16" ht="16.5" customHeight="1" x14ac:dyDescent="0.3">
      <c r="A317" s="14" t="b">
        <v>1</v>
      </c>
      <c r="B317" s="15" t="str">
        <f t="shared" si="165"/>
        <v>업적 - 장비아이템 승급 누적 횟수 100 회</v>
      </c>
      <c r="C317" s="14">
        <f t="shared" si="153"/>
        <v>902141016</v>
      </c>
      <c r="D317" s="14">
        <f t="shared" si="166"/>
        <v>902141015</v>
      </c>
      <c r="E317" s="14">
        <f t="shared" si="164"/>
        <v>902141017</v>
      </c>
      <c r="F317" s="92" t="s">
        <v>1104</v>
      </c>
      <c r="G317" s="14">
        <f t="shared" si="170"/>
        <v>2</v>
      </c>
      <c r="H317" s="14">
        <f t="shared" si="167"/>
        <v>1</v>
      </c>
      <c r="I317" s="14">
        <f t="shared" si="167"/>
        <v>4</v>
      </c>
      <c r="J317" s="14">
        <f>'Achievement Reward Base'!B346</f>
        <v>100</v>
      </c>
      <c r="K317" s="14" t="str">
        <f t="shared" si="168"/>
        <v>160001001</v>
      </c>
      <c r="L317" s="14">
        <f>'Achievement Reward Base'!D346</f>
        <v>320000</v>
      </c>
      <c r="M317" s="20" t="s">
        <v>18</v>
      </c>
      <c r="N317" s="14">
        <f t="shared" si="142"/>
        <v>51612</v>
      </c>
      <c r="O317" s="14">
        <f t="shared" si="142"/>
        <v>52612</v>
      </c>
      <c r="P317" s="20">
        <f t="shared" si="169"/>
        <v>530800009</v>
      </c>
    </row>
    <row r="318" spans="1:16" ht="16.5" customHeight="1" x14ac:dyDescent="0.3">
      <c r="A318" s="14" t="b">
        <v>1</v>
      </c>
      <c r="B318" s="15" t="str">
        <f t="shared" ref="B318" si="171">"업적 - 장비아이템 승급 누적 횟수 " &amp; J318 &amp; " 회"</f>
        <v>업적 - 장비아이템 승급 누적 횟수 150 회</v>
      </c>
      <c r="C318" s="14">
        <f t="shared" si="153"/>
        <v>902141017</v>
      </c>
      <c r="D318" s="14">
        <f t="shared" ref="D318" si="172">C317</f>
        <v>902141016</v>
      </c>
      <c r="E318" s="16">
        <v>0</v>
      </c>
      <c r="F318" s="92" t="s">
        <v>1104</v>
      </c>
      <c r="G318" s="14">
        <f t="shared" si="170"/>
        <v>2</v>
      </c>
      <c r="H318" s="14">
        <f t="shared" si="167"/>
        <v>1</v>
      </c>
      <c r="I318" s="14">
        <f t="shared" si="167"/>
        <v>4</v>
      </c>
      <c r="J318" s="14">
        <f>'Achievement Reward Base'!B347</f>
        <v>150</v>
      </c>
      <c r="K318" s="14" t="str">
        <f t="shared" si="168"/>
        <v>160001001</v>
      </c>
      <c r="L318" s="14">
        <f>'Achievement Reward Base'!D347</f>
        <v>360000</v>
      </c>
      <c r="M318" s="20" t="s">
        <v>18</v>
      </c>
      <c r="N318" s="14">
        <f t="shared" si="142"/>
        <v>51613</v>
      </c>
      <c r="O318" s="14">
        <f t="shared" si="142"/>
        <v>52613</v>
      </c>
      <c r="P318" s="20">
        <f t="shared" si="169"/>
        <v>530800009</v>
      </c>
    </row>
    <row r="319" spans="1:16" ht="16.5" customHeight="1" x14ac:dyDescent="0.3">
      <c r="A319" s="17" t="b">
        <v>1</v>
      </c>
      <c r="B319" s="18" t="str">
        <f t="shared" ref="B319:B342" si="173">"업적 - 장비아이템 5성 누적 획득 " &amp; J319 &amp; " 회"</f>
        <v>업적 - 장비아이템 5성 누적 획득 1 회</v>
      </c>
      <c r="C319" s="16" t="str">
        <f>90&amp;G319&amp;H319&amp;I319&amp;1001</f>
        <v>903121001</v>
      </c>
      <c r="D319" s="16">
        <v>0</v>
      </c>
      <c r="E319" s="17">
        <f>C320</f>
        <v>903121002</v>
      </c>
      <c r="F319" s="91" t="s">
        <v>1104</v>
      </c>
      <c r="G319" s="16">
        <v>3</v>
      </c>
      <c r="H319" s="16">
        <v>1</v>
      </c>
      <c r="I319" s="16">
        <v>2</v>
      </c>
      <c r="J319" s="16">
        <f>'Achievement Reward Base'!B348</f>
        <v>1</v>
      </c>
      <c r="K319" s="16" t="str">
        <f>IF(M319="Gem","160001002",IF(M319="Gold","160001001"))</f>
        <v>160001001</v>
      </c>
      <c r="L319" s="16">
        <f>'Achievement Reward Base'!D348</f>
        <v>5000</v>
      </c>
      <c r="M319" s="17" t="s">
        <v>18</v>
      </c>
      <c r="N319" s="16">
        <f t="shared" si="142"/>
        <v>51614</v>
      </c>
      <c r="O319" s="16">
        <f t="shared" si="142"/>
        <v>52614</v>
      </c>
      <c r="P319" s="16">
        <v>530800009</v>
      </c>
    </row>
    <row r="320" spans="1:16" ht="16.5" customHeight="1" x14ac:dyDescent="0.3">
      <c r="A320" s="17" t="b">
        <v>1</v>
      </c>
      <c r="B320" s="18" t="str">
        <f t="shared" si="173"/>
        <v>업적 - 장비아이템 5성 누적 획득 10 회</v>
      </c>
      <c r="C320" s="17">
        <f>C319+1</f>
        <v>903121002</v>
      </c>
      <c r="D320" s="17" t="str">
        <f>C319</f>
        <v>903121001</v>
      </c>
      <c r="E320" s="17">
        <f t="shared" ref="E320:E341" si="174">C321</f>
        <v>903121003</v>
      </c>
      <c r="F320" s="91" t="s">
        <v>1104</v>
      </c>
      <c r="G320" s="17">
        <f>G319</f>
        <v>3</v>
      </c>
      <c r="H320" s="17">
        <f t="shared" ref="H320:I335" si="175">H319</f>
        <v>1</v>
      </c>
      <c r="I320" s="17">
        <f t="shared" si="175"/>
        <v>2</v>
      </c>
      <c r="J320" s="17">
        <f>'Achievement Reward Base'!B349</f>
        <v>10</v>
      </c>
      <c r="K320" s="17" t="str">
        <f t="shared" ref="K320:K342" si="176">K319</f>
        <v>160001001</v>
      </c>
      <c r="L320" s="17">
        <f>'Achievement Reward Base'!D349</f>
        <v>10000</v>
      </c>
      <c r="M320" s="17" t="s">
        <v>18</v>
      </c>
      <c r="N320" s="17">
        <f t="shared" si="142"/>
        <v>51615</v>
      </c>
      <c r="O320" s="17">
        <f t="shared" si="142"/>
        <v>52615</v>
      </c>
      <c r="P320" s="17">
        <f t="shared" ref="P320:P342" si="177">P319</f>
        <v>530800009</v>
      </c>
    </row>
    <row r="321" spans="1:16" ht="16.5" customHeight="1" x14ac:dyDescent="0.3">
      <c r="A321" s="17" t="b">
        <v>1</v>
      </c>
      <c r="B321" s="18" t="str">
        <f t="shared" si="173"/>
        <v>업적 - 장비아이템 5성 누적 획득 20 회</v>
      </c>
      <c r="C321" s="17">
        <f t="shared" ref="C321:C342" si="178">C320+1</f>
        <v>903121003</v>
      </c>
      <c r="D321" s="17">
        <f t="shared" ref="D321:D342" si="179">C320</f>
        <v>903121002</v>
      </c>
      <c r="E321" s="17">
        <f t="shared" si="174"/>
        <v>903121004</v>
      </c>
      <c r="F321" s="91" t="s">
        <v>1104</v>
      </c>
      <c r="G321" s="17">
        <f t="shared" ref="G321:I336" si="180">G320</f>
        <v>3</v>
      </c>
      <c r="H321" s="17">
        <f t="shared" si="175"/>
        <v>1</v>
      </c>
      <c r="I321" s="17">
        <f t="shared" si="175"/>
        <v>2</v>
      </c>
      <c r="J321" s="17">
        <f>'Achievement Reward Base'!B350</f>
        <v>20</v>
      </c>
      <c r="K321" s="17" t="str">
        <f t="shared" si="176"/>
        <v>160001001</v>
      </c>
      <c r="L321" s="17">
        <f>'Achievement Reward Base'!D350</f>
        <v>10000</v>
      </c>
      <c r="M321" s="17" t="s">
        <v>18</v>
      </c>
      <c r="N321" s="17">
        <f t="shared" si="142"/>
        <v>51616</v>
      </c>
      <c r="O321" s="17">
        <f t="shared" si="142"/>
        <v>52616</v>
      </c>
      <c r="P321" s="17">
        <f t="shared" si="177"/>
        <v>530800009</v>
      </c>
    </row>
    <row r="322" spans="1:16" ht="16.5" customHeight="1" x14ac:dyDescent="0.3">
      <c r="A322" s="17" t="b">
        <v>1</v>
      </c>
      <c r="B322" s="18" t="str">
        <f t="shared" si="173"/>
        <v>업적 - 장비아이템 5성 누적 획득 30 회</v>
      </c>
      <c r="C322" s="17">
        <f t="shared" si="178"/>
        <v>903121004</v>
      </c>
      <c r="D322" s="17">
        <f t="shared" si="179"/>
        <v>903121003</v>
      </c>
      <c r="E322" s="17">
        <f t="shared" si="174"/>
        <v>903121005</v>
      </c>
      <c r="F322" s="91" t="s">
        <v>1104</v>
      </c>
      <c r="G322" s="17">
        <f t="shared" si="180"/>
        <v>3</v>
      </c>
      <c r="H322" s="17">
        <f t="shared" si="175"/>
        <v>1</v>
      </c>
      <c r="I322" s="17">
        <f t="shared" si="175"/>
        <v>2</v>
      </c>
      <c r="J322" s="17">
        <f>'Achievement Reward Base'!B351</f>
        <v>30</v>
      </c>
      <c r="K322" s="17" t="str">
        <f t="shared" si="176"/>
        <v>160001001</v>
      </c>
      <c r="L322" s="17">
        <f>'Achievement Reward Base'!D351</f>
        <v>15000</v>
      </c>
      <c r="M322" s="17" t="s">
        <v>18</v>
      </c>
      <c r="N322" s="17">
        <f t="shared" si="142"/>
        <v>51617</v>
      </c>
      <c r="O322" s="17">
        <f t="shared" si="142"/>
        <v>52617</v>
      </c>
      <c r="P322" s="17">
        <f t="shared" si="177"/>
        <v>530800009</v>
      </c>
    </row>
    <row r="323" spans="1:16" ht="16.5" customHeight="1" x14ac:dyDescent="0.3">
      <c r="A323" s="17" t="b">
        <v>1</v>
      </c>
      <c r="B323" s="18" t="str">
        <f t="shared" si="173"/>
        <v>업적 - 장비아이템 5성 누적 획득 50 회</v>
      </c>
      <c r="C323" s="17">
        <f t="shared" si="178"/>
        <v>903121005</v>
      </c>
      <c r="D323" s="17">
        <f t="shared" si="179"/>
        <v>903121004</v>
      </c>
      <c r="E323" s="17">
        <f t="shared" si="174"/>
        <v>903121006</v>
      </c>
      <c r="F323" s="91" t="s">
        <v>1104</v>
      </c>
      <c r="G323" s="17">
        <f t="shared" si="180"/>
        <v>3</v>
      </c>
      <c r="H323" s="17">
        <f t="shared" si="175"/>
        <v>1</v>
      </c>
      <c r="I323" s="17">
        <f t="shared" si="175"/>
        <v>2</v>
      </c>
      <c r="J323" s="17">
        <f>'Achievement Reward Base'!B352</f>
        <v>50</v>
      </c>
      <c r="K323" s="17" t="str">
        <f t="shared" si="176"/>
        <v>160001001</v>
      </c>
      <c r="L323" s="17">
        <f>'Achievement Reward Base'!D352</f>
        <v>20000</v>
      </c>
      <c r="M323" s="17" t="s">
        <v>18</v>
      </c>
      <c r="N323" s="17">
        <f t="shared" si="142"/>
        <v>51618</v>
      </c>
      <c r="O323" s="17">
        <f t="shared" si="142"/>
        <v>52618</v>
      </c>
      <c r="P323" s="17">
        <f t="shared" si="177"/>
        <v>530800009</v>
      </c>
    </row>
    <row r="324" spans="1:16" ht="16.5" customHeight="1" x14ac:dyDescent="0.3">
      <c r="A324" s="17" t="b">
        <v>1</v>
      </c>
      <c r="B324" s="18" t="str">
        <f t="shared" si="173"/>
        <v>업적 - 장비아이템 5성 누적 획득 100 회</v>
      </c>
      <c r="C324" s="17">
        <f t="shared" si="178"/>
        <v>903121006</v>
      </c>
      <c r="D324" s="17">
        <f t="shared" si="179"/>
        <v>903121005</v>
      </c>
      <c r="E324" s="17">
        <f t="shared" si="174"/>
        <v>903121007</v>
      </c>
      <c r="F324" s="91" t="s">
        <v>1104</v>
      </c>
      <c r="G324" s="17">
        <f t="shared" si="180"/>
        <v>3</v>
      </c>
      <c r="H324" s="17">
        <f t="shared" si="175"/>
        <v>1</v>
      </c>
      <c r="I324" s="17">
        <f t="shared" si="175"/>
        <v>2</v>
      </c>
      <c r="J324" s="17">
        <f>'Achievement Reward Base'!B353</f>
        <v>100</v>
      </c>
      <c r="K324" s="17" t="str">
        <f t="shared" si="176"/>
        <v>160001001</v>
      </c>
      <c r="L324" s="17">
        <f>'Achievement Reward Base'!D353</f>
        <v>25000</v>
      </c>
      <c r="M324" s="17" t="s">
        <v>18</v>
      </c>
      <c r="N324" s="17">
        <f t="shared" si="142"/>
        <v>51619</v>
      </c>
      <c r="O324" s="17">
        <f t="shared" si="142"/>
        <v>52619</v>
      </c>
      <c r="P324" s="17">
        <f t="shared" si="177"/>
        <v>530800009</v>
      </c>
    </row>
    <row r="325" spans="1:16" ht="16.5" customHeight="1" x14ac:dyDescent="0.3">
      <c r="A325" s="17" t="b">
        <v>1</v>
      </c>
      <c r="B325" s="18" t="str">
        <f t="shared" si="173"/>
        <v>업적 - 장비아이템 5성 누적 획득 150 회</v>
      </c>
      <c r="C325" s="17">
        <f t="shared" si="178"/>
        <v>903121007</v>
      </c>
      <c r="D325" s="17">
        <f t="shared" si="179"/>
        <v>903121006</v>
      </c>
      <c r="E325" s="17">
        <f t="shared" si="174"/>
        <v>903121008</v>
      </c>
      <c r="F325" s="91" t="s">
        <v>1104</v>
      </c>
      <c r="G325" s="17">
        <f t="shared" si="180"/>
        <v>3</v>
      </c>
      <c r="H325" s="17">
        <f t="shared" si="175"/>
        <v>1</v>
      </c>
      <c r="I325" s="17">
        <f t="shared" si="175"/>
        <v>2</v>
      </c>
      <c r="J325" s="17">
        <f>'Achievement Reward Base'!B354</f>
        <v>150</v>
      </c>
      <c r="K325" s="17" t="str">
        <f t="shared" si="176"/>
        <v>160001001</v>
      </c>
      <c r="L325" s="17">
        <f>'Achievement Reward Base'!D354</f>
        <v>30000</v>
      </c>
      <c r="M325" s="17" t="s">
        <v>18</v>
      </c>
      <c r="N325" s="17">
        <f t="shared" si="142"/>
        <v>51620</v>
      </c>
      <c r="O325" s="17">
        <f t="shared" si="142"/>
        <v>52620</v>
      </c>
      <c r="P325" s="17">
        <f t="shared" si="177"/>
        <v>530800009</v>
      </c>
    </row>
    <row r="326" spans="1:16" ht="16.5" customHeight="1" x14ac:dyDescent="0.3">
      <c r="A326" s="17" t="b">
        <v>1</v>
      </c>
      <c r="B326" s="18" t="str">
        <f t="shared" si="173"/>
        <v>업적 - 장비아이템 5성 누적 획득 200 회</v>
      </c>
      <c r="C326" s="17">
        <f t="shared" si="178"/>
        <v>903121008</v>
      </c>
      <c r="D326" s="17">
        <f t="shared" si="179"/>
        <v>903121007</v>
      </c>
      <c r="E326" s="17">
        <f t="shared" si="174"/>
        <v>903121009</v>
      </c>
      <c r="F326" s="91" t="s">
        <v>1104</v>
      </c>
      <c r="G326" s="17">
        <f t="shared" si="180"/>
        <v>3</v>
      </c>
      <c r="H326" s="17">
        <f t="shared" si="175"/>
        <v>1</v>
      </c>
      <c r="I326" s="17">
        <f t="shared" si="175"/>
        <v>2</v>
      </c>
      <c r="J326" s="17">
        <f>'Achievement Reward Base'!B355</f>
        <v>200</v>
      </c>
      <c r="K326" s="17" t="str">
        <f t="shared" si="176"/>
        <v>160001001</v>
      </c>
      <c r="L326" s="17">
        <f>'Achievement Reward Base'!D355</f>
        <v>40000</v>
      </c>
      <c r="M326" s="17" t="s">
        <v>18</v>
      </c>
      <c r="N326" s="17">
        <f t="shared" si="142"/>
        <v>51621</v>
      </c>
      <c r="O326" s="17">
        <f t="shared" si="142"/>
        <v>52621</v>
      </c>
      <c r="P326" s="17">
        <f t="shared" si="177"/>
        <v>530800009</v>
      </c>
    </row>
    <row r="327" spans="1:16" ht="16.5" customHeight="1" x14ac:dyDescent="0.3">
      <c r="A327" s="17" t="b">
        <v>1</v>
      </c>
      <c r="B327" s="18" t="str">
        <f t="shared" si="173"/>
        <v>업적 - 장비아이템 5성 누적 획득 250 회</v>
      </c>
      <c r="C327" s="17">
        <f t="shared" si="178"/>
        <v>903121009</v>
      </c>
      <c r="D327" s="17">
        <f t="shared" si="179"/>
        <v>903121008</v>
      </c>
      <c r="E327" s="17">
        <f t="shared" si="174"/>
        <v>903121010</v>
      </c>
      <c r="F327" s="91" t="s">
        <v>1104</v>
      </c>
      <c r="G327" s="17">
        <f t="shared" si="180"/>
        <v>3</v>
      </c>
      <c r="H327" s="17">
        <f t="shared" si="175"/>
        <v>1</v>
      </c>
      <c r="I327" s="17">
        <f t="shared" si="175"/>
        <v>2</v>
      </c>
      <c r="J327" s="17">
        <f>'Achievement Reward Base'!B356</f>
        <v>250</v>
      </c>
      <c r="K327" s="17" t="str">
        <f t="shared" si="176"/>
        <v>160001001</v>
      </c>
      <c r="L327" s="17">
        <f>'Achievement Reward Base'!D356</f>
        <v>50000</v>
      </c>
      <c r="M327" s="17" t="s">
        <v>18</v>
      </c>
      <c r="N327" s="17">
        <f t="shared" ref="N327:O390" si="181">N326+1</f>
        <v>51622</v>
      </c>
      <c r="O327" s="17">
        <f t="shared" si="181"/>
        <v>52622</v>
      </c>
      <c r="P327" s="17">
        <f t="shared" si="177"/>
        <v>530800009</v>
      </c>
    </row>
    <row r="328" spans="1:16" ht="16.5" customHeight="1" x14ac:dyDescent="0.3">
      <c r="A328" s="17" t="b">
        <v>1</v>
      </c>
      <c r="B328" s="18" t="str">
        <f t="shared" si="173"/>
        <v>업적 - 장비아이템 5성 누적 획득 300 회</v>
      </c>
      <c r="C328" s="17">
        <f t="shared" si="178"/>
        <v>903121010</v>
      </c>
      <c r="D328" s="17">
        <f t="shared" si="179"/>
        <v>903121009</v>
      </c>
      <c r="E328" s="17">
        <f t="shared" si="174"/>
        <v>903121011</v>
      </c>
      <c r="F328" s="91" t="s">
        <v>1104</v>
      </c>
      <c r="G328" s="17">
        <f t="shared" si="180"/>
        <v>3</v>
      </c>
      <c r="H328" s="17">
        <f t="shared" si="175"/>
        <v>1</v>
      </c>
      <c r="I328" s="17">
        <f t="shared" si="175"/>
        <v>2</v>
      </c>
      <c r="J328" s="17">
        <f>'Achievement Reward Base'!B357</f>
        <v>300</v>
      </c>
      <c r="K328" s="17" t="str">
        <f t="shared" si="176"/>
        <v>160001001</v>
      </c>
      <c r="L328" s="17">
        <f>'Achievement Reward Base'!D357</f>
        <v>60000</v>
      </c>
      <c r="M328" s="17" t="s">
        <v>18</v>
      </c>
      <c r="N328" s="17">
        <f t="shared" si="181"/>
        <v>51623</v>
      </c>
      <c r="O328" s="17">
        <f t="shared" si="181"/>
        <v>52623</v>
      </c>
      <c r="P328" s="17">
        <f t="shared" si="177"/>
        <v>530800009</v>
      </c>
    </row>
    <row r="329" spans="1:16" ht="16.5" customHeight="1" x14ac:dyDescent="0.3">
      <c r="A329" s="17" t="b">
        <v>1</v>
      </c>
      <c r="B329" s="18" t="str">
        <f t="shared" si="173"/>
        <v>업적 - 장비아이템 5성 누적 획득 350 회</v>
      </c>
      <c r="C329" s="17">
        <f t="shared" si="178"/>
        <v>903121011</v>
      </c>
      <c r="D329" s="17">
        <f t="shared" si="179"/>
        <v>903121010</v>
      </c>
      <c r="E329" s="17">
        <f t="shared" si="174"/>
        <v>903121012</v>
      </c>
      <c r="F329" s="91" t="s">
        <v>1104</v>
      </c>
      <c r="G329" s="17">
        <f t="shared" si="180"/>
        <v>3</v>
      </c>
      <c r="H329" s="17">
        <f t="shared" si="175"/>
        <v>1</v>
      </c>
      <c r="I329" s="17">
        <f t="shared" si="175"/>
        <v>2</v>
      </c>
      <c r="J329" s="17">
        <f>'Achievement Reward Base'!B358</f>
        <v>350</v>
      </c>
      <c r="K329" s="17" t="str">
        <f t="shared" si="176"/>
        <v>160001001</v>
      </c>
      <c r="L329" s="17">
        <f>'Achievement Reward Base'!D358</f>
        <v>80000</v>
      </c>
      <c r="M329" s="17" t="s">
        <v>18</v>
      </c>
      <c r="N329" s="17">
        <f t="shared" si="181"/>
        <v>51624</v>
      </c>
      <c r="O329" s="17">
        <f t="shared" si="181"/>
        <v>52624</v>
      </c>
      <c r="P329" s="17">
        <f t="shared" si="177"/>
        <v>530800009</v>
      </c>
    </row>
    <row r="330" spans="1:16" ht="16.5" customHeight="1" x14ac:dyDescent="0.3">
      <c r="A330" s="17" t="b">
        <v>1</v>
      </c>
      <c r="B330" s="18" t="str">
        <f t="shared" si="173"/>
        <v>업적 - 장비아이템 5성 누적 획득 400 회</v>
      </c>
      <c r="C330" s="17">
        <f t="shared" si="178"/>
        <v>903121012</v>
      </c>
      <c r="D330" s="17">
        <f t="shared" si="179"/>
        <v>903121011</v>
      </c>
      <c r="E330" s="17">
        <f t="shared" si="174"/>
        <v>903121013</v>
      </c>
      <c r="F330" s="91" t="s">
        <v>1104</v>
      </c>
      <c r="G330" s="17">
        <f t="shared" si="180"/>
        <v>3</v>
      </c>
      <c r="H330" s="17">
        <f t="shared" si="175"/>
        <v>1</v>
      </c>
      <c r="I330" s="17">
        <f t="shared" si="175"/>
        <v>2</v>
      </c>
      <c r="J330" s="17">
        <f>'Achievement Reward Base'!B359</f>
        <v>400</v>
      </c>
      <c r="K330" s="17" t="str">
        <f t="shared" si="176"/>
        <v>160001001</v>
      </c>
      <c r="L330" s="17">
        <f>'Achievement Reward Base'!D359</f>
        <v>100000</v>
      </c>
      <c r="M330" s="17" t="s">
        <v>18</v>
      </c>
      <c r="N330" s="17">
        <f t="shared" si="181"/>
        <v>51625</v>
      </c>
      <c r="O330" s="17">
        <f t="shared" si="181"/>
        <v>52625</v>
      </c>
      <c r="P330" s="17">
        <f t="shared" si="177"/>
        <v>530800009</v>
      </c>
    </row>
    <row r="331" spans="1:16" ht="16.5" customHeight="1" x14ac:dyDescent="0.3">
      <c r="A331" s="17" t="b">
        <v>1</v>
      </c>
      <c r="B331" s="18" t="str">
        <f t="shared" si="173"/>
        <v>업적 - 장비아이템 5성 누적 획득 450 회</v>
      </c>
      <c r="C331" s="17">
        <f t="shared" si="178"/>
        <v>903121013</v>
      </c>
      <c r="D331" s="17">
        <f t="shared" si="179"/>
        <v>903121012</v>
      </c>
      <c r="E331" s="17">
        <f t="shared" si="174"/>
        <v>903121014</v>
      </c>
      <c r="F331" s="91" t="s">
        <v>1104</v>
      </c>
      <c r="G331" s="17">
        <f t="shared" si="180"/>
        <v>3</v>
      </c>
      <c r="H331" s="17">
        <f t="shared" si="175"/>
        <v>1</v>
      </c>
      <c r="I331" s="17">
        <f t="shared" si="175"/>
        <v>2</v>
      </c>
      <c r="J331" s="17">
        <f>'Achievement Reward Base'!B360</f>
        <v>450</v>
      </c>
      <c r="K331" s="17" t="str">
        <f t="shared" si="176"/>
        <v>160001001</v>
      </c>
      <c r="L331" s="17">
        <f>'Achievement Reward Base'!D360</f>
        <v>120000</v>
      </c>
      <c r="M331" s="17" t="s">
        <v>18</v>
      </c>
      <c r="N331" s="17">
        <f t="shared" si="181"/>
        <v>51626</v>
      </c>
      <c r="O331" s="17">
        <f t="shared" si="181"/>
        <v>52626</v>
      </c>
      <c r="P331" s="17">
        <f t="shared" si="177"/>
        <v>530800009</v>
      </c>
    </row>
    <row r="332" spans="1:16" ht="16.5" customHeight="1" x14ac:dyDescent="0.3">
      <c r="A332" s="17" t="b">
        <v>1</v>
      </c>
      <c r="B332" s="18" t="str">
        <f t="shared" si="173"/>
        <v>업적 - 장비아이템 5성 누적 획득 500 회</v>
      </c>
      <c r="C332" s="17">
        <f t="shared" si="178"/>
        <v>903121014</v>
      </c>
      <c r="D332" s="17">
        <f t="shared" si="179"/>
        <v>903121013</v>
      </c>
      <c r="E332" s="17">
        <f t="shared" si="174"/>
        <v>903121015</v>
      </c>
      <c r="F332" s="91" t="s">
        <v>1104</v>
      </c>
      <c r="G332" s="17">
        <f t="shared" si="180"/>
        <v>3</v>
      </c>
      <c r="H332" s="17">
        <f t="shared" si="175"/>
        <v>1</v>
      </c>
      <c r="I332" s="17">
        <f t="shared" si="175"/>
        <v>2</v>
      </c>
      <c r="J332" s="17">
        <f>'Achievement Reward Base'!B361</f>
        <v>500</v>
      </c>
      <c r="K332" s="17" t="str">
        <f t="shared" si="176"/>
        <v>160001001</v>
      </c>
      <c r="L332" s="17">
        <f>'Achievement Reward Base'!D361</f>
        <v>150000</v>
      </c>
      <c r="M332" s="17" t="s">
        <v>18</v>
      </c>
      <c r="N332" s="17">
        <f t="shared" si="181"/>
        <v>51627</v>
      </c>
      <c r="O332" s="17">
        <f t="shared" si="181"/>
        <v>52627</v>
      </c>
      <c r="P332" s="17">
        <f t="shared" si="177"/>
        <v>530800009</v>
      </c>
    </row>
    <row r="333" spans="1:16" ht="16.5" customHeight="1" x14ac:dyDescent="0.3">
      <c r="A333" s="17" t="b">
        <v>1</v>
      </c>
      <c r="B333" s="18" t="str">
        <f t="shared" si="173"/>
        <v>업적 - 장비아이템 5성 누적 획득 550 회</v>
      </c>
      <c r="C333" s="17">
        <f t="shared" si="178"/>
        <v>903121015</v>
      </c>
      <c r="D333" s="17">
        <f t="shared" si="179"/>
        <v>903121014</v>
      </c>
      <c r="E333" s="17">
        <f t="shared" si="174"/>
        <v>903121016</v>
      </c>
      <c r="F333" s="91" t="s">
        <v>1104</v>
      </c>
      <c r="G333" s="17">
        <f t="shared" si="180"/>
        <v>3</v>
      </c>
      <c r="H333" s="17">
        <f t="shared" si="175"/>
        <v>1</v>
      </c>
      <c r="I333" s="17">
        <f t="shared" si="175"/>
        <v>2</v>
      </c>
      <c r="J333" s="17">
        <f>'Achievement Reward Base'!B362</f>
        <v>550</v>
      </c>
      <c r="K333" s="17" t="str">
        <f t="shared" si="176"/>
        <v>160001001</v>
      </c>
      <c r="L333" s="17">
        <f>'Achievement Reward Base'!D362</f>
        <v>180000</v>
      </c>
      <c r="M333" s="17" t="s">
        <v>18</v>
      </c>
      <c r="N333" s="17">
        <f t="shared" si="181"/>
        <v>51628</v>
      </c>
      <c r="O333" s="17">
        <f t="shared" si="181"/>
        <v>52628</v>
      </c>
      <c r="P333" s="17">
        <f t="shared" si="177"/>
        <v>530800009</v>
      </c>
    </row>
    <row r="334" spans="1:16" ht="16.5" customHeight="1" x14ac:dyDescent="0.3">
      <c r="A334" s="17" t="b">
        <v>1</v>
      </c>
      <c r="B334" s="18" t="str">
        <f t="shared" si="173"/>
        <v>업적 - 장비아이템 5성 누적 획득 600 회</v>
      </c>
      <c r="C334" s="17">
        <f t="shared" si="178"/>
        <v>903121016</v>
      </c>
      <c r="D334" s="17">
        <f t="shared" si="179"/>
        <v>903121015</v>
      </c>
      <c r="E334" s="17">
        <f t="shared" si="174"/>
        <v>903121017</v>
      </c>
      <c r="F334" s="91" t="s">
        <v>1104</v>
      </c>
      <c r="G334" s="17">
        <f t="shared" si="180"/>
        <v>3</v>
      </c>
      <c r="H334" s="17">
        <f t="shared" si="175"/>
        <v>1</v>
      </c>
      <c r="I334" s="17">
        <f t="shared" si="175"/>
        <v>2</v>
      </c>
      <c r="J334" s="17">
        <f>'Achievement Reward Base'!B363</f>
        <v>600</v>
      </c>
      <c r="K334" s="17" t="str">
        <f t="shared" si="176"/>
        <v>160001001</v>
      </c>
      <c r="L334" s="17">
        <f>'Achievement Reward Base'!D363</f>
        <v>210000</v>
      </c>
      <c r="M334" s="17" t="s">
        <v>18</v>
      </c>
      <c r="N334" s="17">
        <f t="shared" si="181"/>
        <v>51629</v>
      </c>
      <c r="O334" s="17">
        <f t="shared" si="181"/>
        <v>52629</v>
      </c>
      <c r="P334" s="17">
        <f t="shared" si="177"/>
        <v>530800009</v>
      </c>
    </row>
    <row r="335" spans="1:16" ht="16.5" customHeight="1" x14ac:dyDescent="0.3">
      <c r="A335" s="17" t="b">
        <v>1</v>
      </c>
      <c r="B335" s="18" t="str">
        <f t="shared" si="173"/>
        <v>업적 - 장비아이템 5성 누적 획득 650 회</v>
      </c>
      <c r="C335" s="17">
        <f t="shared" si="178"/>
        <v>903121017</v>
      </c>
      <c r="D335" s="17">
        <f t="shared" si="179"/>
        <v>903121016</v>
      </c>
      <c r="E335" s="17">
        <f t="shared" si="174"/>
        <v>903121018</v>
      </c>
      <c r="F335" s="91" t="s">
        <v>1104</v>
      </c>
      <c r="G335" s="17">
        <f t="shared" si="180"/>
        <v>3</v>
      </c>
      <c r="H335" s="17">
        <f t="shared" si="175"/>
        <v>1</v>
      </c>
      <c r="I335" s="17">
        <f t="shared" si="175"/>
        <v>2</v>
      </c>
      <c r="J335" s="17">
        <f>'Achievement Reward Base'!B364</f>
        <v>650</v>
      </c>
      <c r="K335" s="17" t="str">
        <f t="shared" si="176"/>
        <v>160001001</v>
      </c>
      <c r="L335" s="17">
        <f>'Achievement Reward Base'!D364</f>
        <v>240000</v>
      </c>
      <c r="M335" s="17" t="s">
        <v>18</v>
      </c>
      <c r="N335" s="17">
        <f t="shared" si="181"/>
        <v>51630</v>
      </c>
      <c r="O335" s="17">
        <f t="shared" si="181"/>
        <v>52630</v>
      </c>
      <c r="P335" s="17">
        <f t="shared" si="177"/>
        <v>530800009</v>
      </c>
    </row>
    <row r="336" spans="1:16" ht="16.5" customHeight="1" x14ac:dyDescent="0.3">
      <c r="A336" s="17" t="b">
        <v>1</v>
      </c>
      <c r="B336" s="18" t="str">
        <f t="shared" si="173"/>
        <v>업적 - 장비아이템 5성 누적 획득 700 회</v>
      </c>
      <c r="C336" s="17">
        <f t="shared" si="178"/>
        <v>903121018</v>
      </c>
      <c r="D336" s="17">
        <f t="shared" si="179"/>
        <v>903121017</v>
      </c>
      <c r="E336" s="17">
        <f t="shared" si="174"/>
        <v>903121019</v>
      </c>
      <c r="F336" s="91" t="s">
        <v>1104</v>
      </c>
      <c r="G336" s="17">
        <f t="shared" si="180"/>
        <v>3</v>
      </c>
      <c r="H336" s="17">
        <f t="shared" si="180"/>
        <v>1</v>
      </c>
      <c r="I336" s="17">
        <f t="shared" si="180"/>
        <v>2</v>
      </c>
      <c r="J336" s="17">
        <f>'Achievement Reward Base'!B365</f>
        <v>700</v>
      </c>
      <c r="K336" s="17" t="str">
        <f t="shared" si="176"/>
        <v>160001001</v>
      </c>
      <c r="L336" s="17">
        <f>'Achievement Reward Base'!D365</f>
        <v>270000</v>
      </c>
      <c r="M336" s="17" t="s">
        <v>18</v>
      </c>
      <c r="N336" s="17">
        <f t="shared" si="181"/>
        <v>51631</v>
      </c>
      <c r="O336" s="17">
        <f t="shared" si="181"/>
        <v>52631</v>
      </c>
      <c r="P336" s="17">
        <f t="shared" si="177"/>
        <v>530800009</v>
      </c>
    </row>
    <row r="337" spans="1:16" ht="16.5" customHeight="1" x14ac:dyDescent="0.3">
      <c r="A337" s="17" t="b">
        <v>1</v>
      </c>
      <c r="B337" s="18" t="str">
        <f t="shared" si="173"/>
        <v>업적 - 장비아이템 5성 누적 획득 750 회</v>
      </c>
      <c r="C337" s="17">
        <f t="shared" si="178"/>
        <v>903121019</v>
      </c>
      <c r="D337" s="17">
        <f t="shared" si="179"/>
        <v>903121018</v>
      </c>
      <c r="E337" s="17">
        <f t="shared" si="174"/>
        <v>903121020</v>
      </c>
      <c r="F337" s="91" t="s">
        <v>1104</v>
      </c>
      <c r="G337" s="17">
        <f t="shared" ref="G337:I342" si="182">G336</f>
        <v>3</v>
      </c>
      <c r="H337" s="17">
        <f t="shared" si="182"/>
        <v>1</v>
      </c>
      <c r="I337" s="17">
        <f t="shared" si="182"/>
        <v>2</v>
      </c>
      <c r="J337" s="17">
        <f>'Achievement Reward Base'!B366</f>
        <v>750</v>
      </c>
      <c r="K337" s="17" t="str">
        <f t="shared" si="176"/>
        <v>160001001</v>
      </c>
      <c r="L337" s="17">
        <f>'Achievement Reward Base'!D366</f>
        <v>300000</v>
      </c>
      <c r="M337" s="17" t="s">
        <v>18</v>
      </c>
      <c r="N337" s="17">
        <f t="shared" si="181"/>
        <v>51632</v>
      </c>
      <c r="O337" s="17">
        <f t="shared" si="181"/>
        <v>52632</v>
      </c>
      <c r="P337" s="17">
        <f t="shared" si="177"/>
        <v>530800009</v>
      </c>
    </row>
    <row r="338" spans="1:16" ht="16.5" customHeight="1" x14ac:dyDescent="0.3">
      <c r="A338" s="17" t="b">
        <v>1</v>
      </c>
      <c r="B338" s="18" t="str">
        <f t="shared" si="173"/>
        <v>업적 - 장비아이템 5성 누적 획득 800 회</v>
      </c>
      <c r="C338" s="17">
        <f t="shared" si="178"/>
        <v>903121020</v>
      </c>
      <c r="D338" s="17">
        <f t="shared" si="179"/>
        <v>903121019</v>
      </c>
      <c r="E338" s="17">
        <f t="shared" si="174"/>
        <v>903121021</v>
      </c>
      <c r="F338" s="91" t="s">
        <v>1104</v>
      </c>
      <c r="G338" s="17">
        <f t="shared" si="182"/>
        <v>3</v>
      </c>
      <c r="H338" s="17">
        <f t="shared" si="182"/>
        <v>1</v>
      </c>
      <c r="I338" s="17">
        <f t="shared" si="182"/>
        <v>2</v>
      </c>
      <c r="J338" s="17">
        <f>'Achievement Reward Base'!B367</f>
        <v>800</v>
      </c>
      <c r="K338" s="17" t="str">
        <f t="shared" si="176"/>
        <v>160001001</v>
      </c>
      <c r="L338" s="17">
        <f>'Achievement Reward Base'!D367</f>
        <v>340000</v>
      </c>
      <c r="M338" s="17" t="s">
        <v>18</v>
      </c>
      <c r="N338" s="17">
        <f t="shared" si="181"/>
        <v>51633</v>
      </c>
      <c r="O338" s="17">
        <f t="shared" si="181"/>
        <v>52633</v>
      </c>
      <c r="P338" s="17">
        <f t="shared" si="177"/>
        <v>530800009</v>
      </c>
    </row>
    <row r="339" spans="1:16" ht="16.5" customHeight="1" x14ac:dyDescent="0.3">
      <c r="A339" s="17" t="b">
        <v>1</v>
      </c>
      <c r="B339" s="18" t="str">
        <f t="shared" si="173"/>
        <v>업적 - 장비아이템 5성 누적 획득 850 회</v>
      </c>
      <c r="C339" s="17">
        <f t="shared" si="178"/>
        <v>903121021</v>
      </c>
      <c r="D339" s="17">
        <f t="shared" si="179"/>
        <v>903121020</v>
      </c>
      <c r="E339" s="17">
        <f t="shared" si="174"/>
        <v>903121022</v>
      </c>
      <c r="F339" s="91" t="s">
        <v>1104</v>
      </c>
      <c r="G339" s="17">
        <f t="shared" si="182"/>
        <v>3</v>
      </c>
      <c r="H339" s="17">
        <f t="shared" si="182"/>
        <v>1</v>
      </c>
      <c r="I339" s="17">
        <f t="shared" si="182"/>
        <v>2</v>
      </c>
      <c r="J339" s="17">
        <f>'Achievement Reward Base'!B368</f>
        <v>850</v>
      </c>
      <c r="K339" s="17" t="str">
        <f t="shared" si="176"/>
        <v>160001001</v>
      </c>
      <c r="L339" s="17">
        <f>'Achievement Reward Base'!D368</f>
        <v>380000</v>
      </c>
      <c r="M339" s="17" t="s">
        <v>18</v>
      </c>
      <c r="N339" s="17">
        <f t="shared" si="181"/>
        <v>51634</v>
      </c>
      <c r="O339" s="17">
        <f t="shared" si="181"/>
        <v>52634</v>
      </c>
      <c r="P339" s="17">
        <f t="shared" si="177"/>
        <v>530800009</v>
      </c>
    </row>
    <row r="340" spans="1:16" ht="16.5" customHeight="1" x14ac:dyDescent="0.3">
      <c r="A340" s="17" t="b">
        <v>1</v>
      </c>
      <c r="B340" s="18" t="str">
        <f t="shared" si="173"/>
        <v>업적 - 장비아이템 5성 누적 획득 900 회</v>
      </c>
      <c r="C340" s="17">
        <f t="shared" si="178"/>
        <v>903121022</v>
      </c>
      <c r="D340" s="17">
        <f t="shared" si="179"/>
        <v>903121021</v>
      </c>
      <c r="E340" s="17">
        <f t="shared" si="174"/>
        <v>903121023</v>
      </c>
      <c r="F340" s="91" t="s">
        <v>1104</v>
      </c>
      <c r="G340" s="17">
        <f t="shared" si="182"/>
        <v>3</v>
      </c>
      <c r="H340" s="17">
        <f t="shared" si="182"/>
        <v>1</v>
      </c>
      <c r="I340" s="17">
        <f t="shared" si="182"/>
        <v>2</v>
      </c>
      <c r="J340" s="17">
        <f>'Achievement Reward Base'!B369</f>
        <v>900</v>
      </c>
      <c r="K340" s="17" t="str">
        <f t="shared" si="176"/>
        <v>160001001</v>
      </c>
      <c r="L340" s="17">
        <f>'Achievement Reward Base'!D369</f>
        <v>420000</v>
      </c>
      <c r="M340" s="17" t="s">
        <v>18</v>
      </c>
      <c r="N340" s="17">
        <f t="shared" si="181"/>
        <v>51635</v>
      </c>
      <c r="O340" s="17">
        <f t="shared" si="181"/>
        <v>52635</v>
      </c>
      <c r="P340" s="17">
        <f t="shared" si="177"/>
        <v>530800009</v>
      </c>
    </row>
    <row r="341" spans="1:16" ht="16.5" customHeight="1" x14ac:dyDescent="0.3">
      <c r="A341" s="17" t="b">
        <v>1</v>
      </c>
      <c r="B341" s="18" t="str">
        <f t="shared" si="173"/>
        <v>업적 - 장비아이템 5성 누적 획득 950 회</v>
      </c>
      <c r="C341" s="17">
        <f t="shared" si="178"/>
        <v>903121023</v>
      </c>
      <c r="D341" s="17">
        <f t="shared" si="179"/>
        <v>903121022</v>
      </c>
      <c r="E341" s="17">
        <f t="shared" si="174"/>
        <v>903121024</v>
      </c>
      <c r="F341" s="91" t="s">
        <v>1104</v>
      </c>
      <c r="G341" s="17">
        <f t="shared" si="182"/>
        <v>3</v>
      </c>
      <c r="H341" s="17">
        <f t="shared" si="182"/>
        <v>1</v>
      </c>
      <c r="I341" s="17">
        <f t="shared" si="182"/>
        <v>2</v>
      </c>
      <c r="J341" s="17">
        <f>'Achievement Reward Base'!B370</f>
        <v>950</v>
      </c>
      <c r="K341" s="17" t="str">
        <f t="shared" si="176"/>
        <v>160001001</v>
      </c>
      <c r="L341" s="17">
        <f>'Achievement Reward Base'!D370</f>
        <v>460000</v>
      </c>
      <c r="M341" s="17" t="s">
        <v>18</v>
      </c>
      <c r="N341" s="17">
        <f t="shared" si="181"/>
        <v>51636</v>
      </c>
      <c r="O341" s="17">
        <f t="shared" si="181"/>
        <v>52636</v>
      </c>
      <c r="P341" s="17">
        <f t="shared" si="177"/>
        <v>530800009</v>
      </c>
    </row>
    <row r="342" spans="1:16" ht="16.5" customHeight="1" x14ac:dyDescent="0.3">
      <c r="A342" s="17" t="b">
        <v>1</v>
      </c>
      <c r="B342" s="18" t="str">
        <f t="shared" si="173"/>
        <v>업적 - 장비아이템 5성 누적 획득 1000 회</v>
      </c>
      <c r="C342" s="17">
        <f t="shared" si="178"/>
        <v>903121024</v>
      </c>
      <c r="D342" s="17">
        <f t="shared" si="179"/>
        <v>903121023</v>
      </c>
      <c r="E342" s="16">
        <v>0</v>
      </c>
      <c r="F342" s="91" t="s">
        <v>1104</v>
      </c>
      <c r="G342" s="17">
        <f t="shared" si="182"/>
        <v>3</v>
      </c>
      <c r="H342" s="17">
        <f t="shared" si="182"/>
        <v>1</v>
      </c>
      <c r="I342" s="17">
        <f t="shared" si="182"/>
        <v>2</v>
      </c>
      <c r="J342" s="17">
        <f>'Achievement Reward Base'!B371</f>
        <v>1000</v>
      </c>
      <c r="K342" s="17" t="str">
        <f t="shared" si="176"/>
        <v>160001001</v>
      </c>
      <c r="L342" s="17">
        <f>'Achievement Reward Base'!D371</f>
        <v>500000</v>
      </c>
      <c r="M342" s="17" t="s">
        <v>18</v>
      </c>
      <c r="N342" s="17">
        <f t="shared" si="181"/>
        <v>51637</v>
      </c>
      <c r="O342" s="17">
        <f t="shared" si="181"/>
        <v>52637</v>
      </c>
      <c r="P342" s="17">
        <f t="shared" si="177"/>
        <v>530800009</v>
      </c>
    </row>
    <row r="343" spans="1:16" ht="16.5" customHeight="1" x14ac:dyDescent="0.3">
      <c r="A343" s="14" t="b">
        <v>1</v>
      </c>
      <c r="B343" s="15" t="str">
        <f t="shared" ref="B343:B366" si="183">"업적 - 장비아이템 6성 누적 획득 " &amp; J343 &amp; " 회"</f>
        <v>업적 - 장비아이템 6성 누적 획득 1 회</v>
      </c>
      <c r="C343" s="16" t="str">
        <f>90&amp;G343&amp;H343&amp;I343&amp;1001</f>
        <v>903131001</v>
      </c>
      <c r="D343" s="16">
        <v>0</v>
      </c>
      <c r="E343" s="14">
        <f>C344</f>
        <v>903131002</v>
      </c>
      <c r="F343" s="92" t="s">
        <v>1104</v>
      </c>
      <c r="G343" s="16">
        <v>3</v>
      </c>
      <c r="H343" s="16">
        <v>1</v>
      </c>
      <c r="I343" s="16">
        <v>3</v>
      </c>
      <c r="J343" s="16">
        <f>'Achievement Reward Base'!B372</f>
        <v>1</v>
      </c>
      <c r="K343" s="16" t="str">
        <f>IF(M343="Gem","160001002",IF(M343="Gold","160001001"))</f>
        <v>160001001</v>
      </c>
      <c r="L343" s="16">
        <f>'Achievement Reward Base'!D372</f>
        <v>10000</v>
      </c>
      <c r="M343" s="20" t="s">
        <v>18</v>
      </c>
      <c r="N343" s="16">
        <f t="shared" si="181"/>
        <v>51638</v>
      </c>
      <c r="O343" s="16">
        <f t="shared" si="181"/>
        <v>52638</v>
      </c>
      <c r="P343" s="16">
        <v>530800009</v>
      </c>
    </row>
    <row r="344" spans="1:16" ht="16.5" customHeight="1" x14ac:dyDescent="0.3">
      <c r="A344" s="14" t="b">
        <v>1</v>
      </c>
      <c r="B344" s="15" t="str">
        <f t="shared" si="183"/>
        <v>업적 - 장비아이템 6성 누적 획득 10 회</v>
      </c>
      <c r="C344" s="14">
        <f>C343+1</f>
        <v>903131002</v>
      </c>
      <c r="D344" s="14" t="str">
        <f>C343</f>
        <v>903131001</v>
      </c>
      <c r="E344" s="14">
        <f t="shared" ref="E344:E365" si="184">C345</f>
        <v>903131003</v>
      </c>
      <c r="F344" s="92" t="s">
        <v>1104</v>
      </c>
      <c r="G344" s="14">
        <f>G343</f>
        <v>3</v>
      </c>
      <c r="H344" s="14">
        <f t="shared" ref="H344:I359" si="185">H343</f>
        <v>1</v>
      </c>
      <c r="I344" s="14">
        <f t="shared" si="185"/>
        <v>3</v>
      </c>
      <c r="J344" s="14">
        <f>'Achievement Reward Base'!B373</f>
        <v>10</v>
      </c>
      <c r="K344" s="14" t="str">
        <f t="shared" ref="K344:K366" si="186">K343</f>
        <v>160001001</v>
      </c>
      <c r="L344" s="14">
        <f>'Achievement Reward Base'!D373</f>
        <v>20000</v>
      </c>
      <c r="M344" s="20" t="s">
        <v>18</v>
      </c>
      <c r="N344" s="14">
        <f t="shared" si="181"/>
        <v>51639</v>
      </c>
      <c r="O344" s="14">
        <f t="shared" si="181"/>
        <v>52639</v>
      </c>
      <c r="P344" s="20">
        <f t="shared" ref="P344:P366" si="187">P343</f>
        <v>530800009</v>
      </c>
    </row>
    <row r="345" spans="1:16" ht="16.5" customHeight="1" x14ac:dyDescent="0.3">
      <c r="A345" s="14" t="b">
        <v>1</v>
      </c>
      <c r="B345" s="15" t="str">
        <f t="shared" si="183"/>
        <v>업적 - 장비아이템 6성 누적 획득 20 회</v>
      </c>
      <c r="C345" s="14">
        <f t="shared" ref="C345:C366" si="188">C344+1</f>
        <v>903131003</v>
      </c>
      <c r="D345" s="14">
        <f t="shared" ref="D345:D366" si="189">C344</f>
        <v>903131002</v>
      </c>
      <c r="E345" s="14">
        <f t="shared" si="184"/>
        <v>903131004</v>
      </c>
      <c r="F345" s="92" t="s">
        <v>1104</v>
      </c>
      <c r="G345" s="14">
        <f t="shared" ref="G345:I360" si="190">G344</f>
        <v>3</v>
      </c>
      <c r="H345" s="14">
        <f t="shared" si="185"/>
        <v>1</v>
      </c>
      <c r="I345" s="14">
        <f t="shared" si="185"/>
        <v>3</v>
      </c>
      <c r="J345" s="14">
        <f>'Achievement Reward Base'!B374</f>
        <v>20</v>
      </c>
      <c r="K345" s="14" t="str">
        <f t="shared" si="186"/>
        <v>160001001</v>
      </c>
      <c r="L345" s="14">
        <f>'Achievement Reward Base'!D374</f>
        <v>40000</v>
      </c>
      <c r="M345" s="20" t="s">
        <v>18</v>
      </c>
      <c r="N345" s="14">
        <f t="shared" si="181"/>
        <v>51640</v>
      </c>
      <c r="O345" s="14">
        <f t="shared" si="181"/>
        <v>52640</v>
      </c>
      <c r="P345" s="20">
        <f t="shared" si="187"/>
        <v>530800009</v>
      </c>
    </row>
    <row r="346" spans="1:16" ht="16.5" customHeight="1" x14ac:dyDescent="0.3">
      <c r="A346" s="14" t="b">
        <v>1</v>
      </c>
      <c r="B346" s="15" t="str">
        <f t="shared" si="183"/>
        <v>업적 - 장비아이템 6성 누적 획득 30 회</v>
      </c>
      <c r="C346" s="14">
        <f t="shared" si="188"/>
        <v>903131004</v>
      </c>
      <c r="D346" s="14">
        <f t="shared" si="189"/>
        <v>903131003</v>
      </c>
      <c r="E346" s="14">
        <f t="shared" si="184"/>
        <v>903131005</v>
      </c>
      <c r="F346" s="92" t="s">
        <v>1104</v>
      </c>
      <c r="G346" s="14">
        <f t="shared" si="190"/>
        <v>3</v>
      </c>
      <c r="H346" s="14">
        <f t="shared" si="185"/>
        <v>1</v>
      </c>
      <c r="I346" s="14">
        <f t="shared" si="185"/>
        <v>3</v>
      </c>
      <c r="J346" s="14">
        <f>'Achievement Reward Base'!B375</f>
        <v>30</v>
      </c>
      <c r="K346" s="14" t="str">
        <f t="shared" si="186"/>
        <v>160001001</v>
      </c>
      <c r="L346" s="14">
        <f>'Achievement Reward Base'!D375</f>
        <v>30000</v>
      </c>
      <c r="M346" s="20" t="s">
        <v>18</v>
      </c>
      <c r="N346" s="14">
        <f t="shared" si="181"/>
        <v>51641</v>
      </c>
      <c r="O346" s="14">
        <f t="shared" si="181"/>
        <v>52641</v>
      </c>
      <c r="P346" s="20">
        <f t="shared" si="187"/>
        <v>530800009</v>
      </c>
    </row>
    <row r="347" spans="1:16" ht="16.5" customHeight="1" x14ac:dyDescent="0.3">
      <c r="A347" s="14" t="b">
        <v>1</v>
      </c>
      <c r="B347" s="15" t="str">
        <f t="shared" si="183"/>
        <v>업적 - 장비아이템 6성 누적 획득 50 회</v>
      </c>
      <c r="C347" s="14">
        <f t="shared" si="188"/>
        <v>903131005</v>
      </c>
      <c r="D347" s="14">
        <f t="shared" si="189"/>
        <v>903131004</v>
      </c>
      <c r="E347" s="14">
        <f t="shared" si="184"/>
        <v>903131006</v>
      </c>
      <c r="F347" s="92" t="s">
        <v>1104</v>
      </c>
      <c r="G347" s="14">
        <f t="shared" si="190"/>
        <v>3</v>
      </c>
      <c r="H347" s="14">
        <f t="shared" si="185"/>
        <v>1</v>
      </c>
      <c r="I347" s="14">
        <f t="shared" si="185"/>
        <v>3</v>
      </c>
      <c r="J347" s="14">
        <f>'Achievement Reward Base'!B376</f>
        <v>50</v>
      </c>
      <c r="K347" s="14" t="str">
        <f t="shared" si="186"/>
        <v>160001001</v>
      </c>
      <c r="L347" s="14">
        <f>'Achievement Reward Base'!D376</f>
        <v>50000</v>
      </c>
      <c r="M347" s="20" t="s">
        <v>18</v>
      </c>
      <c r="N347" s="14">
        <f t="shared" si="181"/>
        <v>51642</v>
      </c>
      <c r="O347" s="14">
        <f t="shared" si="181"/>
        <v>52642</v>
      </c>
      <c r="P347" s="20">
        <f t="shared" si="187"/>
        <v>530800009</v>
      </c>
    </row>
    <row r="348" spans="1:16" ht="16.5" customHeight="1" x14ac:dyDescent="0.3">
      <c r="A348" s="14" t="b">
        <v>1</v>
      </c>
      <c r="B348" s="15" t="str">
        <f t="shared" si="183"/>
        <v>업적 - 장비아이템 6성 누적 획득 100 회</v>
      </c>
      <c r="C348" s="14">
        <f t="shared" si="188"/>
        <v>903131006</v>
      </c>
      <c r="D348" s="14">
        <f t="shared" si="189"/>
        <v>903131005</v>
      </c>
      <c r="E348" s="14">
        <f t="shared" si="184"/>
        <v>903131007</v>
      </c>
      <c r="F348" s="92" t="s">
        <v>1104</v>
      </c>
      <c r="G348" s="14">
        <f t="shared" si="190"/>
        <v>3</v>
      </c>
      <c r="H348" s="14">
        <f t="shared" si="185"/>
        <v>1</v>
      </c>
      <c r="I348" s="14">
        <f t="shared" si="185"/>
        <v>3</v>
      </c>
      <c r="J348" s="14">
        <f>'Achievement Reward Base'!B377</f>
        <v>100</v>
      </c>
      <c r="K348" s="14" t="str">
        <f t="shared" si="186"/>
        <v>160001001</v>
      </c>
      <c r="L348" s="14">
        <f>'Achievement Reward Base'!D377</f>
        <v>75000</v>
      </c>
      <c r="M348" s="20" t="s">
        <v>18</v>
      </c>
      <c r="N348" s="14">
        <f t="shared" si="181"/>
        <v>51643</v>
      </c>
      <c r="O348" s="14">
        <f t="shared" si="181"/>
        <v>52643</v>
      </c>
      <c r="P348" s="20">
        <f t="shared" si="187"/>
        <v>530800009</v>
      </c>
    </row>
    <row r="349" spans="1:16" ht="16.5" customHeight="1" x14ac:dyDescent="0.3">
      <c r="A349" s="14" t="b">
        <v>1</v>
      </c>
      <c r="B349" s="15" t="str">
        <f t="shared" si="183"/>
        <v>업적 - 장비아이템 6성 누적 획득 150 회</v>
      </c>
      <c r="C349" s="14">
        <f t="shared" si="188"/>
        <v>903131007</v>
      </c>
      <c r="D349" s="14">
        <f t="shared" si="189"/>
        <v>903131006</v>
      </c>
      <c r="E349" s="14">
        <f t="shared" si="184"/>
        <v>903131008</v>
      </c>
      <c r="F349" s="92" t="s">
        <v>1104</v>
      </c>
      <c r="G349" s="14">
        <f t="shared" si="190"/>
        <v>3</v>
      </c>
      <c r="H349" s="14">
        <f t="shared" si="185"/>
        <v>1</v>
      </c>
      <c r="I349" s="14">
        <f t="shared" si="185"/>
        <v>3</v>
      </c>
      <c r="J349" s="14">
        <f>'Achievement Reward Base'!B378</f>
        <v>150</v>
      </c>
      <c r="K349" s="14" t="str">
        <f t="shared" si="186"/>
        <v>160001001</v>
      </c>
      <c r="L349" s="14">
        <f>'Achievement Reward Base'!D378</f>
        <v>100000</v>
      </c>
      <c r="M349" s="20" t="s">
        <v>18</v>
      </c>
      <c r="N349" s="14">
        <f t="shared" si="181"/>
        <v>51644</v>
      </c>
      <c r="O349" s="14">
        <f t="shared" si="181"/>
        <v>52644</v>
      </c>
      <c r="P349" s="20">
        <f t="shared" si="187"/>
        <v>530800009</v>
      </c>
    </row>
    <row r="350" spans="1:16" ht="16.5" customHeight="1" x14ac:dyDescent="0.3">
      <c r="A350" s="14" t="b">
        <v>1</v>
      </c>
      <c r="B350" s="15" t="str">
        <f t="shared" si="183"/>
        <v>업적 - 장비아이템 6성 누적 획득 200 회</v>
      </c>
      <c r="C350" s="14">
        <f t="shared" si="188"/>
        <v>903131008</v>
      </c>
      <c r="D350" s="14">
        <f t="shared" si="189"/>
        <v>903131007</v>
      </c>
      <c r="E350" s="14">
        <f t="shared" si="184"/>
        <v>903131009</v>
      </c>
      <c r="F350" s="92" t="s">
        <v>1104</v>
      </c>
      <c r="G350" s="14">
        <f t="shared" si="190"/>
        <v>3</v>
      </c>
      <c r="H350" s="14">
        <f t="shared" si="185"/>
        <v>1</v>
      </c>
      <c r="I350" s="14">
        <f t="shared" si="185"/>
        <v>3</v>
      </c>
      <c r="J350" s="14">
        <f>'Achievement Reward Base'!B379</f>
        <v>200</v>
      </c>
      <c r="K350" s="14" t="str">
        <f t="shared" si="186"/>
        <v>160001001</v>
      </c>
      <c r="L350" s="14">
        <f>'Achievement Reward Base'!D379</f>
        <v>125000</v>
      </c>
      <c r="M350" s="20" t="s">
        <v>18</v>
      </c>
      <c r="N350" s="14">
        <f t="shared" si="181"/>
        <v>51645</v>
      </c>
      <c r="O350" s="14">
        <f t="shared" si="181"/>
        <v>52645</v>
      </c>
      <c r="P350" s="20">
        <f t="shared" si="187"/>
        <v>530800009</v>
      </c>
    </row>
    <row r="351" spans="1:16" ht="16.5" customHeight="1" x14ac:dyDescent="0.3">
      <c r="A351" s="14" t="b">
        <v>1</v>
      </c>
      <c r="B351" s="15" t="str">
        <f t="shared" si="183"/>
        <v>업적 - 장비아이템 6성 누적 획득 250 회</v>
      </c>
      <c r="C351" s="14">
        <f t="shared" si="188"/>
        <v>903131009</v>
      </c>
      <c r="D351" s="14">
        <f t="shared" si="189"/>
        <v>903131008</v>
      </c>
      <c r="E351" s="14">
        <f t="shared" si="184"/>
        <v>903131010</v>
      </c>
      <c r="F351" s="92" t="s">
        <v>1104</v>
      </c>
      <c r="G351" s="14">
        <f t="shared" si="190"/>
        <v>3</v>
      </c>
      <c r="H351" s="14">
        <f t="shared" si="185"/>
        <v>1</v>
      </c>
      <c r="I351" s="14">
        <f t="shared" si="185"/>
        <v>3</v>
      </c>
      <c r="J351" s="14">
        <f>'Achievement Reward Base'!B380</f>
        <v>250</v>
      </c>
      <c r="K351" s="14" t="str">
        <f t="shared" si="186"/>
        <v>160001001</v>
      </c>
      <c r="L351" s="14">
        <f>'Achievement Reward Base'!D380</f>
        <v>150000</v>
      </c>
      <c r="M351" s="20" t="s">
        <v>18</v>
      </c>
      <c r="N351" s="14">
        <f t="shared" si="181"/>
        <v>51646</v>
      </c>
      <c r="O351" s="14">
        <f t="shared" si="181"/>
        <v>52646</v>
      </c>
      <c r="P351" s="20">
        <f t="shared" si="187"/>
        <v>530800009</v>
      </c>
    </row>
    <row r="352" spans="1:16" ht="16.5" customHeight="1" x14ac:dyDescent="0.3">
      <c r="A352" s="14" t="b">
        <v>1</v>
      </c>
      <c r="B352" s="15" t="str">
        <f t="shared" si="183"/>
        <v>업적 - 장비아이템 6성 누적 획득 300 회</v>
      </c>
      <c r="C352" s="14">
        <f t="shared" si="188"/>
        <v>903131010</v>
      </c>
      <c r="D352" s="14">
        <f t="shared" si="189"/>
        <v>903131009</v>
      </c>
      <c r="E352" s="14">
        <f t="shared" si="184"/>
        <v>903131011</v>
      </c>
      <c r="F352" s="92" t="s">
        <v>1104</v>
      </c>
      <c r="G352" s="14">
        <f t="shared" si="190"/>
        <v>3</v>
      </c>
      <c r="H352" s="14">
        <f t="shared" si="185"/>
        <v>1</v>
      </c>
      <c r="I352" s="14">
        <f t="shared" si="185"/>
        <v>3</v>
      </c>
      <c r="J352" s="14">
        <f>'Achievement Reward Base'!B381</f>
        <v>300</v>
      </c>
      <c r="K352" s="14" t="str">
        <f t="shared" si="186"/>
        <v>160001001</v>
      </c>
      <c r="L352" s="14">
        <f>'Achievement Reward Base'!D381</f>
        <v>180000</v>
      </c>
      <c r="M352" s="20" t="s">
        <v>18</v>
      </c>
      <c r="N352" s="14">
        <f t="shared" si="181"/>
        <v>51647</v>
      </c>
      <c r="O352" s="14">
        <f t="shared" si="181"/>
        <v>52647</v>
      </c>
      <c r="P352" s="20">
        <f t="shared" si="187"/>
        <v>530800009</v>
      </c>
    </row>
    <row r="353" spans="1:16" ht="16.5" customHeight="1" x14ac:dyDescent="0.3">
      <c r="A353" s="14" t="b">
        <v>1</v>
      </c>
      <c r="B353" s="15" t="str">
        <f t="shared" si="183"/>
        <v>업적 - 장비아이템 6성 누적 획득 350 회</v>
      </c>
      <c r="C353" s="14">
        <f t="shared" si="188"/>
        <v>903131011</v>
      </c>
      <c r="D353" s="14">
        <f t="shared" si="189"/>
        <v>903131010</v>
      </c>
      <c r="E353" s="14">
        <f t="shared" si="184"/>
        <v>903131012</v>
      </c>
      <c r="F353" s="92" t="s">
        <v>1104</v>
      </c>
      <c r="G353" s="14">
        <f t="shared" si="190"/>
        <v>3</v>
      </c>
      <c r="H353" s="14">
        <f t="shared" si="185"/>
        <v>1</v>
      </c>
      <c r="I353" s="14">
        <f t="shared" si="185"/>
        <v>3</v>
      </c>
      <c r="J353" s="14">
        <f>'Achievement Reward Base'!B382</f>
        <v>350</v>
      </c>
      <c r="K353" s="14" t="str">
        <f t="shared" si="186"/>
        <v>160001001</v>
      </c>
      <c r="L353" s="14">
        <f>'Achievement Reward Base'!D382</f>
        <v>210000</v>
      </c>
      <c r="M353" s="20" t="s">
        <v>18</v>
      </c>
      <c r="N353" s="14">
        <f t="shared" si="181"/>
        <v>51648</v>
      </c>
      <c r="O353" s="14">
        <f t="shared" si="181"/>
        <v>52648</v>
      </c>
      <c r="P353" s="20">
        <f t="shared" si="187"/>
        <v>530800009</v>
      </c>
    </row>
    <row r="354" spans="1:16" ht="16.5" customHeight="1" x14ac:dyDescent="0.3">
      <c r="A354" s="14" t="b">
        <v>1</v>
      </c>
      <c r="B354" s="15" t="str">
        <f t="shared" si="183"/>
        <v>업적 - 장비아이템 6성 누적 획득 400 회</v>
      </c>
      <c r="C354" s="14">
        <f t="shared" si="188"/>
        <v>903131012</v>
      </c>
      <c r="D354" s="14">
        <f t="shared" si="189"/>
        <v>903131011</v>
      </c>
      <c r="E354" s="14">
        <f t="shared" si="184"/>
        <v>903131013</v>
      </c>
      <c r="F354" s="92" t="s">
        <v>1104</v>
      </c>
      <c r="G354" s="14">
        <f t="shared" si="190"/>
        <v>3</v>
      </c>
      <c r="H354" s="14">
        <f t="shared" si="185"/>
        <v>1</v>
      </c>
      <c r="I354" s="14">
        <f t="shared" si="185"/>
        <v>3</v>
      </c>
      <c r="J354" s="14">
        <f>'Achievement Reward Base'!B383</f>
        <v>400</v>
      </c>
      <c r="K354" s="14" t="str">
        <f t="shared" si="186"/>
        <v>160001001</v>
      </c>
      <c r="L354" s="14">
        <f>'Achievement Reward Base'!D383</f>
        <v>240000</v>
      </c>
      <c r="M354" s="20" t="s">
        <v>18</v>
      </c>
      <c r="N354" s="14">
        <f t="shared" si="181"/>
        <v>51649</v>
      </c>
      <c r="O354" s="14">
        <f t="shared" si="181"/>
        <v>52649</v>
      </c>
      <c r="P354" s="20">
        <f t="shared" si="187"/>
        <v>530800009</v>
      </c>
    </row>
    <row r="355" spans="1:16" ht="16.5" customHeight="1" x14ac:dyDescent="0.3">
      <c r="A355" s="14" t="b">
        <v>1</v>
      </c>
      <c r="B355" s="15" t="str">
        <f t="shared" si="183"/>
        <v>업적 - 장비아이템 6성 누적 획득 450 회</v>
      </c>
      <c r="C355" s="14">
        <f t="shared" si="188"/>
        <v>903131013</v>
      </c>
      <c r="D355" s="14">
        <f t="shared" si="189"/>
        <v>903131012</v>
      </c>
      <c r="E355" s="14">
        <f t="shared" si="184"/>
        <v>903131014</v>
      </c>
      <c r="F355" s="92" t="s">
        <v>1104</v>
      </c>
      <c r="G355" s="14">
        <f t="shared" si="190"/>
        <v>3</v>
      </c>
      <c r="H355" s="14">
        <f t="shared" si="185"/>
        <v>1</v>
      </c>
      <c r="I355" s="14">
        <f t="shared" si="185"/>
        <v>3</v>
      </c>
      <c r="J355" s="14">
        <f>'Achievement Reward Base'!B384</f>
        <v>450</v>
      </c>
      <c r="K355" s="14" t="str">
        <f t="shared" si="186"/>
        <v>160001001</v>
      </c>
      <c r="L355" s="14">
        <f>'Achievement Reward Base'!D384</f>
        <v>270000</v>
      </c>
      <c r="M355" s="20" t="s">
        <v>18</v>
      </c>
      <c r="N355" s="14">
        <f t="shared" si="181"/>
        <v>51650</v>
      </c>
      <c r="O355" s="14">
        <f t="shared" si="181"/>
        <v>52650</v>
      </c>
      <c r="P355" s="20">
        <f t="shared" si="187"/>
        <v>530800009</v>
      </c>
    </row>
    <row r="356" spans="1:16" ht="16.5" customHeight="1" x14ac:dyDescent="0.3">
      <c r="A356" s="14" t="b">
        <v>1</v>
      </c>
      <c r="B356" s="15" t="str">
        <f t="shared" si="183"/>
        <v>업적 - 장비아이템 6성 누적 획득 500 회</v>
      </c>
      <c r="C356" s="14">
        <f t="shared" si="188"/>
        <v>903131014</v>
      </c>
      <c r="D356" s="14">
        <f t="shared" si="189"/>
        <v>903131013</v>
      </c>
      <c r="E356" s="14">
        <f t="shared" si="184"/>
        <v>903131015</v>
      </c>
      <c r="F356" s="92" t="s">
        <v>1104</v>
      </c>
      <c r="G356" s="14">
        <f t="shared" si="190"/>
        <v>3</v>
      </c>
      <c r="H356" s="14">
        <f t="shared" si="185"/>
        <v>1</v>
      </c>
      <c r="I356" s="14">
        <f t="shared" si="185"/>
        <v>3</v>
      </c>
      <c r="J356" s="14">
        <f>'Achievement Reward Base'!B385</f>
        <v>500</v>
      </c>
      <c r="K356" s="14" t="str">
        <f t="shared" si="186"/>
        <v>160001001</v>
      </c>
      <c r="L356" s="14">
        <f>'Achievement Reward Base'!D385</f>
        <v>300000</v>
      </c>
      <c r="M356" s="20" t="s">
        <v>18</v>
      </c>
      <c r="N356" s="14">
        <f t="shared" si="181"/>
        <v>51651</v>
      </c>
      <c r="O356" s="14">
        <f t="shared" si="181"/>
        <v>52651</v>
      </c>
      <c r="P356" s="20">
        <f t="shared" si="187"/>
        <v>530800009</v>
      </c>
    </row>
    <row r="357" spans="1:16" ht="16.5" customHeight="1" x14ac:dyDescent="0.3">
      <c r="A357" s="14" t="b">
        <v>1</v>
      </c>
      <c r="B357" s="15" t="str">
        <f t="shared" si="183"/>
        <v>업적 - 장비아이템 6성 누적 획득 550 회</v>
      </c>
      <c r="C357" s="14">
        <f t="shared" si="188"/>
        <v>903131015</v>
      </c>
      <c r="D357" s="14">
        <f t="shared" si="189"/>
        <v>903131014</v>
      </c>
      <c r="E357" s="14">
        <f t="shared" si="184"/>
        <v>903131016</v>
      </c>
      <c r="F357" s="92" t="s">
        <v>1104</v>
      </c>
      <c r="G357" s="14">
        <f t="shared" si="190"/>
        <v>3</v>
      </c>
      <c r="H357" s="14">
        <f t="shared" si="185"/>
        <v>1</v>
      </c>
      <c r="I357" s="14">
        <f t="shared" si="185"/>
        <v>3</v>
      </c>
      <c r="J357" s="14">
        <f>'Achievement Reward Base'!B386</f>
        <v>550</v>
      </c>
      <c r="K357" s="14" t="str">
        <f t="shared" si="186"/>
        <v>160001001</v>
      </c>
      <c r="L357" s="14">
        <f>'Achievement Reward Base'!D386</f>
        <v>340000</v>
      </c>
      <c r="M357" s="20" t="s">
        <v>18</v>
      </c>
      <c r="N357" s="14">
        <f t="shared" si="181"/>
        <v>51652</v>
      </c>
      <c r="O357" s="14">
        <f t="shared" si="181"/>
        <v>52652</v>
      </c>
      <c r="P357" s="20">
        <f t="shared" si="187"/>
        <v>530800009</v>
      </c>
    </row>
    <row r="358" spans="1:16" ht="16.5" customHeight="1" x14ac:dyDescent="0.3">
      <c r="A358" s="14" t="b">
        <v>1</v>
      </c>
      <c r="B358" s="15" t="str">
        <f t="shared" si="183"/>
        <v>업적 - 장비아이템 6성 누적 획득 600 회</v>
      </c>
      <c r="C358" s="14">
        <f t="shared" si="188"/>
        <v>903131016</v>
      </c>
      <c r="D358" s="14">
        <f t="shared" si="189"/>
        <v>903131015</v>
      </c>
      <c r="E358" s="14">
        <f t="shared" si="184"/>
        <v>903131017</v>
      </c>
      <c r="F358" s="92" t="s">
        <v>1104</v>
      </c>
      <c r="G358" s="14">
        <f t="shared" si="190"/>
        <v>3</v>
      </c>
      <c r="H358" s="14">
        <f t="shared" si="185"/>
        <v>1</v>
      </c>
      <c r="I358" s="14">
        <f t="shared" si="185"/>
        <v>3</v>
      </c>
      <c r="J358" s="14">
        <f>'Achievement Reward Base'!B387</f>
        <v>600</v>
      </c>
      <c r="K358" s="14" t="str">
        <f t="shared" si="186"/>
        <v>160001001</v>
      </c>
      <c r="L358" s="14">
        <f>'Achievement Reward Base'!D387</f>
        <v>380000</v>
      </c>
      <c r="M358" s="20" t="s">
        <v>18</v>
      </c>
      <c r="N358" s="14">
        <f t="shared" si="181"/>
        <v>51653</v>
      </c>
      <c r="O358" s="14">
        <f t="shared" si="181"/>
        <v>52653</v>
      </c>
      <c r="P358" s="20">
        <f t="shared" si="187"/>
        <v>530800009</v>
      </c>
    </row>
    <row r="359" spans="1:16" ht="16.5" customHeight="1" x14ac:dyDescent="0.3">
      <c r="A359" s="14" t="b">
        <v>1</v>
      </c>
      <c r="B359" s="15" t="str">
        <f t="shared" si="183"/>
        <v>업적 - 장비아이템 6성 누적 획득 650 회</v>
      </c>
      <c r="C359" s="14">
        <f t="shared" si="188"/>
        <v>903131017</v>
      </c>
      <c r="D359" s="14">
        <f t="shared" si="189"/>
        <v>903131016</v>
      </c>
      <c r="E359" s="14">
        <f t="shared" si="184"/>
        <v>903131018</v>
      </c>
      <c r="F359" s="92" t="s">
        <v>1104</v>
      </c>
      <c r="G359" s="14">
        <f t="shared" si="190"/>
        <v>3</v>
      </c>
      <c r="H359" s="14">
        <f t="shared" si="185"/>
        <v>1</v>
      </c>
      <c r="I359" s="14">
        <f t="shared" si="185"/>
        <v>3</v>
      </c>
      <c r="J359" s="14">
        <f>'Achievement Reward Base'!B388</f>
        <v>650</v>
      </c>
      <c r="K359" s="14" t="str">
        <f t="shared" si="186"/>
        <v>160001001</v>
      </c>
      <c r="L359" s="14">
        <f>'Achievement Reward Base'!D388</f>
        <v>420000</v>
      </c>
      <c r="M359" s="20" t="s">
        <v>18</v>
      </c>
      <c r="N359" s="14">
        <f t="shared" si="181"/>
        <v>51654</v>
      </c>
      <c r="O359" s="14">
        <f t="shared" si="181"/>
        <v>52654</v>
      </c>
      <c r="P359" s="20">
        <f t="shared" si="187"/>
        <v>530800009</v>
      </c>
    </row>
    <row r="360" spans="1:16" ht="16.5" customHeight="1" x14ac:dyDescent="0.3">
      <c r="A360" s="14" t="b">
        <v>1</v>
      </c>
      <c r="B360" s="15" t="str">
        <f t="shared" si="183"/>
        <v>업적 - 장비아이템 6성 누적 획득 700 회</v>
      </c>
      <c r="C360" s="14">
        <f t="shared" si="188"/>
        <v>903131018</v>
      </c>
      <c r="D360" s="14">
        <f t="shared" si="189"/>
        <v>903131017</v>
      </c>
      <c r="E360" s="14">
        <f t="shared" si="184"/>
        <v>903131019</v>
      </c>
      <c r="F360" s="92" t="s">
        <v>1104</v>
      </c>
      <c r="G360" s="14">
        <f t="shared" si="190"/>
        <v>3</v>
      </c>
      <c r="H360" s="14">
        <f t="shared" si="190"/>
        <v>1</v>
      </c>
      <c r="I360" s="14">
        <f t="shared" si="190"/>
        <v>3</v>
      </c>
      <c r="J360" s="14">
        <f>'Achievement Reward Base'!B389</f>
        <v>700</v>
      </c>
      <c r="K360" s="14" t="str">
        <f t="shared" si="186"/>
        <v>160001001</v>
      </c>
      <c r="L360" s="14">
        <f>'Achievement Reward Base'!D389</f>
        <v>460000</v>
      </c>
      <c r="M360" s="20" t="s">
        <v>18</v>
      </c>
      <c r="N360" s="14">
        <f t="shared" si="181"/>
        <v>51655</v>
      </c>
      <c r="O360" s="14">
        <f t="shared" si="181"/>
        <v>52655</v>
      </c>
      <c r="P360" s="20">
        <f t="shared" si="187"/>
        <v>530800009</v>
      </c>
    </row>
    <row r="361" spans="1:16" ht="16.5" customHeight="1" x14ac:dyDescent="0.3">
      <c r="A361" s="14" t="b">
        <v>1</v>
      </c>
      <c r="B361" s="15" t="str">
        <f t="shared" si="183"/>
        <v>업적 - 장비아이템 6성 누적 획득 750 회</v>
      </c>
      <c r="C361" s="14">
        <f t="shared" si="188"/>
        <v>903131019</v>
      </c>
      <c r="D361" s="14">
        <f t="shared" si="189"/>
        <v>903131018</v>
      </c>
      <c r="E361" s="14">
        <f t="shared" si="184"/>
        <v>903131020</v>
      </c>
      <c r="F361" s="92" t="s">
        <v>1104</v>
      </c>
      <c r="G361" s="14">
        <f t="shared" ref="G361:I366" si="191">G360</f>
        <v>3</v>
      </c>
      <c r="H361" s="14">
        <f t="shared" si="191"/>
        <v>1</v>
      </c>
      <c r="I361" s="14">
        <f t="shared" si="191"/>
        <v>3</v>
      </c>
      <c r="J361" s="14">
        <f>'Achievement Reward Base'!B390</f>
        <v>750</v>
      </c>
      <c r="K361" s="14" t="str">
        <f t="shared" si="186"/>
        <v>160001001</v>
      </c>
      <c r="L361" s="14">
        <f>'Achievement Reward Base'!D390</f>
        <v>500000</v>
      </c>
      <c r="M361" s="20" t="s">
        <v>18</v>
      </c>
      <c r="N361" s="14">
        <f t="shared" si="181"/>
        <v>51656</v>
      </c>
      <c r="O361" s="14">
        <f t="shared" si="181"/>
        <v>52656</v>
      </c>
      <c r="P361" s="20">
        <f t="shared" si="187"/>
        <v>530800009</v>
      </c>
    </row>
    <row r="362" spans="1:16" ht="16.5" customHeight="1" x14ac:dyDescent="0.3">
      <c r="A362" s="14" t="b">
        <v>1</v>
      </c>
      <c r="B362" s="15" t="str">
        <f t="shared" si="183"/>
        <v>업적 - 장비아이템 6성 누적 획득 800 회</v>
      </c>
      <c r="C362" s="14">
        <f t="shared" si="188"/>
        <v>903131020</v>
      </c>
      <c r="D362" s="14">
        <f t="shared" si="189"/>
        <v>903131019</v>
      </c>
      <c r="E362" s="14">
        <f t="shared" si="184"/>
        <v>903131021</v>
      </c>
      <c r="F362" s="92" t="s">
        <v>1104</v>
      </c>
      <c r="G362" s="14">
        <f t="shared" si="191"/>
        <v>3</v>
      </c>
      <c r="H362" s="14">
        <f t="shared" si="191"/>
        <v>1</v>
      </c>
      <c r="I362" s="14">
        <f t="shared" si="191"/>
        <v>3</v>
      </c>
      <c r="J362" s="14">
        <f>'Achievement Reward Base'!B391</f>
        <v>800</v>
      </c>
      <c r="K362" s="14" t="str">
        <f t="shared" si="186"/>
        <v>160001001</v>
      </c>
      <c r="L362" s="14">
        <f>'Achievement Reward Base'!D391</f>
        <v>550000</v>
      </c>
      <c r="M362" s="20" t="s">
        <v>18</v>
      </c>
      <c r="N362" s="14">
        <f t="shared" si="181"/>
        <v>51657</v>
      </c>
      <c r="O362" s="14">
        <f t="shared" si="181"/>
        <v>52657</v>
      </c>
      <c r="P362" s="20">
        <f t="shared" si="187"/>
        <v>530800009</v>
      </c>
    </row>
    <row r="363" spans="1:16" ht="16.5" customHeight="1" x14ac:dyDescent="0.3">
      <c r="A363" s="14" t="b">
        <v>1</v>
      </c>
      <c r="B363" s="15" t="str">
        <f t="shared" si="183"/>
        <v>업적 - 장비아이템 6성 누적 획득 850 회</v>
      </c>
      <c r="C363" s="14">
        <f t="shared" si="188"/>
        <v>903131021</v>
      </c>
      <c r="D363" s="14">
        <f t="shared" si="189"/>
        <v>903131020</v>
      </c>
      <c r="E363" s="14">
        <f t="shared" si="184"/>
        <v>903131022</v>
      </c>
      <c r="F363" s="92" t="s">
        <v>1104</v>
      </c>
      <c r="G363" s="14">
        <f t="shared" si="191"/>
        <v>3</v>
      </c>
      <c r="H363" s="14">
        <f t="shared" si="191"/>
        <v>1</v>
      </c>
      <c r="I363" s="14">
        <f t="shared" si="191"/>
        <v>3</v>
      </c>
      <c r="J363" s="14">
        <f>'Achievement Reward Base'!B392</f>
        <v>850</v>
      </c>
      <c r="K363" s="14" t="str">
        <f t="shared" si="186"/>
        <v>160001001</v>
      </c>
      <c r="L363" s="14">
        <f>'Achievement Reward Base'!D392</f>
        <v>600000</v>
      </c>
      <c r="M363" s="20" t="s">
        <v>18</v>
      </c>
      <c r="N363" s="14">
        <f t="shared" si="181"/>
        <v>51658</v>
      </c>
      <c r="O363" s="14">
        <f t="shared" si="181"/>
        <v>52658</v>
      </c>
      <c r="P363" s="20">
        <f t="shared" si="187"/>
        <v>530800009</v>
      </c>
    </row>
    <row r="364" spans="1:16" ht="16.5" customHeight="1" x14ac:dyDescent="0.3">
      <c r="A364" s="14" t="b">
        <v>1</v>
      </c>
      <c r="B364" s="15" t="str">
        <f t="shared" si="183"/>
        <v>업적 - 장비아이템 6성 누적 획득 900 회</v>
      </c>
      <c r="C364" s="14">
        <f t="shared" si="188"/>
        <v>903131022</v>
      </c>
      <c r="D364" s="14">
        <f t="shared" si="189"/>
        <v>903131021</v>
      </c>
      <c r="E364" s="14">
        <f t="shared" si="184"/>
        <v>903131023</v>
      </c>
      <c r="F364" s="92" t="s">
        <v>1104</v>
      </c>
      <c r="G364" s="14">
        <f t="shared" si="191"/>
        <v>3</v>
      </c>
      <c r="H364" s="14">
        <f t="shared" si="191"/>
        <v>1</v>
      </c>
      <c r="I364" s="14">
        <f t="shared" si="191"/>
        <v>3</v>
      </c>
      <c r="J364" s="14">
        <f>'Achievement Reward Base'!B393</f>
        <v>900</v>
      </c>
      <c r="K364" s="14" t="str">
        <f t="shared" si="186"/>
        <v>160001001</v>
      </c>
      <c r="L364" s="14">
        <f>'Achievement Reward Base'!D393</f>
        <v>650000</v>
      </c>
      <c r="M364" s="20" t="s">
        <v>18</v>
      </c>
      <c r="N364" s="14">
        <f t="shared" si="181"/>
        <v>51659</v>
      </c>
      <c r="O364" s="14">
        <f t="shared" si="181"/>
        <v>52659</v>
      </c>
      <c r="P364" s="20">
        <f t="shared" si="187"/>
        <v>530800009</v>
      </c>
    </row>
    <row r="365" spans="1:16" ht="16.5" customHeight="1" x14ac:dyDescent="0.3">
      <c r="A365" s="14" t="b">
        <v>1</v>
      </c>
      <c r="B365" s="15" t="str">
        <f t="shared" si="183"/>
        <v>업적 - 장비아이템 6성 누적 획득 950 회</v>
      </c>
      <c r="C365" s="14">
        <f t="shared" si="188"/>
        <v>903131023</v>
      </c>
      <c r="D365" s="14">
        <f t="shared" si="189"/>
        <v>903131022</v>
      </c>
      <c r="E365" s="14">
        <f t="shared" si="184"/>
        <v>903131024</v>
      </c>
      <c r="F365" s="92" t="s">
        <v>1104</v>
      </c>
      <c r="G365" s="14">
        <f t="shared" si="191"/>
        <v>3</v>
      </c>
      <c r="H365" s="14">
        <f t="shared" si="191"/>
        <v>1</v>
      </c>
      <c r="I365" s="14">
        <f t="shared" si="191"/>
        <v>3</v>
      </c>
      <c r="J365" s="14">
        <f>'Achievement Reward Base'!B394</f>
        <v>950</v>
      </c>
      <c r="K365" s="14" t="str">
        <f t="shared" si="186"/>
        <v>160001001</v>
      </c>
      <c r="L365" s="14">
        <f>'Achievement Reward Base'!D394</f>
        <v>700000</v>
      </c>
      <c r="M365" s="20" t="s">
        <v>18</v>
      </c>
      <c r="N365" s="14">
        <f t="shared" si="181"/>
        <v>51660</v>
      </c>
      <c r="O365" s="14">
        <f t="shared" si="181"/>
        <v>52660</v>
      </c>
      <c r="P365" s="20">
        <f t="shared" si="187"/>
        <v>530800009</v>
      </c>
    </row>
    <row r="366" spans="1:16" ht="16.5" customHeight="1" x14ac:dyDescent="0.3">
      <c r="A366" s="14" t="b">
        <v>1</v>
      </c>
      <c r="B366" s="15" t="str">
        <f t="shared" si="183"/>
        <v>업적 - 장비아이템 6성 누적 획득 1000 회</v>
      </c>
      <c r="C366" s="14">
        <f t="shared" si="188"/>
        <v>903131024</v>
      </c>
      <c r="D366" s="14">
        <f t="shared" si="189"/>
        <v>903131023</v>
      </c>
      <c r="E366" s="16">
        <v>0</v>
      </c>
      <c r="F366" s="92" t="s">
        <v>1104</v>
      </c>
      <c r="G366" s="14">
        <f t="shared" si="191"/>
        <v>3</v>
      </c>
      <c r="H366" s="14">
        <f t="shared" si="191"/>
        <v>1</v>
      </c>
      <c r="I366" s="14">
        <f t="shared" si="191"/>
        <v>3</v>
      </c>
      <c r="J366" s="14">
        <f>'Achievement Reward Base'!B395</f>
        <v>1000</v>
      </c>
      <c r="K366" s="14" t="str">
        <f t="shared" si="186"/>
        <v>160001001</v>
      </c>
      <c r="L366" s="14">
        <f>'Achievement Reward Base'!D395</f>
        <v>750000</v>
      </c>
      <c r="M366" s="20" t="s">
        <v>18</v>
      </c>
      <c r="N366" s="14">
        <f t="shared" si="181"/>
        <v>51661</v>
      </c>
      <c r="O366" s="14">
        <f t="shared" si="181"/>
        <v>52661</v>
      </c>
      <c r="P366" s="20">
        <f t="shared" si="187"/>
        <v>530800009</v>
      </c>
    </row>
    <row r="367" spans="1:16" ht="16.5" customHeight="1" x14ac:dyDescent="0.3">
      <c r="A367" s="17" t="b">
        <v>1</v>
      </c>
      <c r="B367" s="18" t="str">
        <f t="shared" ref="B367:B380" si="192">"업적 - 장비아이템 7성 누적 획득 " &amp; J367 &amp; " 회"</f>
        <v>업적 - 장비아이템 7성 누적 획득 1 회</v>
      </c>
      <c r="C367" s="16" t="str">
        <f>90&amp;G367&amp;H367&amp;I367&amp;1001</f>
        <v>903141001</v>
      </c>
      <c r="D367" s="16">
        <v>0</v>
      </c>
      <c r="E367" s="17">
        <f>C368</f>
        <v>903141002</v>
      </c>
      <c r="F367" s="91" t="s">
        <v>1104</v>
      </c>
      <c r="G367" s="16">
        <v>3</v>
      </c>
      <c r="H367" s="16">
        <v>1</v>
      </c>
      <c r="I367" s="16">
        <v>4</v>
      </c>
      <c r="J367" s="16">
        <f>'Achievement Reward Base'!B396</f>
        <v>1</v>
      </c>
      <c r="K367" s="16" t="str">
        <f>IF(M367="Gem","160001002",IF(M367="Gold","160001001"))</f>
        <v>160001001</v>
      </c>
      <c r="L367" s="16">
        <f>'Achievement Reward Base'!D396</f>
        <v>20000</v>
      </c>
      <c r="M367" s="21" t="s">
        <v>18</v>
      </c>
      <c r="N367" s="16">
        <f t="shared" si="181"/>
        <v>51662</v>
      </c>
      <c r="O367" s="16">
        <f t="shared" si="181"/>
        <v>52662</v>
      </c>
      <c r="P367" s="16">
        <v>530800009</v>
      </c>
    </row>
    <row r="368" spans="1:16" ht="16.5" customHeight="1" x14ac:dyDescent="0.3">
      <c r="A368" s="17" t="b">
        <v>1</v>
      </c>
      <c r="B368" s="18" t="str">
        <f t="shared" si="192"/>
        <v>업적 - 장비아이템 7성 누적 획득 10 회</v>
      </c>
      <c r="C368" s="17">
        <f>C367+1</f>
        <v>903141002</v>
      </c>
      <c r="D368" s="17" t="str">
        <f>C367</f>
        <v>903141001</v>
      </c>
      <c r="E368" s="17">
        <f t="shared" ref="E368:E379" si="193">C369</f>
        <v>903141003</v>
      </c>
      <c r="F368" s="91" t="s">
        <v>1104</v>
      </c>
      <c r="G368" s="17">
        <f>G367</f>
        <v>3</v>
      </c>
      <c r="H368" s="17">
        <f t="shared" ref="H368:I380" si="194">H367</f>
        <v>1</v>
      </c>
      <c r="I368" s="17">
        <f t="shared" si="194"/>
        <v>4</v>
      </c>
      <c r="J368" s="17">
        <f>'Achievement Reward Base'!B397</f>
        <v>10</v>
      </c>
      <c r="K368" s="17" t="str">
        <f t="shared" ref="K368:K380" si="195">K367</f>
        <v>160001001</v>
      </c>
      <c r="L368" s="17">
        <f>'Achievement Reward Base'!D397</f>
        <v>40000</v>
      </c>
      <c r="M368" s="21" t="s">
        <v>18</v>
      </c>
      <c r="N368" s="17">
        <f t="shared" si="181"/>
        <v>51663</v>
      </c>
      <c r="O368" s="17">
        <f t="shared" si="181"/>
        <v>52663</v>
      </c>
      <c r="P368" s="21">
        <f t="shared" ref="P368:P380" si="196">P367</f>
        <v>530800009</v>
      </c>
    </row>
    <row r="369" spans="1:16" ht="16.5" customHeight="1" x14ac:dyDescent="0.3">
      <c r="A369" s="17" t="b">
        <v>1</v>
      </c>
      <c r="B369" s="18" t="str">
        <f t="shared" si="192"/>
        <v>업적 - 장비아이템 7성 누적 획득 20 회</v>
      </c>
      <c r="C369" s="17">
        <f t="shared" ref="C369:C380" si="197">C368+1</f>
        <v>903141003</v>
      </c>
      <c r="D369" s="17">
        <f t="shared" ref="D369:D380" si="198">C368</f>
        <v>903141002</v>
      </c>
      <c r="E369" s="17">
        <f t="shared" si="193"/>
        <v>903141004</v>
      </c>
      <c r="F369" s="91" t="s">
        <v>1104</v>
      </c>
      <c r="G369" s="17">
        <f t="shared" ref="G369:G380" si="199">G368</f>
        <v>3</v>
      </c>
      <c r="H369" s="17">
        <f t="shared" si="194"/>
        <v>1</v>
      </c>
      <c r="I369" s="17">
        <f t="shared" si="194"/>
        <v>4</v>
      </c>
      <c r="J369" s="17">
        <f>'Achievement Reward Base'!B398</f>
        <v>20</v>
      </c>
      <c r="K369" s="17" t="str">
        <f t="shared" si="195"/>
        <v>160001001</v>
      </c>
      <c r="L369" s="17">
        <f>'Achievement Reward Base'!D398</f>
        <v>80000</v>
      </c>
      <c r="M369" s="21" t="s">
        <v>18</v>
      </c>
      <c r="N369" s="17">
        <f t="shared" si="181"/>
        <v>51664</v>
      </c>
      <c r="O369" s="17">
        <f t="shared" si="181"/>
        <v>52664</v>
      </c>
      <c r="P369" s="21">
        <f t="shared" si="196"/>
        <v>530800009</v>
      </c>
    </row>
    <row r="370" spans="1:16" ht="16.5" customHeight="1" x14ac:dyDescent="0.3">
      <c r="A370" s="17" t="b">
        <v>1</v>
      </c>
      <c r="B370" s="18" t="str">
        <f t="shared" si="192"/>
        <v>업적 - 장비아이템 7성 누적 획득 30 회</v>
      </c>
      <c r="C370" s="17">
        <f t="shared" si="197"/>
        <v>903141004</v>
      </c>
      <c r="D370" s="17">
        <f t="shared" si="198"/>
        <v>903141003</v>
      </c>
      <c r="E370" s="17">
        <f t="shared" si="193"/>
        <v>903141005</v>
      </c>
      <c r="F370" s="91" t="s">
        <v>1104</v>
      </c>
      <c r="G370" s="17">
        <f t="shared" si="199"/>
        <v>3</v>
      </c>
      <c r="H370" s="17">
        <f t="shared" si="194"/>
        <v>1</v>
      </c>
      <c r="I370" s="17">
        <f t="shared" si="194"/>
        <v>4</v>
      </c>
      <c r="J370" s="17">
        <f>'Achievement Reward Base'!B399</f>
        <v>30</v>
      </c>
      <c r="K370" s="17" t="str">
        <f t="shared" si="195"/>
        <v>160001001</v>
      </c>
      <c r="L370" s="17">
        <f>'Achievement Reward Base'!D399</f>
        <v>60000</v>
      </c>
      <c r="M370" s="21" t="s">
        <v>18</v>
      </c>
      <c r="N370" s="17">
        <f t="shared" si="181"/>
        <v>51665</v>
      </c>
      <c r="O370" s="17">
        <f t="shared" si="181"/>
        <v>52665</v>
      </c>
      <c r="P370" s="21">
        <f t="shared" si="196"/>
        <v>530800009</v>
      </c>
    </row>
    <row r="371" spans="1:16" ht="16.5" customHeight="1" x14ac:dyDescent="0.3">
      <c r="A371" s="17" t="b">
        <v>1</v>
      </c>
      <c r="B371" s="18" t="str">
        <f t="shared" si="192"/>
        <v>업적 - 장비아이템 7성 누적 획득 50 회</v>
      </c>
      <c r="C371" s="17">
        <f t="shared" si="197"/>
        <v>903141005</v>
      </c>
      <c r="D371" s="17">
        <f t="shared" si="198"/>
        <v>903141004</v>
      </c>
      <c r="E371" s="17">
        <f t="shared" si="193"/>
        <v>903141006</v>
      </c>
      <c r="F371" s="91" t="s">
        <v>1104</v>
      </c>
      <c r="G371" s="17">
        <f t="shared" si="199"/>
        <v>3</v>
      </c>
      <c r="H371" s="17">
        <f t="shared" si="194"/>
        <v>1</v>
      </c>
      <c r="I371" s="17">
        <f t="shared" si="194"/>
        <v>4</v>
      </c>
      <c r="J371" s="17">
        <f>'Achievement Reward Base'!B400</f>
        <v>50</v>
      </c>
      <c r="K371" s="17" t="str">
        <f t="shared" si="195"/>
        <v>160001001</v>
      </c>
      <c r="L371" s="17">
        <f>'Achievement Reward Base'!D400</f>
        <v>90000</v>
      </c>
      <c r="M371" s="21" t="s">
        <v>18</v>
      </c>
      <c r="N371" s="17">
        <f t="shared" si="181"/>
        <v>51666</v>
      </c>
      <c r="O371" s="17">
        <f t="shared" si="181"/>
        <v>52666</v>
      </c>
      <c r="P371" s="21">
        <f t="shared" si="196"/>
        <v>530800009</v>
      </c>
    </row>
    <row r="372" spans="1:16" ht="16.5" customHeight="1" x14ac:dyDescent="0.3">
      <c r="A372" s="17" t="b">
        <v>1</v>
      </c>
      <c r="B372" s="18" t="str">
        <f t="shared" si="192"/>
        <v>업적 - 장비아이템 7성 누적 획득 100 회</v>
      </c>
      <c r="C372" s="17">
        <f t="shared" si="197"/>
        <v>903141006</v>
      </c>
      <c r="D372" s="17">
        <f t="shared" si="198"/>
        <v>903141005</v>
      </c>
      <c r="E372" s="17">
        <f t="shared" si="193"/>
        <v>903141007</v>
      </c>
      <c r="F372" s="91" t="s">
        <v>1104</v>
      </c>
      <c r="G372" s="17">
        <f t="shared" si="199"/>
        <v>3</v>
      </c>
      <c r="H372" s="17">
        <f t="shared" si="194"/>
        <v>1</v>
      </c>
      <c r="I372" s="17">
        <f t="shared" si="194"/>
        <v>4</v>
      </c>
      <c r="J372" s="17">
        <f>'Achievement Reward Base'!B401</f>
        <v>100</v>
      </c>
      <c r="K372" s="17" t="str">
        <f t="shared" si="195"/>
        <v>160001001</v>
      </c>
      <c r="L372" s="17">
        <f>'Achievement Reward Base'!D401</f>
        <v>120000</v>
      </c>
      <c r="M372" s="21" t="s">
        <v>18</v>
      </c>
      <c r="N372" s="17">
        <f t="shared" si="181"/>
        <v>51667</v>
      </c>
      <c r="O372" s="17">
        <f t="shared" si="181"/>
        <v>52667</v>
      </c>
      <c r="P372" s="21">
        <f t="shared" si="196"/>
        <v>530800009</v>
      </c>
    </row>
    <row r="373" spans="1:16" ht="16.5" customHeight="1" x14ac:dyDescent="0.3">
      <c r="A373" s="17" t="b">
        <v>1</v>
      </c>
      <c r="B373" s="18" t="str">
        <f t="shared" si="192"/>
        <v>업적 - 장비아이템 7성 누적 획득 150 회</v>
      </c>
      <c r="C373" s="17">
        <f t="shared" si="197"/>
        <v>903141007</v>
      </c>
      <c r="D373" s="17">
        <f t="shared" si="198"/>
        <v>903141006</v>
      </c>
      <c r="E373" s="17">
        <f t="shared" si="193"/>
        <v>903141008</v>
      </c>
      <c r="F373" s="91" t="s">
        <v>1104</v>
      </c>
      <c r="G373" s="17">
        <f t="shared" si="199"/>
        <v>3</v>
      </c>
      <c r="H373" s="17">
        <f t="shared" si="194"/>
        <v>1</v>
      </c>
      <c r="I373" s="17">
        <f t="shared" si="194"/>
        <v>4</v>
      </c>
      <c r="J373" s="17">
        <f>'Achievement Reward Base'!B402</f>
        <v>150</v>
      </c>
      <c r="K373" s="17" t="str">
        <f t="shared" si="195"/>
        <v>160001001</v>
      </c>
      <c r="L373" s="17">
        <f>'Achievement Reward Base'!D402</f>
        <v>150000</v>
      </c>
      <c r="M373" s="21" t="s">
        <v>18</v>
      </c>
      <c r="N373" s="17">
        <f t="shared" si="181"/>
        <v>51668</v>
      </c>
      <c r="O373" s="17">
        <f t="shared" si="181"/>
        <v>52668</v>
      </c>
      <c r="P373" s="21">
        <f t="shared" si="196"/>
        <v>530800009</v>
      </c>
    </row>
    <row r="374" spans="1:16" ht="16.5" customHeight="1" x14ac:dyDescent="0.3">
      <c r="A374" s="17" t="b">
        <v>1</v>
      </c>
      <c r="B374" s="18" t="str">
        <f t="shared" si="192"/>
        <v>업적 - 장비아이템 7성 누적 획득 200 회</v>
      </c>
      <c r="C374" s="17">
        <f t="shared" si="197"/>
        <v>903141008</v>
      </c>
      <c r="D374" s="17">
        <f t="shared" si="198"/>
        <v>903141007</v>
      </c>
      <c r="E374" s="17">
        <f t="shared" si="193"/>
        <v>903141009</v>
      </c>
      <c r="F374" s="91" t="s">
        <v>1104</v>
      </c>
      <c r="G374" s="17">
        <f t="shared" si="199"/>
        <v>3</v>
      </c>
      <c r="H374" s="17">
        <f t="shared" si="194"/>
        <v>1</v>
      </c>
      <c r="I374" s="17">
        <f t="shared" si="194"/>
        <v>4</v>
      </c>
      <c r="J374" s="17">
        <f>'Achievement Reward Base'!B403</f>
        <v>200</v>
      </c>
      <c r="K374" s="17" t="str">
        <f t="shared" si="195"/>
        <v>160001001</v>
      </c>
      <c r="L374" s="17">
        <f>'Achievement Reward Base'!D403</f>
        <v>180000</v>
      </c>
      <c r="M374" s="21" t="s">
        <v>18</v>
      </c>
      <c r="N374" s="17">
        <f t="shared" si="181"/>
        <v>51669</v>
      </c>
      <c r="O374" s="17">
        <f t="shared" si="181"/>
        <v>52669</v>
      </c>
      <c r="P374" s="21">
        <f t="shared" si="196"/>
        <v>530800009</v>
      </c>
    </row>
    <row r="375" spans="1:16" ht="16.5" customHeight="1" x14ac:dyDescent="0.3">
      <c r="A375" s="17" t="b">
        <v>1</v>
      </c>
      <c r="B375" s="18" t="str">
        <f t="shared" si="192"/>
        <v>업적 - 장비아이템 7성 누적 획득 250 회</v>
      </c>
      <c r="C375" s="17">
        <f t="shared" si="197"/>
        <v>903141009</v>
      </c>
      <c r="D375" s="17">
        <f t="shared" si="198"/>
        <v>903141008</v>
      </c>
      <c r="E375" s="17">
        <f t="shared" si="193"/>
        <v>903141010</v>
      </c>
      <c r="F375" s="91" t="s">
        <v>1104</v>
      </c>
      <c r="G375" s="17">
        <f t="shared" si="199"/>
        <v>3</v>
      </c>
      <c r="H375" s="17">
        <f t="shared" si="194"/>
        <v>1</v>
      </c>
      <c r="I375" s="17">
        <f t="shared" si="194"/>
        <v>4</v>
      </c>
      <c r="J375" s="17">
        <f>'Achievement Reward Base'!B404</f>
        <v>250</v>
      </c>
      <c r="K375" s="17" t="str">
        <f t="shared" si="195"/>
        <v>160001001</v>
      </c>
      <c r="L375" s="17">
        <f>'Achievement Reward Base'!D404</f>
        <v>220000</v>
      </c>
      <c r="M375" s="21" t="s">
        <v>18</v>
      </c>
      <c r="N375" s="17">
        <f t="shared" si="181"/>
        <v>51670</v>
      </c>
      <c r="O375" s="17">
        <f t="shared" si="181"/>
        <v>52670</v>
      </c>
      <c r="P375" s="21">
        <f t="shared" si="196"/>
        <v>530800009</v>
      </c>
    </row>
    <row r="376" spans="1:16" ht="16.5" customHeight="1" x14ac:dyDescent="0.3">
      <c r="A376" s="17" t="b">
        <v>1</v>
      </c>
      <c r="B376" s="18" t="str">
        <f t="shared" si="192"/>
        <v>업적 - 장비아이템 7성 누적 획득 300 회</v>
      </c>
      <c r="C376" s="17">
        <f t="shared" si="197"/>
        <v>903141010</v>
      </c>
      <c r="D376" s="17">
        <f t="shared" si="198"/>
        <v>903141009</v>
      </c>
      <c r="E376" s="17">
        <f t="shared" si="193"/>
        <v>903141011</v>
      </c>
      <c r="F376" s="91" t="s">
        <v>1104</v>
      </c>
      <c r="G376" s="17">
        <f t="shared" si="199"/>
        <v>3</v>
      </c>
      <c r="H376" s="17">
        <f t="shared" si="194"/>
        <v>1</v>
      </c>
      <c r="I376" s="17">
        <f t="shared" si="194"/>
        <v>4</v>
      </c>
      <c r="J376" s="17">
        <f>'Achievement Reward Base'!B405</f>
        <v>300</v>
      </c>
      <c r="K376" s="17" t="str">
        <f t="shared" si="195"/>
        <v>160001001</v>
      </c>
      <c r="L376" s="17">
        <f>'Achievement Reward Base'!D405</f>
        <v>260000</v>
      </c>
      <c r="M376" s="21" t="s">
        <v>18</v>
      </c>
      <c r="N376" s="17">
        <f t="shared" si="181"/>
        <v>51671</v>
      </c>
      <c r="O376" s="17">
        <f t="shared" si="181"/>
        <v>52671</v>
      </c>
      <c r="P376" s="21">
        <f t="shared" si="196"/>
        <v>530800009</v>
      </c>
    </row>
    <row r="377" spans="1:16" ht="16.5" customHeight="1" x14ac:dyDescent="0.3">
      <c r="A377" s="17" t="b">
        <v>1</v>
      </c>
      <c r="B377" s="18" t="str">
        <f t="shared" si="192"/>
        <v>업적 - 장비아이템 7성 누적 획득 350 회</v>
      </c>
      <c r="C377" s="17">
        <f t="shared" si="197"/>
        <v>903141011</v>
      </c>
      <c r="D377" s="17">
        <f t="shared" si="198"/>
        <v>903141010</v>
      </c>
      <c r="E377" s="17">
        <f t="shared" si="193"/>
        <v>903141012</v>
      </c>
      <c r="F377" s="91" t="s">
        <v>1104</v>
      </c>
      <c r="G377" s="17">
        <f t="shared" si="199"/>
        <v>3</v>
      </c>
      <c r="H377" s="17">
        <f t="shared" si="194"/>
        <v>1</v>
      </c>
      <c r="I377" s="17">
        <f t="shared" si="194"/>
        <v>4</v>
      </c>
      <c r="J377" s="17">
        <f>'Achievement Reward Base'!B406</f>
        <v>350</v>
      </c>
      <c r="K377" s="17" t="str">
        <f t="shared" si="195"/>
        <v>160001001</v>
      </c>
      <c r="L377" s="17">
        <f>'Achievement Reward Base'!D406</f>
        <v>300000</v>
      </c>
      <c r="M377" s="21" t="s">
        <v>18</v>
      </c>
      <c r="N377" s="17">
        <f t="shared" si="181"/>
        <v>51672</v>
      </c>
      <c r="O377" s="17">
        <f t="shared" si="181"/>
        <v>52672</v>
      </c>
      <c r="P377" s="21">
        <f t="shared" si="196"/>
        <v>530800009</v>
      </c>
    </row>
    <row r="378" spans="1:16" ht="16.5" customHeight="1" x14ac:dyDescent="0.3">
      <c r="A378" s="17" t="b">
        <v>1</v>
      </c>
      <c r="B378" s="18" t="str">
        <f t="shared" si="192"/>
        <v>업적 - 장비아이템 7성 누적 획득 400 회</v>
      </c>
      <c r="C378" s="17">
        <f t="shared" si="197"/>
        <v>903141012</v>
      </c>
      <c r="D378" s="17">
        <f t="shared" si="198"/>
        <v>903141011</v>
      </c>
      <c r="E378" s="17">
        <f t="shared" si="193"/>
        <v>903141013</v>
      </c>
      <c r="F378" s="91" t="s">
        <v>1104</v>
      </c>
      <c r="G378" s="17">
        <f t="shared" si="199"/>
        <v>3</v>
      </c>
      <c r="H378" s="17">
        <f t="shared" si="194"/>
        <v>1</v>
      </c>
      <c r="I378" s="17">
        <f t="shared" si="194"/>
        <v>4</v>
      </c>
      <c r="J378" s="17">
        <f>'Achievement Reward Base'!B407</f>
        <v>400</v>
      </c>
      <c r="K378" s="17" t="str">
        <f t="shared" si="195"/>
        <v>160001001</v>
      </c>
      <c r="L378" s="17">
        <f>'Achievement Reward Base'!D407</f>
        <v>350000</v>
      </c>
      <c r="M378" s="21" t="s">
        <v>18</v>
      </c>
      <c r="N378" s="17">
        <f t="shared" si="181"/>
        <v>51673</v>
      </c>
      <c r="O378" s="17">
        <f t="shared" si="181"/>
        <v>52673</v>
      </c>
      <c r="P378" s="21">
        <f t="shared" si="196"/>
        <v>530800009</v>
      </c>
    </row>
    <row r="379" spans="1:16" ht="16.5" customHeight="1" x14ac:dyDescent="0.3">
      <c r="A379" s="17" t="b">
        <v>1</v>
      </c>
      <c r="B379" s="18" t="str">
        <f t="shared" si="192"/>
        <v>업적 - 장비아이템 7성 누적 획득 450 회</v>
      </c>
      <c r="C379" s="17">
        <f t="shared" si="197"/>
        <v>903141013</v>
      </c>
      <c r="D379" s="17">
        <f t="shared" si="198"/>
        <v>903141012</v>
      </c>
      <c r="E379" s="17">
        <f t="shared" si="193"/>
        <v>903141014</v>
      </c>
      <c r="F379" s="91" t="s">
        <v>1104</v>
      </c>
      <c r="G379" s="17">
        <f t="shared" si="199"/>
        <v>3</v>
      </c>
      <c r="H379" s="17">
        <f t="shared" si="194"/>
        <v>1</v>
      </c>
      <c r="I379" s="17">
        <f t="shared" si="194"/>
        <v>4</v>
      </c>
      <c r="J379" s="17">
        <f>'Achievement Reward Base'!B408</f>
        <v>450</v>
      </c>
      <c r="K379" s="17" t="str">
        <f t="shared" si="195"/>
        <v>160001001</v>
      </c>
      <c r="L379" s="17">
        <f>'Achievement Reward Base'!D408</f>
        <v>400000</v>
      </c>
      <c r="M379" s="21" t="s">
        <v>18</v>
      </c>
      <c r="N379" s="17">
        <f t="shared" si="181"/>
        <v>51674</v>
      </c>
      <c r="O379" s="17">
        <f t="shared" si="181"/>
        <v>52674</v>
      </c>
      <c r="P379" s="21">
        <f t="shared" si="196"/>
        <v>530800009</v>
      </c>
    </row>
    <row r="380" spans="1:16" ht="16.5" customHeight="1" x14ac:dyDescent="0.3">
      <c r="A380" s="17" t="b">
        <v>1</v>
      </c>
      <c r="B380" s="18" t="str">
        <f t="shared" si="192"/>
        <v>업적 - 장비아이템 7성 누적 획득 500 회</v>
      </c>
      <c r="C380" s="17">
        <f t="shared" si="197"/>
        <v>903141014</v>
      </c>
      <c r="D380" s="17">
        <f t="shared" si="198"/>
        <v>903141013</v>
      </c>
      <c r="E380" s="16">
        <v>0</v>
      </c>
      <c r="F380" s="91" t="s">
        <v>1104</v>
      </c>
      <c r="G380" s="17">
        <f t="shared" si="199"/>
        <v>3</v>
      </c>
      <c r="H380" s="17">
        <f t="shared" si="194"/>
        <v>1</v>
      </c>
      <c r="I380" s="17">
        <f t="shared" si="194"/>
        <v>4</v>
      </c>
      <c r="J380" s="17">
        <f>'Achievement Reward Base'!B409</f>
        <v>500</v>
      </c>
      <c r="K380" s="17" t="str">
        <f t="shared" si="195"/>
        <v>160001001</v>
      </c>
      <c r="L380" s="17">
        <f>'Achievement Reward Base'!D409</f>
        <v>450000</v>
      </c>
      <c r="M380" s="21" t="s">
        <v>18</v>
      </c>
      <c r="N380" s="17">
        <f t="shared" si="181"/>
        <v>51675</v>
      </c>
      <c r="O380" s="17">
        <f t="shared" si="181"/>
        <v>52675</v>
      </c>
      <c r="P380" s="21">
        <f t="shared" si="196"/>
        <v>530800009</v>
      </c>
    </row>
    <row r="381" spans="1:16" ht="16.5" customHeight="1" x14ac:dyDescent="0.3">
      <c r="A381" s="106" t="b">
        <v>0</v>
      </c>
      <c r="B381" s="107" t="s">
        <v>108</v>
      </c>
      <c r="C381" s="16" t="str">
        <f>90&amp;G381&amp;H381&amp;I381&amp;1001</f>
        <v>903151001</v>
      </c>
      <c r="D381" s="16">
        <v>0</v>
      </c>
      <c r="E381" s="14">
        <f>C382</f>
        <v>903151002</v>
      </c>
      <c r="F381" s="92" t="s">
        <v>1104</v>
      </c>
      <c r="G381" s="16">
        <v>3</v>
      </c>
      <c r="H381" s="16">
        <v>1</v>
      </c>
      <c r="I381" s="16">
        <v>5</v>
      </c>
      <c r="J381" s="16">
        <f>'Achievement Reward Base'!B410</f>
        <v>1</v>
      </c>
      <c r="K381" s="16" t="str">
        <f>IF(M381="Gem","160001002",IF(M381="Gold","160001001"))</f>
        <v>160001001</v>
      </c>
      <c r="L381" s="16">
        <f>'Achievement Reward Base'!D410</f>
        <v>2000</v>
      </c>
      <c r="M381" s="73" t="s">
        <v>18</v>
      </c>
      <c r="N381" s="16">
        <f t="shared" si="181"/>
        <v>51676</v>
      </c>
      <c r="O381" s="16">
        <f t="shared" si="181"/>
        <v>52676</v>
      </c>
      <c r="P381" s="16">
        <v>530800009</v>
      </c>
    </row>
    <row r="382" spans="1:16" ht="16.5" customHeight="1" x14ac:dyDescent="0.3">
      <c r="A382" s="106" t="b">
        <v>0</v>
      </c>
      <c r="B382" s="107" t="s">
        <v>109</v>
      </c>
      <c r="C382" s="73">
        <f>C381+1</f>
        <v>903151002</v>
      </c>
      <c r="D382" s="73" t="str">
        <f>C381</f>
        <v>903151001</v>
      </c>
      <c r="E382" s="73">
        <f t="shared" ref="E382:E418" si="200">C383</f>
        <v>903151003</v>
      </c>
      <c r="F382" s="101" t="s">
        <v>1104</v>
      </c>
      <c r="G382" s="73">
        <f>G381</f>
        <v>3</v>
      </c>
      <c r="H382" s="73">
        <f t="shared" ref="H382:I397" si="201">H381</f>
        <v>1</v>
      </c>
      <c r="I382" s="73">
        <f t="shared" si="201"/>
        <v>5</v>
      </c>
      <c r="J382" s="73">
        <f>'Achievement Reward Base'!B411</f>
        <v>5</v>
      </c>
      <c r="K382" s="73" t="str">
        <f t="shared" ref="K382:K419" si="202">K381</f>
        <v>160001001</v>
      </c>
      <c r="L382" s="73">
        <f>'Achievement Reward Base'!D411</f>
        <v>4000</v>
      </c>
      <c r="M382" s="73" t="s">
        <v>18</v>
      </c>
      <c r="N382" s="73">
        <f t="shared" si="181"/>
        <v>51677</v>
      </c>
      <c r="O382" s="73">
        <f t="shared" si="181"/>
        <v>52677</v>
      </c>
      <c r="P382" s="73">
        <f>P381</f>
        <v>530800009</v>
      </c>
    </row>
    <row r="383" spans="1:16" ht="16.5" customHeight="1" x14ac:dyDescent="0.3">
      <c r="A383" s="106" t="b">
        <v>0</v>
      </c>
      <c r="B383" s="107" t="s">
        <v>110</v>
      </c>
      <c r="C383" s="73">
        <f t="shared" ref="C383:C419" si="203">C382+1</f>
        <v>903151003</v>
      </c>
      <c r="D383" s="73">
        <f t="shared" ref="D383:D401" si="204">C382</f>
        <v>903151002</v>
      </c>
      <c r="E383" s="73">
        <f t="shared" si="200"/>
        <v>903151004</v>
      </c>
      <c r="F383" s="101" t="s">
        <v>1104</v>
      </c>
      <c r="G383" s="73">
        <f t="shared" ref="G383:I398" si="205">G382</f>
        <v>3</v>
      </c>
      <c r="H383" s="73">
        <f t="shared" si="201"/>
        <v>1</v>
      </c>
      <c r="I383" s="73">
        <f t="shared" si="201"/>
        <v>5</v>
      </c>
      <c r="J383" s="73">
        <f>'Achievement Reward Base'!B412</f>
        <v>10</v>
      </c>
      <c r="K383" s="73" t="str">
        <f t="shared" si="202"/>
        <v>160001001</v>
      </c>
      <c r="L383" s="73">
        <f>'Achievement Reward Base'!D412</f>
        <v>6000</v>
      </c>
      <c r="M383" s="73" t="s">
        <v>18</v>
      </c>
      <c r="N383" s="73">
        <f t="shared" si="181"/>
        <v>51678</v>
      </c>
      <c r="O383" s="73">
        <f t="shared" si="181"/>
        <v>52678</v>
      </c>
      <c r="P383" s="73">
        <f t="shared" ref="P383:P419" si="206">P382</f>
        <v>530800009</v>
      </c>
    </row>
    <row r="384" spans="1:16" ht="16.5" customHeight="1" x14ac:dyDescent="0.3">
      <c r="A384" s="106" t="b">
        <v>0</v>
      </c>
      <c r="B384" s="107" t="s">
        <v>111</v>
      </c>
      <c r="C384" s="73">
        <f t="shared" si="203"/>
        <v>903151004</v>
      </c>
      <c r="D384" s="73">
        <f t="shared" si="204"/>
        <v>903151003</v>
      </c>
      <c r="E384" s="73">
        <f t="shared" si="200"/>
        <v>903151005</v>
      </c>
      <c r="F384" s="101" t="s">
        <v>1104</v>
      </c>
      <c r="G384" s="73">
        <f t="shared" si="205"/>
        <v>3</v>
      </c>
      <c r="H384" s="73">
        <f t="shared" si="201"/>
        <v>1</v>
      </c>
      <c r="I384" s="73">
        <f t="shared" si="201"/>
        <v>5</v>
      </c>
      <c r="J384" s="73">
        <f>'Achievement Reward Base'!B413</f>
        <v>15</v>
      </c>
      <c r="K384" s="73" t="str">
        <f t="shared" si="202"/>
        <v>160001001</v>
      </c>
      <c r="L384" s="73">
        <f>'Achievement Reward Base'!D413</f>
        <v>8000</v>
      </c>
      <c r="M384" s="73" t="s">
        <v>18</v>
      </c>
      <c r="N384" s="73">
        <f t="shared" si="181"/>
        <v>51679</v>
      </c>
      <c r="O384" s="73">
        <f t="shared" si="181"/>
        <v>52679</v>
      </c>
      <c r="P384" s="73">
        <f t="shared" si="206"/>
        <v>530800009</v>
      </c>
    </row>
    <row r="385" spans="1:16" ht="16.5" customHeight="1" x14ac:dyDescent="0.3">
      <c r="A385" s="106" t="b">
        <v>0</v>
      </c>
      <c r="B385" s="107" t="s">
        <v>112</v>
      </c>
      <c r="C385" s="73">
        <f t="shared" si="203"/>
        <v>903151005</v>
      </c>
      <c r="D385" s="73">
        <f t="shared" si="204"/>
        <v>903151004</v>
      </c>
      <c r="E385" s="73">
        <f t="shared" si="200"/>
        <v>903151006</v>
      </c>
      <c r="F385" s="101" t="s">
        <v>1104</v>
      </c>
      <c r="G385" s="73">
        <f t="shared" si="205"/>
        <v>3</v>
      </c>
      <c r="H385" s="73">
        <f t="shared" si="201"/>
        <v>1</v>
      </c>
      <c r="I385" s="73">
        <f t="shared" si="201"/>
        <v>5</v>
      </c>
      <c r="J385" s="73">
        <f>'Achievement Reward Base'!B414</f>
        <v>20</v>
      </c>
      <c r="K385" s="73" t="str">
        <f t="shared" si="202"/>
        <v>160001001</v>
      </c>
      <c r="L385" s="73">
        <f>'Achievement Reward Base'!D414</f>
        <v>12000</v>
      </c>
      <c r="M385" s="73" t="s">
        <v>18</v>
      </c>
      <c r="N385" s="73">
        <f t="shared" si="181"/>
        <v>51680</v>
      </c>
      <c r="O385" s="73">
        <f t="shared" si="181"/>
        <v>52680</v>
      </c>
      <c r="P385" s="73">
        <f t="shared" si="206"/>
        <v>530800009</v>
      </c>
    </row>
    <row r="386" spans="1:16" ht="16.5" customHeight="1" x14ac:dyDescent="0.3">
      <c r="A386" s="106" t="b">
        <v>0</v>
      </c>
      <c r="B386" s="107" t="s">
        <v>113</v>
      </c>
      <c r="C386" s="73">
        <f t="shared" si="203"/>
        <v>903151006</v>
      </c>
      <c r="D386" s="73">
        <f t="shared" si="204"/>
        <v>903151005</v>
      </c>
      <c r="E386" s="73">
        <f t="shared" si="200"/>
        <v>903151007</v>
      </c>
      <c r="F386" s="101" t="s">
        <v>1104</v>
      </c>
      <c r="G386" s="73">
        <f t="shared" si="205"/>
        <v>3</v>
      </c>
      <c r="H386" s="73">
        <f t="shared" si="201"/>
        <v>1</v>
      </c>
      <c r="I386" s="73">
        <f t="shared" si="201"/>
        <v>5</v>
      </c>
      <c r="J386" s="73">
        <f>'Achievement Reward Base'!B415</f>
        <v>25</v>
      </c>
      <c r="K386" s="73" t="str">
        <f t="shared" si="202"/>
        <v>160001001</v>
      </c>
      <c r="L386" s="73">
        <f>'Achievement Reward Base'!D415</f>
        <v>16000</v>
      </c>
      <c r="M386" s="73" t="s">
        <v>18</v>
      </c>
      <c r="N386" s="73">
        <f t="shared" si="181"/>
        <v>51681</v>
      </c>
      <c r="O386" s="73">
        <f t="shared" si="181"/>
        <v>52681</v>
      </c>
      <c r="P386" s="73">
        <f t="shared" si="206"/>
        <v>530800009</v>
      </c>
    </row>
    <row r="387" spans="1:16" ht="16.5" customHeight="1" x14ac:dyDescent="0.3">
      <c r="A387" s="106" t="b">
        <v>0</v>
      </c>
      <c r="B387" s="107" t="s">
        <v>114</v>
      </c>
      <c r="C387" s="73">
        <f t="shared" si="203"/>
        <v>903151007</v>
      </c>
      <c r="D387" s="73">
        <f t="shared" si="204"/>
        <v>903151006</v>
      </c>
      <c r="E387" s="73">
        <f t="shared" si="200"/>
        <v>903151008</v>
      </c>
      <c r="F387" s="101" t="s">
        <v>1104</v>
      </c>
      <c r="G387" s="73">
        <f t="shared" si="205"/>
        <v>3</v>
      </c>
      <c r="H387" s="73">
        <f t="shared" si="201"/>
        <v>1</v>
      </c>
      <c r="I387" s="73">
        <f t="shared" si="201"/>
        <v>5</v>
      </c>
      <c r="J387" s="73">
        <f>'Achievement Reward Base'!B416</f>
        <v>30</v>
      </c>
      <c r="K387" s="73" t="str">
        <f t="shared" si="202"/>
        <v>160001001</v>
      </c>
      <c r="L387" s="73">
        <f>'Achievement Reward Base'!D416</f>
        <v>20000</v>
      </c>
      <c r="M387" s="73" t="s">
        <v>18</v>
      </c>
      <c r="N387" s="73">
        <f t="shared" si="181"/>
        <v>51682</v>
      </c>
      <c r="O387" s="73">
        <f t="shared" si="181"/>
        <v>52682</v>
      </c>
      <c r="P387" s="73">
        <f t="shared" si="206"/>
        <v>530800009</v>
      </c>
    </row>
    <row r="388" spans="1:16" ht="16.5" customHeight="1" x14ac:dyDescent="0.3">
      <c r="A388" s="106" t="b">
        <v>0</v>
      </c>
      <c r="B388" s="107" t="s">
        <v>115</v>
      </c>
      <c r="C388" s="73">
        <f t="shared" si="203"/>
        <v>903151008</v>
      </c>
      <c r="D388" s="73">
        <f t="shared" si="204"/>
        <v>903151007</v>
      </c>
      <c r="E388" s="73">
        <f t="shared" si="200"/>
        <v>903151009</v>
      </c>
      <c r="F388" s="101" t="s">
        <v>1104</v>
      </c>
      <c r="G388" s="73">
        <f t="shared" si="205"/>
        <v>3</v>
      </c>
      <c r="H388" s="73">
        <f t="shared" si="201"/>
        <v>1</v>
      </c>
      <c r="I388" s="73">
        <f t="shared" si="201"/>
        <v>5</v>
      </c>
      <c r="J388" s="73">
        <f>'Achievement Reward Base'!B417</f>
        <v>35</v>
      </c>
      <c r="K388" s="73" t="str">
        <f t="shared" si="202"/>
        <v>160001001</v>
      </c>
      <c r="L388" s="73">
        <f>'Achievement Reward Base'!D417</f>
        <v>24000</v>
      </c>
      <c r="M388" s="73" t="s">
        <v>18</v>
      </c>
      <c r="N388" s="73">
        <f t="shared" si="181"/>
        <v>51683</v>
      </c>
      <c r="O388" s="73">
        <f t="shared" si="181"/>
        <v>52683</v>
      </c>
      <c r="P388" s="73">
        <f t="shared" si="206"/>
        <v>530800009</v>
      </c>
    </row>
    <row r="389" spans="1:16" ht="16.5" customHeight="1" x14ac:dyDescent="0.3">
      <c r="A389" s="106" t="b">
        <v>0</v>
      </c>
      <c r="B389" s="107" t="s">
        <v>116</v>
      </c>
      <c r="C389" s="73">
        <f t="shared" si="203"/>
        <v>903151009</v>
      </c>
      <c r="D389" s="73">
        <f t="shared" si="204"/>
        <v>903151008</v>
      </c>
      <c r="E389" s="73">
        <f t="shared" si="200"/>
        <v>903151010</v>
      </c>
      <c r="F389" s="101" t="s">
        <v>1104</v>
      </c>
      <c r="G389" s="73">
        <f t="shared" si="205"/>
        <v>3</v>
      </c>
      <c r="H389" s="73">
        <f t="shared" si="201"/>
        <v>1</v>
      </c>
      <c r="I389" s="73">
        <f t="shared" si="201"/>
        <v>5</v>
      </c>
      <c r="J389" s="73">
        <f>'Achievement Reward Base'!B418</f>
        <v>40</v>
      </c>
      <c r="K389" s="73" t="str">
        <f t="shared" si="202"/>
        <v>160001001</v>
      </c>
      <c r="L389" s="73">
        <f>'Achievement Reward Base'!D418</f>
        <v>28000</v>
      </c>
      <c r="M389" s="73" t="s">
        <v>18</v>
      </c>
      <c r="N389" s="73">
        <f t="shared" si="181"/>
        <v>51684</v>
      </c>
      <c r="O389" s="73">
        <f t="shared" si="181"/>
        <v>52684</v>
      </c>
      <c r="P389" s="73">
        <f t="shared" si="206"/>
        <v>530800009</v>
      </c>
    </row>
    <row r="390" spans="1:16" ht="16.5" customHeight="1" x14ac:dyDescent="0.3">
      <c r="A390" s="106" t="b">
        <v>0</v>
      </c>
      <c r="B390" s="107" t="s">
        <v>117</v>
      </c>
      <c r="C390" s="73">
        <f t="shared" si="203"/>
        <v>903151010</v>
      </c>
      <c r="D390" s="73">
        <f t="shared" si="204"/>
        <v>903151009</v>
      </c>
      <c r="E390" s="73">
        <f t="shared" si="200"/>
        <v>903151011</v>
      </c>
      <c r="F390" s="101" t="s">
        <v>1104</v>
      </c>
      <c r="G390" s="73">
        <f t="shared" si="205"/>
        <v>3</v>
      </c>
      <c r="H390" s="73">
        <f t="shared" si="201"/>
        <v>1</v>
      </c>
      <c r="I390" s="73">
        <f t="shared" si="201"/>
        <v>5</v>
      </c>
      <c r="J390" s="73">
        <f>'Achievement Reward Base'!B419</f>
        <v>45</v>
      </c>
      <c r="K390" s="73" t="str">
        <f t="shared" si="202"/>
        <v>160001001</v>
      </c>
      <c r="L390" s="73">
        <f>'Achievement Reward Base'!D419</f>
        <v>32000</v>
      </c>
      <c r="M390" s="73" t="s">
        <v>18</v>
      </c>
      <c r="N390" s="73">
        <f t="shared" si="181"/>
        <v>51685</v>
      </c>
      <c r="O390" s="73">
        <f t="shared" si="181"/>
        <v>52685</v>
      </c>
      <c r="P390" s="73">
        <f t="shared" si="206"/>
        <v>530800009</v>
      </c>
    </row>
    <row r="391" spans="1:16" ht="16.5" customHeight="1" x14ac:dyDescent="0.3">
      <c r="A391" s="106" t="b">
        <v>0</v>
      </c>
      <c r="B391" s="107" t="s">
        <v>118</v>
      </c>
      <c r="C391" s="73">
        <f t="shared" si="203"/>
        <v>903151011</v>
      </c>
      <c r="D391" s="73">
        <f t="shared" si="204"/>
        <v>903151010</v>
      </c>
      <c r="E391" s="73">
        <f t="shared" si="200"/>
        <v>903151012</v>
      </c>
      <c r="F391" s="101" t="s">
        <v>1104</v>
      </c>
      <c r="G391" s="73">
        <f t="shared" si="205"/>
        <v>3</v>
      </c>
      <c r="H391" s="73">
        <f t="shared" si="201"/>
        <v>1</v>
      </c>
      <c r="I391" s="73">
        <f t="shared" si="201"/>
        <v>5</v>
      </c>
      <c r="J391" s="73">
        <f>'Achievement Reward Base'!B420</f>
        <v>50</v>
      </c>
      <c r="K391" s="73" t="str">
        <f t="shared" si="202"/>
        <v>160001001</v>
      </c>
      <c r="L391" s="73">
        <f>'Achievement Reward Base'!D420</f>
        <v>38000</v>
      </c>
      <c r="M391" s="73" t="s">
        <v>18</v>
      </c>
      <c r="N391" s="73">
        <f t="shared" ref="N391:O419" si="207">N390+1</f>
        <v>51686</v>
      </c>
      <c r="O391" s="73">
        <f t="shared" si="207"/>
        <v>52686</v>
      </c>
      <c r="P391" s="73">
        <f t="shared" si="206"/>
        <v>530800009</v>
      </c>
    </row>
    <row r="392" spans="1:16" ht="16.5" customHeight="1" x14ac:dyDescent="0.3">
      <c r="A392" s="106" t="b">
        <v>0</v>
      </c>
      <c r="B392" s="107" t="s">
        <v>119</v>
      </c>
      <c r="C392" s="73">
        <f t="shared" si="203"/>
        <v>903151012</v>
      </c>
      <c r="D392" s="73">
        <f t="shared" si="204"/>
        <v>903151011</v>
      </c>
      <c r="E392" s="73">
        <f t="shared" si="200"/>
        <v>903151013</v>
      </c>
      <c r="F392" s="101" t="s">
        <v>1104</v>
      </c>
      <c r="G392" s="73">
        <f t="shared" si="205"/>
        <v>3</v>
      </c>
      <c r="H392" s="73">
        <f t="shared" si="201"/>
        <v>1</v>
      </c>
      <c r="I392" s="73">
        <f t="shared" si="201"/>
        <v>5</v>
      </c>
      <c r="J392" s="73">
        <f>'Achievement Reward Base'!B421</f>
        <v>55</v>
      </c>
      <c r="K392" s="73" t="str">
        <f t="shared" si="202"/>
        <v>160001001</v>
      </c>
      <c r="L392" s="73">
        <f>'Achievement Reward Base'!D421</f>
        <v>44000</v>
      </c>
      <c r="M392" s="73" t="s">
        <v>18</v>
      </c>
      <c r="N392" s="73">
        <f t="shared" si="207"/>
        <v>51687</v>
      </c>
      <c r="O392" s="73">
        <f t="shared" si="207"/>
        <v>52687</v>
      </c>
      <c r="P392" s="73">
        <f t="shared" si="206"/>
        <v>530800009</v>
      </c>
    </row>
    <row r="393" spans="1:16" ht="16.5" customHeight="1" x14ac:dyDescent="0.3">
      <c r="A393" s="106" t="b">
        <v>0</v>
      </c>
      <c r="B393" s="107" t="s">
        <v>120</v>
      </c>
      <c r="C393" s="73">
        <f t="shared" si="203"/>
        <v>903151013</v>
      </c>
      <c r="D393" s="73">
        <f t="shared" si="204"/>
        <v>903151012</v>
      </c>
      <c r="E393" s="73">
        <f t="shared" si="200"/>
        <v>903151014</v>
      </c>
      <c r="F393" s="101" t="s">
        <v>1104</v>
      </c>
      <c r="G393" s="73">
        <f t="shared" si="205"/>
        <v>3</v>
      </c>
      <c r="H393" s="73">
        <f t="shared" si="201"/>
        <v>1</v>
      </c>
      <c r="I393" s="73">
        <f t="shared" si="201"/>
        <v>5</v>
      </c>
      <c r="J393" s="73">
        <f>'Achievement Reward Base'!B422</f>
        <v>60</v>
      </c>
      <c r="K393" s="73" t="str">
        <f t="shared" si="202"/>
        <v>160001001</v>
      </c>
      <c r="L393" s="73">
        <f>'Achievement Reward Base'!D422</f>
        <v>50000</v>
      </c>
      <c r="M393" s="73" t="s">
        <v>18</v>
      </c>
      <c r="N393" s="73">
        <f t="shared" si="207"/>
        <v>51688</v>
      </c>
      <c r="O393" s="73">
        <f t="shared" si="207"/>
        <v>52688</v>
      </c>
      <c r="P393" s="73">
        <f t="shared" si="206"/>
        <v>530800009</v>
      </c>
    </row>
    <row r="394" spans="1:16" ht="16.5" customHeight="1" x14ac:dyDescent="0.3">
      <c r="A394" s="106" t="b">
        <v>0</v>
      </c>
      <c r="B394" s="107" t="s">
        <v>121</v>
      </c>
      <c r="C394" s="73">
        <f t="shared" si="203"/>
        <v>903151014</v>
      </c>
      <c r="D394" s="73">
        <f t="shared" si="204"/>
        <v>903151013</v>
      </c>
      <c r="E394" s="73">
        <f t="shared" si="200"/>
        <v>903151015</v>
      </c>
      <c r="F394" s="101" t="s">
        <v>1104</v>
      </c>
      <c r="G394" s="73">
        <f t="shared" si="205"/>
        <v>3</v>
      </c>
      <c r="H394" s="73">
        <f t="shared" si="201"/>
        <v>1</v>
      </c>
      <c r="I394" s="73">
        <f t="shared" si="201"/>
        <v>5</v>
      </c>
      <c r="J394" s="73">
        <f>'Achievement Reward Base'!B423</f>
        <v>65</v>
      </c>
      <c r="K394" s="73" t="str">
        <f t="shared" si="202"/>
        <v>160001001</v>
      </c>
      <c r="L394" s="73">
        <f>'Achievement Reward Base'!D423</f>
        <v>56000</v>
      </c>
      <c r="M394" s="73" t="s">
        <v>18</v>
      </c>
      <c r="N394" s="73">
        <f t="shared" si="207"/>
        <v>51689</v>
      </c>
      <c r="O394" s="73">
        <f t="shared" si="207"/>
        <v>52689</v>
      </c>
      <c r="P394" s="73">
        <f t="shared" si="206"/>
        <v>530800009</v>
      </c>
    </row>
    <row r="395" spans="1:16" ht="16.5" customHeight="1" x14ac:dyDescent="0.3">
      <c r="A395" s="106" t="b">
        <v>0</v>
      </c>
      <c r="B395" s="107" t="s">
        <v>122</v>
      </c>
      <c r="C395" s="73">
        <f t="shared" si="203"/>
        <v>903151015</v>
      </c>
      <c r="D395" s="73">
        <f t="shared" si="204"/>
        <v>903151014</v>
      </c>
      <c r="E395" s="73">
        <f t="shared" si="200"/>
        <v>903151016</v>
      </c>
      <c r="F395" s="101" t="s">
        <v>1104</v>
      </c>
      <c r="G395" s="73">
        <f t="shared" si="205"/>
        <v>3</v>
      </c>
      <c r="H395" s="73">
        <f t="shared" si="201"/>
        <v>1</v>
      </c>
      <c r="I395" s="73">
        <f t="shared" si="201"/>
        <v>5</v>
      </c>
      <c r="J395" s="73">
        <f>'Achievement Reward Base'!B424</f>
        <v>70</v>
      </c>
      <c r="K395" s="73" t="str">
        <f t="shared" si="202"/>
        <v>160001001</v>
      </c>
      <c r="L395" s="73">
        <f>'Achievement Reward Base'!D424</f>
        <v>62000</v>
      </c>
      <c r="M395" s="73" t="s">
        <v>18</v>
      </c>
      <c r="N395" s="73">
        <f t="shared" si="207"/>
        <v>51690</v>
      </c>
      <c r="O395" s="73">
        <f t="shared" si="207"/>
        <v>52690</v>
      </c>
      <c r="P395" s="73">
        <f t="shared" si="206"/>
        <v>530800009</v>
      </c>
    </row>
    <row r="396" spans="1:16" ht="16.5" customHeight="1" x14ac:dyDescent="0.3">
      <c r="A396" s="106" t="b">
        <v>0</v>
      </c>
      <c r="B396" s="107" t="s">
        <v>123</v>
      </c>
      <c r="C396" s="73">
        <f t="shared" si="203"/>
        <v>903151016</v>
      </c>
      <c r="D396" s="73">
        <f t="shared" si="204"/>
        <v>903151015</v>
      </c>
      <c r="E396" s="73">
        <f t="shared" si="200"/>
        <v>903151017</v>
      </c>
      <c r="F396" s="101" t="s">
        <v>1104</v>
      </c>
      <c r="G396" s="73">
        <f t="shared" si="205"/>
        <v>3</v>
      </c>
      <c r="H396" s="73">
        <f t="shared" si="201"/>
        <v>1</v>
      </c>
      <c r="I396" s="73">
        <f t="shared" si="201"/>
        <v>5</v>
      </c>
      <c r="J396" s="73">
        <f>'Achievement Reward Base'!B425</f>
        <v>75</v>
      </c>
      <c r="K396" s="73" t="str">
        <f t="shared" si="202"/>
        <v>160001001</v>
      </c>
      <c r="L396" s="73">
        <f>'Achievement Reward Base'!D425</f>
        <v>70000</v>
      </c>
      <c r="M396" s="73" t="s">
        <v>18</v>
      </c>
      <c r="N396" s="73">
        <f t="shared" si="207"/>
        <v>51691</v>
      </c>
      <c r="O396" s="73">
        <f t="shared" si="207"/>
        <v>52691</v>
      </c>
      <c r="P396" s="73">
        <f t="shared" si="206"/>
        <v>530800009</v>
      </c>
    </row>
    <row r="397" spans="1:16" ht="16.5" customHeight="1" x14ac:dyDescent="0.3">
      <c r="A397" s="106" t="b">
        <v>0</v>
      </c>
      <c r="B397" s="107" t="s">
        <v>124</v>
      </c>
      <c r="C397" s="73">
        <f t="shared" si="203"/>
        <v>903151017</v>
      </c>
      <c r="D397" s="73">
        <f t="shared" si="204"/>
        <v>903151016</v>
      </c>
      <c r="E397" s="73">
        <f t="shared" si="200"/>
        <v>903151018</v>
      </c>
      <c r="F397" s="101" t="s">
        <v>1104</v>
      </c>
      <c r="G397" s="73">
        <f t="shared" si="205"/>
        <v>3</v>
      </c>
      <c r="H397" s="73">
        <f t="shared" si="201"/>
        <v>1</v>
      </c>
      <c r="I397" s="73">
        <f t="shared" si="201"/>
        <v>5</v>
      </c>
      <c r="J397" s="73">
        <f>'Achievement Reward Base'!B426</f>
        <v>80</v>
      </c>
      <c r="K397" s="73" t="str">
        <f t="shared" si="202"/>
        <v>160001001</v>
      </c>
      <c r="L397" s="73">
        <f>'Achievement Reward Base'!D426</f>
        <v>78000</v>
      </c>
      <c r="M397" s="73" t="s">
        <v>18</v>
      </c>
      <c r="N397" s="73">
        <f t="shared" si="207"/>
        <v>51692</v>
      </c>
      <c r="O397" s="73">
        <f t="shared" si="207"/>
        <v>52692</v>
      </c>
      <c r="P397" s="73">
        <f t="shared" si="206"/>
        <v>530800009</v>
      </c>
    </row>
    <row r="398" spans="1:16" ht="16.5" customHeight="1" x14ac:dyDescent="0.3">
      <c r="A398" s="106" t="b">
        <v>0</v>
      </c>
      <c r="B398" s="107" t="s">
        <v>125</v>
      </c>
      <c r="C398" s="73">
        <f t="shared" si="203"/>
        <v>903151018</v>
      </c>
      <c r="D398" s="73">
        <f t="shared" si="204"/>
        <v>903151017</v>
      </c>
      <c r="E398" s="73">
        <f t="shared" si="200"/>
        <v>903151019</v>
      </c>
      <c r="F398" s="101" t="s">
        <v>1104</v>
      </c>
      <c r="G398" s="73">
        <f t="shared" si="205"/>
        <v>3</v>
      </c>
      <c r="H398" s="73">
        <f t="shared" si="205"/>
        <v>1</v>
      </c>
      <c r="I398" s="73">
        <f t="shared" si="205"/>
        <v>5</v>
      </c>
      <c r="J398" s="73">
        <f>'Achievement Reward Base'!B427</f>
        <v>85</v>
      </c>
      <c r="K398" s="73" t="str">
        <f t="shared" si="202"/>
        <v>160001001</v>
      </c>
      <c r="L398" s="73">
        <f>'Achievement Reward Base'!D427</f>
        <v>86000</v>
      </c>
      <c r="M398" s="73" t="s">
        <v>18</v>
      </c>
      <c r="N398" s="73">
        <f t="shared" si="207"/>
        <v>51693</v>
      </c>
      <c r="O398" s="73">
        <f t="shared" si="207"/>
        <v>52693</v>
      </c>
      <c r="P398" s="73">
        <f t="shared" si="206"/>
        <v>530800009</v>
      </c>
    </row>
    <row r="399" spans="1:16" ht="16.5" customHeight="1" x14ac:dyDescent="0.3">
      <c r="A399" s="106" t="b">
        <v>0</v>
      </c>
      <c r="B399" s="107" t="s">
        <v>126</v>
      </c>
      <c r="C399" s="73">
        <f t="shared" si="203"/>
        <v>903151019</v>
      </c>
      <c r="D399" s="73">
        <f t="shared" si="204"/>
        <v>903151018</v>
      </c>
      <c r="E399" s="73">
        <f t="shared" si="200"/>
        <v>903151020</v>
      </c>
      <c r="F399" s="101" t="s">
        <v>1104</v>
      </c>
      <c r="G399" s="73">
        <f t="shared" ref="G399:I401" si="208">G398</f>
        <v>3</v>
      </c>
      <c r="H399" s="73">
        <f t="shared" si="208"/>
        <v>1</v>
      </c>
      <c r="I399" s="73">
        <f t="shared" si="208"/>
        <v>5</v>
      </c>
      <c r="J399" s="73">
        <f>'Achievement Reward Base'!B428</f>
        <v>90</v>
      </c>
      <c r="K399" s="73" t="str">
        <f t="shared" si="202"/>
        <v>160001001</v>
      </c>
      <c r="L399" s="73">
        <f>'Achievement Reward Base'!D428</f>
        <v>94000</v>
      </c>
      <c r="M399" s="73" t="s">
        <v>18</v>
      </c>
      <c r="N399" s="73">
        <f t="shared" si="207"/>
        <v>51694</v>
      </c>
      <c r="O399" s="73">
        <f t="shared" si="207"/>
        <v>52694</v>
      </c>
      <c r="P399" s="73">
        <f t="shared" si="206"/>
        <v>530800009</v>
      </c>
    </row>
    <row r="400" spans="1:16" ht="16.5" customHeight="1" x14ac:dyDescent="0.3">
      <c r="A400" s="106" t="b">
        <v>0</v>
      </c>
      <c r="B400" s="107" t="s">
        <v>127</v>
      </c>
      <c r="C400" s="73">
        <f t="shared" si="203"/>
        <v>903151020</v>
      </c>
      <c r="D400" s="73">
        <f t="shared" si="204"/>
        <v>903151019</v>
      </c>
      <c r="E400" s="73">
        <f t="shared" si="200"/>
        <v>903151021</v>
      </c>
      <c r="F400" s="101" t="s">
        <v>1104</v>
      </c>
      <c r="G400" s="73">
        <f t="shared" si="208"/>
        <v>3</v>
      </c>
      <c r="H400" s="73">
        <f t="shared" si="208"/>
        <v>1</v>
      </c>
      <c r="I400" s="73">
        <f t="shared" si="208"/>
        <v>5</v>
      </c>
      <c r="J400" s="73">
        <f>'Achievement Reward Base'!B429</f>
        <v>95</v>
      </c>
      <c r="K400" s="73" t="str">
        <f t="shared" si="202"/>
        <v>160001001</v>
      </c>
      <c r="L400" s="73">
        <f>'Achievement Reward Base'!D429</f>
        <v>102000</v>
      </c>
      <c r="M400" s="73" t="s">
        <v>18</v>
      </c>
      <c r="N400" s="73">
        <f t="shared" si="207"/>
        <v>51695</v>
      </c>
      <c r="O400" s="73">
        <f t="shared" si="207"/>
        <v>52695</v>
      </c>
      <c r="P400" s="73">
        <f t="shared" si="206"/>
        <v>530800009</v>
      </c>
    </row>
    <row r="401" spans="1:16" ht="16.5" customHeight="1" x14ac:dyDescent="0.3">
      <c r="A401" s="106" t="b">
        <v>0</v>
      </c>
      <c r="B401" s="107" t="s">
        <v>128</v>
      </c>
      <c r="C401" s="73">
        <f t="shared" si="203"/>
        <v>903151021</v>
      </c>
      <c r="D401" s="73">
        <f t="shared" si="204"/>
        <v>903151020</v>
      </c>
      <c r="E401" s="73">
        <f t="shared" si="200"/>
        <v>903151022</v>
      </c>
      <c r="F401" s="101" t="s">
        <v>1104</v>
      </c>
      <c r="G401" s="73">
        <f t="shared" si="208"/>
        <v>3</v>
      </c>
      <c r="H401" s="73">
        <f t="shared" si="208"/>
        <v>1</v>
      </c>
      <c r="I401" s="73">
        <f t="shared" si="208"/>
        <v>5</v>
      </c>
      <c r="J401" s="73">
        <f>'Achievement Reward Base'!B430</f>
        <v>100</v>
      </c>
      <c r="K401" s="73" t="str">
        <f t="shared" si="202"/>
        <v>160001001</v>
      </c>
      <c r="L401" s="73">
        <f>'Achievement Reward Base'!D430</f>
        <v>110000</v>
      </c>
      <c r="M401" s="73" t="s">
        <v>18</v>
      </c>
      <c r="N401" s="73">
        <f t="shared" si="207"/>
        <v>51696</v>
      </c>
      <c r="O401" s="73">
        <f t="shared" si="207"/>
        <v>52696</v>
      </c>
      <c r="P401" s="73">
        <f t="shared" si="206"/>
        <v>530800009</v>
      </c>
    </row>
    <row r="402" spans="1:16" ht="16.5" customHeight="1" x14ac:dyDescent="0.3">
      <c r="A402" s="106" t="b">
        <v>0</v>
      </c>
      <c r="B402" s="107" t="s">
        <v>129</v>
      </c>
      <c r="C402" s="73">
        <f t="shared" si="203"/>
        <v>903151022</v>
      </c>
      <c r="D402" s="73">
        <f t="shared" ref="D402:D419" si="209">C401</f>
        <v>903151021</v>
      </c>
      <c r="E402" s="73">
        <f t="shared" si="200"/>
        <v>903151023</v>
      </c>
      <c r="F402" s="101" t="s">
        <v>1104</v>
      </c>
      <c r="G402" s="73">
        <f t="shared" ref="G402:I402" si="210">G401</f>
        <v>3</v>
      </c>
      <c r="H402" s="73">
        <f t="shared" si="210"/>
        <v>1</v>
      </c>
      <c r="I402" s="73">
        <f t="shared" si="210"/>
        <v>5</v>
      </c>
      <c r="J402" s="73">
        <f>'Achievement Reward Base'!B431</f>
        <v>150</v>
      </c>
      <c r="K402" s="73" t="str">
        <f t="shared" si="202"/>
        <v>160001001</v>
      </c>
      <c r="L402" s="73">
        <f>'Achievement Reward Base'!D431</f>
        <v>120000</v>
      </c>
      <c r="M402" s="73" t="s">
        <v>18</v>
      </c>
      <c r="N402" s="73">
        <f t="shared" si="207"/>
        <v>51697</v>
      </c>
      <c r="O402" s="73">
        <f t="shared" si="207"/>
        <v>52697</v>
      </c>
      <c r="P402" s="73">
        <f t="shared" si="206"/>
        <v>530800009</v>
      </c>
    </row>
    <row r="403" spans="1:16" ht="16.5" customHeight="1" x14ac:dyDescent="0.3">
      <c r="A403" s="106" t="b">
        <v>0</v>
      </c>
      <c r="B403" s="107" t="s">
        <v>130</v>
      </c>
      <c r="C403" s="73">
        <f t="shared" si="203"/>
        <v>903151023</v>
      </c>
      <c r="D403" s="73">
        <f t="shared" si="209"/>
        <v>903151022</v>
      </c>
      <c r="E403" s="73">
        <f t="shared" si="200"/>
        <v>903151024</v>
      </c>
      <c r="F403" s="101" t="s">
        <v>1104</v>
      </c>
      <c r="G403" s="73">
        <f t="shared" ref="G403:I403" si="211">G402</f>
        <v>3</v>
      </c>
      <c r="H403" s="73">
        <f t="shared" si="211"/>
        <v>1</v>
      </c>
      <c r="I403" s="73">
        <f t="shared" si="211"/>
        <v>5</v>
      </c>
      <c r="J403" s="73">
        <f>'Achievement Reward Base'!B432</f>
        <v>200</v>
      </c>
      <c r="K403" s="73" t="str">
        <f t="shared" si="202"/>
        <v>160001001</v>
      </c>
      <c r="L403" s="73">
        <f>'Achievement Reward Base'!D432</f>
        <v>130000</v>
      </c>
      <c r="M403" s="73" t="s">
        <v>18</v>
      </c>
      <c r="N403" s="73">
        <f t="shared" si="207"/>
        <v>51698</v>
      </c>
      <c r="O403" s="73">
        <f t="shared" si="207"/>
        <v>52698</v>
      </c>
      <c r="P403" s="73">
        <f t="shared" si="206"/>
        <v>530800009</v>
      </c>
    </row>
    <row r="404" spans="1:16" ht="16.5" customHeight="1" x14ac:dyDescent="0.3">
      <c r="A404" s="106" t="b">
        <v>0</v>
      </c>
      <c r="B404" s="107" t="s">
        <v>131</v>
      </c>
      <c r="C404" s="73">
        <f t="shared" si="203"/>
        <v>903151024</v>
      </c>
      <c r="D404" s="73">
        <f t="shared" si="209"/>
        <v>903151023</v>
      </c>
      <c r="E404" s="73">
        <f t="shared" si="200"/>
        <v>903151025</v>
      </c>
      <c r="F404" s="101" t="s">
        <v>1104</v>
      </c>
      <c r="G404" s="73">
        <f t="shared" ref="G404:I404" si="212">G403</f>
        <v>3</v>
      </c>
      <c r="H404" s="73">
        <f t="shared" si="212"/>
        <v>1</v>
      </c>
      <c r="I404" s="73">
        <f t="shared" si="212"/>
        <v>5</v>
      </c>
      <c r="J404" s="73">
        <f>'Achievement Reward Base'!B433</f>
        <v>250</v>
      </c>
      <c r="K404" s="73" t="str">
        <f t="shared" si="202"/>
        <v>160001001</v>
      </c>
      <c r="L404" s="73">
        <f>'Achievement Reward Base'!D433</f>
        <v>140000</v>
      </c>
      <c r="M404" s="73" t="s">
        <v>18</v>
      </c>
      <c r="N404" s="73">
        <f t="shared" si="207"/>
        <v>51699</v>
      </c>
      <c r="O404" s="73">
        <f t="shared" si="207"/>
        <v>52699</v>
      </c>
      <c r="P404" s="73">
        <f t="shared" si="206"/>
        <v>530800009</v>
      </c>
    </row>
    <row r="405" spans="1:16" ht="16.5" customHeight="1" x14ac:dyDescent="0.3">
      <c r="A405" s="106" t="b">
        <v>0</v>
      </c>
      <c r="B405" s="107" t="s">
        <v>132</v>
      </c>
      <c r="C405" s="73">
        <f t="shared" si="203"/>
        <v>903151025</v>
      </c>
      <c r="D405" s="73">
        <f t="shared" si="209"/>
        <v>903151024</v>
      </c>
      <c r="E405" s="73">
        <f t="shared" si="200"/>
        <v>903151026</v>
      </c>
      <c r="F405" s="101" t="s">
        <v>1104</v>
      </c>
      <c r="G405" s="73">
        <f t="shared" ref="G405:I405" si="213">G404</f>
        <v>3</v>
      </c>
      <c r="H405" s="73">
        <f t="shared" si="213"/>
        <v>1</v>
      </c>
      <c r="I405" s="73">
        <f t="shared" si="213"/>
        <v>5</v>
      </c>
      <c r="J405" s="73">
        <f>'Achievement Reward Base'!B434</f>
        <v>300</v>
      </c>
      <c r="K405" s="73" t="str">
        <f t="shared" si="202"/>
        <v>160001001</v>
      </c>
      <c r="L405" s="73">
        <f>'Achievement Reward Base'!D434</f>
        <v>150000</v>
      </c>
      <c r="M405" s="73" t="s">
        <v>18</v>
      </c>
      <c r="N405" s="73">
        <f t="shared" si="207"/>
        <v>51700</v>
      </c>
      <c r="O405" s="73">
        <f t="shared" si="207"/>
        <v>52700</v>
      </c>
      <c r="P405" s="73">
        <f t="shared" si="206"/>
        <v>530800009</v>
      </c>
    </row>
    <row r="406" spans="1:16" ht="16.5" customHeight="1" x14ac:dyDescent="0.3">
      <c r="A406" s="106" t="b">
        <v>0</v>
      </c>
      <c r="B406" s="107" t="s">
        <v>133</v>
      </c>
      <c r="C406" s="73">
        <f t="shared" si="203"/>
        <v>903151026</v>
      </c>
      <c r="D406" s="73">
        <f t="shared" si="209"/>
        <v>903151025</v>
      </c>
      <c r="E406" s="73">
        <f t="shared" si="200"/>
        <v>903151027</v>
      </c>
      <c r="F406" s="101" t="s">
        <v>1104</v>
      </c>
      <c r="G406" s="73">
        <f t="shared" ref="G406:I406" si="214">G405</f>
        <v>3</v>
      </c>
      <c r="H406" s="73">
        <f t="shared" si="214"/>
        <v>1</v>
      </c>
      <c r="I406" s="73">
        <f t="shared" si="214"/>
        <v>5</v>
      </c>
      <c r="J406" s="73">
        <f>'Achievement Reward Base'!B435</f>
        <v>350</v>
      </c>
      <c r="K406" s="73" t="str">
        <f t="shared" si="202"/>
        <v>160001001</v>
      </c>
      <c r="L406" s="73">
        <f>'Achievement Reward Base'!D435</f>
        <v>160000</v>
      </c>
      <c r="M406" s="73" t="s">
        <v>18</v>
      </c>
      <c r="N406" s="73">
        <f t="shared" si="207"/>
        <v>51701</v>
      </c>
      <c r="O406" s="73">
        <f t="shared" si="207"/>
        <v>52701</v>
      </c>
      <c r="P406" s="73">
        <f t="shared" si="206"/>
        <v>530800009</v>
      </c>
    </row>
    <row r="407" spans="1:16" ht="16.5" customHeight="1" x14ac:dyDescent="0.3">
      <c r="A407" s="106" t="b">
        <v>0</v>
      </c>
      <c r="B407" s="107" t="s">
        <v>134</v>
      </c>
      <c r="C407" s="73">
        <f t="shared" si="203"/>
        <v>903151027</v>
      </c>
      <c r="D407" s="73">
        <f t="shared" si="209"/>
        <v>903151026</v>
      </c>
      <c r="E407" s="73">
        <f t="shared" si="200"/>
        <v>903151028</v>
      </c>
      <c r="F407" s="101" t="s">
        <v>1104</v>
      </c>
      <c r="G407" s="73">
        <f t="shared" ref="G407:I407" si="215">G406</f>
        <v>3</v>
      </c>
      <c r="H407" s="73">
        <f t="shared" si="215"/>
        <v>1</v>
      </c>
      <c r="I407" s="73">
        <f t="shared" si="215"/>
        <v>5</v>
      </c>
      <c r="J407" s="73">
        <f>'Achievement Reward Base'!B436</f>
        <v>400</v>
      </c>
      <c r="K407" s="73" t="str">
        <f t="shared" si="202"/>
        <v>160001001</v>
      </c>
      <c r="L407" s="73">
        <f>'Achievement Reward Base'!D436</f>
        <v>170000</v>
      </c>
      <c r="M407" s="73" t="s">
        <v>18</v>
      </c>
      <c r="N407" s="73">
        <f t="shared" si="207"/>
        <v>51702</v>
      </c>
      <c r="O407" s="73">
        <f t="shared" si="207"/>
        <v>52702</v>
      </c>
      <c r="P407" s="73">
        <f t="shared" si="206"/>
        <v>530800009</v>
      </c>
    </row>
    <row r="408" spans="1:16" ht="16.5" customHeight="1" x14ac:dyDescent="0.3">
      <c r="A408" s="106" t="b">
        <v>0</v>
      </c>
      <c r="B408" s="107" t="s">
        <v>135</v>
      </c>
      <c r="C408" s="73">
        <f t="shared" si="203"/>
        <v>903151028</v>
      </c>
      <c r="D408" s="73">
        <f t="shared" si="209"/>
        <v>903151027</v>
      </c>
      <c r="E408" s="73">
        <f t="shared" si="200"/>
        <v>903151029</v>
      </c>
      <c r="F408" s="101" t="s">
        <v>1104</v>
      </c>
      <c r="G408" s="73">
        <f t="shared" ref="G408:I408" si="216">G407</f>
        <v>3</v>
      </c>
      <c r="H408" s="73">
        <f t="shared" si="216"/>
        <v>1</v>
      </c>
      <c r="I408" s="73">
        <f t="shared" si="216"/>
        <v>5</v>
      </c>
      <c r="J408" s="73">
        <f>'Achievement Reward Base'!B437</f>
        <v>450</v>
      </c>
      <c r="K408" s="73" t="str">
        <f t="shared" si="202"/>
        <v>160001001</v>
      </c>
      <c r="L408" s="73">
        <f>'Achievement Reward Base'!D437</f>
        <v>180000</v>
      </c>
      <c r="M408" s="73" t="s">
        <v>18</v>
      </c>
      <c r="N408" s="73">
        <f t="shared" si="207"/>
        <v>51703</v>
      </c>
      <c r="O408" s="73">
        <f t="shared" si="207"/>
        <v>52703</v>
      </c>
      <c r="P408" s="73">
        <f t="shared" si="206"/>
        <v>530800009</v>
      </c>
    </row>
    <row r="409" spans="1:16" ht="16.5" customHeight="1" x14ac:dyDescent="0.3">
      <c r="A409" s="106" t="b">
        <v>0</v>
      </c>
      <c r="B409" s="107" t="s">
        <v>136</v>
      </c>
      <c r="C409" s="73">
        <f t="shared" si="203"/>
        <v>903151029</v>
      </c>
      <c r="D409" s="73">
        <f t="shared" si="209"/>
        <v>903151028</v>
      </c>
      <c r="E409" s="73">
        <f t="shared" si="200"/>
        <v>903151030</v>
      </c>
      <c r="F409" s="101" t="s">
        <v>1104</v>
      </c>
      <c r="G409" s="73">
        <f t="shared" ref="G409:I409" si="217">G408</f>
        <v>3</v>
      </c>
      <c r="H409" s="73">
        <f t="shared" si="217"/>
        <v>1</v>
      </c>
      <c r="I409" s="73">
        <f t="shared" si="217"/>
        <v>5</v>
      </c>
      <c r="J409" s="73">
        <f>'Achievement Reward Base'!B438</f>
        <v>500</v>
      </c>
      <c r="K409" s="73" t="str">
        <f t="shared" si="202"/>
        <v>160001001</v>
      </c>
      <c r="L409" s="73">
        <f>'Achievement Reward Base'!D438</f>
        <v>190000</v>
      </c>
      <c r="M409" s="73" t="s">
        <v>18</v>
      </c>
      <c r="N409" s="73">
        <f t="shared" si="207"/>
        <v>51704</v>
      </c>
      <c r="O409" s="73">
        <f t="shared" si="207"/>
        <v>52704</v>
      </c>
      <c r="P409" s="73">
        <f t="shared" si="206"/>
        <v>530800009</v>
      </c>
    </row>
    <row r="410" spans="1:16" ht="16.5" customHeight="1" x14ac:dyDescent="0.3">
      <c r="A410" s="106" t="b">
        <v>0</v>
      </c>
      <c r="B410" s="107" t="s">
        <v>137</v>
      </c>
      <c r="C410" s="73">
        <f t="shared" si="203"/>
        <v>903151030</v>
      </c>
      <c r="D410" s="73">
        <f t="shared" si="209"/>
        <v>903151029</v>
      </c>
      <c r="E410" s="73">
        <f t="shared" si="200"/>
        <v>903151031</v>
      </c>
      <c r="F410" s="101" t="s">
        <v>1104</v>
      </c>
      <c r="G410" s="73">
        <f t="shared" ref="G410:I410" si="218">G409</f>
        <v>3</v>
      </c>
      <c r="H410" s="73">
        <f t="shared" si="218"/>
        <v>1</v>
      </c>
      <c r="I410" s="73">
        <f t="shared" si="218"/>
        <v>5</v>
      </c>
      <c r="J410" s="73">
        <f>'Achievement Reward Base'!B439</f>
        <v>550</v>
      </c>
      <c r="K410" s="73" t="str">
        <f t="shared" si="202"/>
        <v>160001001</v>
      </c>
      <c r="L410" s="73">
        <f>'Achievement Reward Base'!D439</f>
        <v>200000</v>
      </c>
      <c r="M410" s="73" t="s">
        <v>18</v>
      </c>
      <c r="N410" s="73">
        <f t="shared" si="207"/>
        <v>51705</v>
      </c>
      <c r="O410" s="73">
        <f t="shared" si="207"/>
        <v>52705</v>
      </c>
      <c r="P410" s="73">
        <f t="shared" si="206"/>
        <v>530800009</v>
      </c>
    </row>
    <row r="411" spans="1:16" ht="16.5" customHeight="1" x14ac:dyDescent="0.3">
      <c r="A411" s="106" t="b">
        <v>0</v>
      </c>
      <c r="B411" s="107" t="s">
        <v>138</v>
      </c>
      <c r="C411" s="73">
        <f t="shared" si="203"/>
        <v>903151031</v>
      </c>
      <c r="D411" s="73">
        <f t="shared" si="209"/>
        <v>903151030</v>
      </c>
      <c r="E411" s="73">
        <f t="shared" si="200"/>
        <v>903151032</v>
      </c>
      <c r="F411" s="101" t="s">
        <v>1104</v>
      </c>
      <c r="G411" s="73">
        <f t="shared" ref="G411:I411" si="219">G410</f>
        <v>3</v>
      </c>
      <c r="H411" s="73">
        <f t="shared" si="219"/>
        <v>1</v>
      </c>
      <c r="I411" s="73">
        <f t="shared" si="219"/>
        <v>5</v>
      </c>
      <c r="J411" s="73">
        <f>'Achievement Reward Base'!B440</f>
        <v>600</v>
      </c>
      <c r="K411" s="73" t="str">
        <f t="shared" si="202"/>
        <v>160001001</v>
      </c>
      <c r="L411" s="73">
        <f>'Achievement Reward Base'!D440</f>
        <v>210000</v>
      </c>
      <c r="M411" s="73" t="s">
        <v>18</v>
      </c>
      <c r="N411" s="73">
        <f t="shared" si="207"/>
        <v>51706</v>
      </c>
      <c r="O411" s="73">
        <f t="shared" si="207"/>
        <v>52706</v>
      </c>
      <c r="P411" s="73">
        <f t="shared" si="206"/>
        <v>530800009</v>
      </c>
    </row>
    <row r="412" spans="1:16" ht="16.5" customHeight="1" x14ac:dyDescent="0.3">
      <c r="A412" s="106" t="b">
        <v>0</v>
      </c>
      <c r="B412" s="107" t="s">
        <v>139</v>
      </c>
      <c r="C412" s="73">
        <f t="shared" si="203"/>
        <v>903151032</v>
      </c>
      <c r="D412" s="73">
        <f t="shared" si="209"/>
        <v>903151031</v>
      </c>
      <c r="E412" s="73">
        <f t="shared" si="200"/>
        <v>903151033</v>
      </c>
      <c r="F412" s="101" t="s">
        <v>1104</v>
      </c>
      <c r="G412" s="73">
        <f t="shared" ref="G412:I412" si="220">G411</f>
        <v>3</v>
      </c>
      <c r="H412" s="73">
        <f t="shared" si="220"/>
        <v>1</v>
      </c>
      <c r="I412" s="73">
        <f t="shared" si="220"/>
        <v>5</v>
      </c>
      <c r="J412" s="73">
        <f>'Achievement Reward Base'!B441</f>
        <v>650</v>
      </c>
      <c r="K412" s="73" t="str">
        <f t="shared" si="202"/>
        <v>160001001</v>
      </c>
      <c r="L412" s="73">
        <f>'Achievement Reward Base'!D441</f>
        <v>220000</v>
      </c>
      <c r="M412" s="73" t="s">
        <v>18</v>
      </c>
      <c r="N412" s="73">
        <f t="shared" si="207"/>
        <v>51707</v>
      </c>
      <c r="O412" s="73">
        <f t="shared" si="207"/>
        <v>52707</v>
      </c>
      <c r="P412" s="73">
        <f t="shared" si="206"/>
        <v>530800009</v>
      </c>
    </row>
    <row r="413" spans="1:16" ht="16.5" customHeight="1" x14ac:dyDescent="0.3">
      <c r="A413" s="106" t="b">
        <v>0</v>
      </c>
      <c r="B413" s="107" t="s">
        <v>140</v>
      </c>
      <c r="C413" s="73">
        <f t="shared" si="203"/>
        <v>903151033</v>
      </c>
      <c r="D413" s="73">
        <f t="shared" si="209"/>
        <v>903151032</v>
      </c>
      <c r="E413" s="73">
        <f t="shared" si="200"/>
        <v>903151034</v>
      </c>
      <c r="F413" s="101" t="s">
        <v>1104</v>
      </c>
      <c r="G413" s="73">
        <f t="shared" ref="G413:I413" si="221">G412</f>
        <v>3</v>
      </c>
      <c r="H413" s="73">
        <f t="shared" si="221"/>
        <v>1</v>
      </c>
      <c r="I413" s="73">
        <f t="shared" si="221"/>
        <v>5</v>
      </c>
      <c r="J413" s="73">
        <f>'Achievement Reward Base'!B442</f>
        <v>700</v>
      </c>
      <c r="K413" s="73" t="str">
        <f t="shared" si="202"/>
        <v>160001001</v>
      </c>
      <c r="L413" s="73">
        <f>'Achievement Reward Base'!D442</f>
        <v>230000</v>
      </c>
      <c r="M413" s="73" t="s">
        <v>18</v>
      </c>
      <c r="N413" s="73">
        <f t="shared" si="207"/>
        <v>51708</v>
      </c>
      <c r="O413" s="73">
        <f t="shared" si="207"/>
        <v>52708</v>
      </c>
      <c r="P413" s="73">
        <f t="shared" si="206"/>
        <v>530800009</v>
      </c>
    </row>
    <row r="414" spans="1:16" ht="16.5" customHeight="1" x14ac:dyDescent="0.3">
      <c r="A414" s="106" t="b">
        <v>0</v>
      </c>
      <c r="B414" s="107" t="s">
        <v>141</v>
      </c>
      <c r="C414" s="73">
        <f t="shared" si="203"/>
        <v>903151034</v>
      </c>
      <c r="D414" s="73">
        <f t="shared" si="209"/>
        <v>903151033</v>
      </c>
      <c r="E414" s="73">
        <f t="shared" si="200"/>
        <v>903151035</v>
      </c>
      <c r="F414" s="101" t="s">
        <v>1104</v>
      </c>
      <c r="G414" s="73">
        <f t="shared" ref="G414:I414" si="222">G413</f>
        <v>3</v>
      </c>
      <c r="H414" s="73">
        <f t="shared" si="222"/>
        <v>1</v>
      </c>
      <c r="I414" s="73">
        <f t="shared" si="222"/>
        <v>5</v>
      </c>
      <c r="J414" s="73">
        <f>'Achievement Reward Base'!B443</f>
        <v>750</v>
      </c>
      <c r="K414" s="73" t="str">
        <f t="shared" si="202"/>
        <v>160001001</v>
      </c>
      <c r="L414" s="73">
        <f>'Achievement Reward Base'!D443</f>
        <v>240000</v>
      </c>
      <c r="M414" s="73" t="s">
        <v>18</v>
      </c>
      <c r="N414" s="73">
        <f t="shared" si="207"/>
        <v>51709</v>
      </c>
      <c r="O414" s="73">
        <f t="shared" si="207"/>
        <v>52709</v>
      </c>
      <c r="P414" s="73">
        <f t="shared" si="206"/>
        <v>530800009</v>
      </c>
    </row>
    <row r="415" spans="1:16" ht="16.5" customHeight="1" x14ac:dyDescent="0.3">
      <c r="A415" s="106" t="b">
        <v>0</v>
      </c>
      <c r="B415" s="107" t="s">
        <v>142</v>
      </c>
      <c r="C415" s="73">
        <f t="shared" si="203"/>
        <v>903151035</v>
      </c>
      <c r="D415" s="73">
        <f t="shared" si="209"/>
        <v>903151034</v>
      </c>
      <c r="E415" s="73">
        <f t="shared" si="200"/>
        <v>903151036</v>
      </c>
      <c r="F415" s="101" t="s">
        <v>1104</v>
      </c>
      <c r="G415" s="73">
        <f t="shared" ref="G415:I415" si="223">G414</f>
        <v>3</v>
      </c>
      <c r="H415" s="73">
        <f t="shared" si="223"/>
        <v>1</v>
      </c>
      <c r="I415" s="73">
        <f t="shared" si="223"/>
        <v>5</v>
      </c>
      <c r="J415" s="73">
        <f>'Achievement Reward Base'!B444</f>
        <v>800</v>
      </c>
      <c r="K415" s="73" t="str">
        <f t="shared" si="202"/>
        <v>160001001</v>
      </c>
      <c r="L415" s="73">
        <f>'Achievement Reward Base'!D444</f>
        <v>250000</v>
      </c>
      <c r="M415" s="73" t="s">
        <v>18</v>
      </c>
      <c r="N415" s="73">
        <f t="shared" si="207"/>
        <v>51710</v>
      </c>
      <c r="O415" s="73">
        <f t="shared" si="207"/>
        <v>52710</v>
      </c>
      <c r="P415" s="73">
        <f t="shared" si="206"/>
        <v>530800009</v>
      </c>
    </row>
    <row r="416" spans="1:16" ht="16.5" customHeight="1" x14ac:dyDescent="0.3">
      <c r="A416" s="106" t="b">
        <v>0</v>
      </c>
      <c r="B416" s="107" t="s">
        <v>143</v>
      </c>
      <c r="C416" s="73">
        <f t="shared" si="203"/>
        <v>903151036</v>
      </c>
      <c r="D416" s="73">
        <f t="shared" si="209"/>
        <v>903151035</v>
      </c>
      <c r="E416" s="73">
        <f t="shared" si="200"/>
        <v>903151037</v>
      </c>
      <c r="F416" s="101" t="s">
        <v>1104</v>
      </c>
      <c r="G416" s="73">
        <f t="shared" ref="G416:I416" si="224">G415</f>
        <v>3</v>
      </c>
      <c r="H416" s="73">
        <f t="shared" si="224"/>
        <v>1</v>
      </c>
      <c r="I416" s="73">
        <f t="shared" si="224"/>
        <v>5</v>
      </c>
      <c r="J416" s="73">
        <f>'Achievement Reward Base'!B445</f>
        <v>850</v>
      </c>
      <c r="K416" s="73" t="str">
        <f t="shared" si="202"/>
        <v>160001001</v>
      </c>
      <c r="L416" s="73">
        <f>'Achievement Reward Base'!D445</f>
        <v>260000</v>
      </c>
      <c r="M416" s="73" t="s">
        <v>18</v>
      </c>
      <c r="N416" s="73">
        <f t="shared" si="207"/>
        <v>51711</v>
      </c>
      <c r="O416" s="73">
        <f t="shared" si="207"/>
        <v>52711</v>
      </c>
      <c r="P416" s="73">
        <f t="shared" si="206"/>
        <v>530800009</v>
      </c>
    </row>
    <row r="417" spans="1:16" ht="16.5" customHeight="1" x14ac:dyDescent="0.3">
      <c r="A417" s="106" t="b">
        <v>0</v>
      </c>
      <c r="B417" s="107" t="s">
        <v>144</v>
      </c>
      <c r="C417" s="73">
        <f t="shared" si="203"/>
        <v>903151037</v>
      </c>
      <c r="D417" s="73">
        <f t="shared" si="209"/>
        <v>903151036</v>
      </c>
      <c r="E417" s="73">
        <f t="shared" si="200"/>
        <v>903151038</v>
      </c>
      <c r="F417" s="101" t="s">
        <v>1104</v>
      </c>
      <c r="G417" s="73">
        <f t="shared" ref="G417:I417" si="225">G416</f>
        <v>3</v>
      </c>
      <c r="H417" s="73">
        <f t="shared" si="225"/>
        <v>1</v>
      </c>
      <c r="I417" s="73">
        <f t="shared" si="225"/>
        <v>5</v>
      </c>
      <c r="J417" s="73">
        <f>'Achievement Reward Base'!B446</f>
        <v>900</v>
      </c>
      <c r="K417" s="73" t="str">
        <f t="shared" si="202"/>
        <v>160001001</v>
      </c>
      <c r="L417" s="73">
        <f>'Achievement Reward Base'!D446</f>
        <v>270000</v>
      </c>
      <c r="M417" s="73" t="s">
        <v>18</v>
      </c>
      <c r="N417" s="73">
        <f t="shared" si="207"/>
        <v>51712</v>
      </c>
      <c r="O417" s="73">
        <f t="shared" si="207"/>
        <v>52712</v>
      </c>
      <c r="P417" s="73">
        <f t="shared" si="206"/>
        <v>530800009</v>
      </c>
    </row>
    <row r="418" spans="1:16" ht="16.5" customHeight="1" x14ac:dyDescent="0.3">
      <c r="A418" s="106" t="b">
        <v>0</v>
      </c>
      <c r="B418" s="107" t="s">
        <v>145</v>
      </c>
      <c r="C418" s="73">
        <f t="shared" si="203"/>
        <v>903151038</v>
      </c>
      <c r="D418" s="73">
        <f t="shared" si="209"/>
        <v>903151037</v>
      </c>
      <c r="E418" s="73">
        <f t="shared" si="200"/>
        <v>903151039</v>
      </c>
      <c r="F418" s="101" t="s">
        <v>1104</v>
      </c>
      <c r="G418" s="73">
        <f t="shared" ref="G418:I418" si="226">G417</f>
        <v>3</v>
      </c>
      <c r="H418" s="73">
        <f t="shared" si="226"/>
        <v>1</v>
      </c>
      <c r="I418" s="73">
        <f t="shared" si="226"/>
        <v>5</v>
      </c>
      <c r="J418" s="73">
        <f>'Achievement Reward Base'!B447</f>
        <v>950</v>
      </c>
      <c r="K418" s="73" t="str">
        <f t="shared" si="202"/>
        <v>160001001</v>
      </c>
      <c r="L418" s="73">
        <f>'Achievement Reward Base'!D447</f>
        <v>280000</v>
      </c>
      <c r="M418" s="73" t="s">
        <v>18</v>
      </c>
      <c r="N418" s="73">
        <f t="shared" si="207"/>
        <v>51713</v>
      </c>
      <c r="O418" s="73">
        <f t="shared" si="207"/>
        <v>52713</v>
      </c>
      <c r="P418" s="73">
        <f t="shared" si="206"/>
        <v>530800009</v>
      </c>
    </row>
    <row r="419" spans="1:16" ht="16.5" customHeight="1" x14ac:dyDescent="0.3">
      <c r="A419" s="106" t="b">
        <v>0</v>
      </c>
      <c r="B419" s="107" t="s">
        <v>146</v>
      </c>
      <c r="C419" s="73">
        <f t="shared" si="203"/>
        <v>903151039</v>
      </c>
      <c r="D419" s="73">
        <f t="shared" si="209"/>
        <v>903151038</v>
      </c>
      <c r="E419" s="73">
        <v>0</v>
      </c>
      <c r="F419" s="101" t="s">
        <v>1104</v>
      </c>
      <c r="G419" s="73">
        <f t="shared" ref="G419:I419" si="227">G418</f>
        <v>3</v>
      </c>
      <c r="H419" s="73">
        <f t="shared" si="227"/>
        <v>1</v>
      </c>
      <c r="I419" s="73">
        <f t="shared" si="227"/>
        <v>5</v>
      </c>
      <c r="J419" s="73">
        <f>'Achievement Reward Base'!B448</f>
        <v>1000</v>
      </c>
      <c r="K419" s="73" t="str">
        <f t="shared" si="202"/>
        <v>160001001</v>
      </c>
      <c r="L419" s="73">
        <f>'Achievement Reward Base'!D448</f>
        <v>290000</v>
      </c>
      <c r="M419" s="73" t="s">
        <v>18</v>
      </c>
      <c r="N419" s="73">
        <f t="shared" si="207"/>
        <v>51714</v>
      </c>
      <c r="O419" s="73">
        <f t="shared" si="207"/>
        <v>52714</v>
      </c>
      <c r="P419" s="73">
        <f t="shared" si="206"/>
        <v>530800009</v>
      </c>
    </row>
  </sheetData>
  <phoneticPr fontId="22" type="noConversion"/>
  <pageMargins left="0.7" right="0.7" top="0.75" bottom="0.75" header="0.3" footer="0.3"/>
  <pageSetup paperSize="9" orientation="portrait" r:id="rId1"/>
  <ignoredErrors>
    <ignoredError sqref="J7:J67 J83:J184 J68:J82 J185:J4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4"/>
  <sheetViews>
    <sheetView workbookViewId="0">
      <selection activeCell="D71" sqref="A1:F444"/>
    </sheetView>
  </sheetViews>
  <sheetFormatPr defaultRowHeight="16.5" x14ac:dyDescent="0.3"/>
  <cols>
    <col min="2" max="2" width="40.625" bestFit="1" customWidth="1"/>
    <col min="3" max="3" width="8.625" bestFit="1" customWidth="1"/>
    <col min="4" max="4" width="35" bestFit="1" customWidth="1"/>
    <col min="5" max="5" width="40.125" bestFit="1" customWidth="1"/>
    <col min="6" max="6" width="35" bestFit="1" customWidth="1"/>
  </cols>
  <sheetData>
    <row r="1" spans="1:6" x14ac:dyDescent="0.3">
      <c r="A1" s="3" t="s">
        <v>67</v>
      </c>
      <c r="B1" s="4" t="s">
        <v>60</v>
      </c>
      <c r="C1" s="2"/>
      <c r="D1" s="1"/>
      <c r="E1" s="5"/>
      <c r="F1" s="5"/>
    </row>
    <row r="2" spans="1:6" x14ac:dyDescent="0.3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</row>
    <row r="3" spans="1:6" x14ac:dyDescent="0.3">
      <c r="A3" s="9" t="s">
        <v>3</v>
      </c>
      <c r="B3" s="9" t="s">
        <v>3</v>
      </c>
      <c r="C3" s="9" t="s">
        <v>61</v>
      </c>
      <c r="D3" s="9" t="s">
        <v>61</v>
      </c>
      <c r="E3" s="9" t="s">
        <v>61</v>
      </c>
      <c r="F3" s="9" t="s">
        <v>61</v>
      </c>
    </row>
    <row r="4" spans="1:6" x14ac:dyDescent="0.3">
      <c r="A4" s="22" t="s">
        <v>5</v>
      </c>
      <c r="B4" s="22" t="s">
        <v>6</v>
      </c>
      <c r="C4" s="22" t="s">
        <v>7</v>
      </c>
      <c r="D4" s="22" t="s">
        <v>6</v>
      </c>
      <c r="E4" s="22" t="s">
        <v>6</v>
      </c>
      <c r="F4" s="22" t="s">
        <v>6</v>
      </c>
    </row>
    <row r="5" spans="1:6" x14ac:dyDescent="0.3">
      <c r="A5" s="23" t="s">
        <v>9</v>
      </c>
      <c r="B5" s="23" t="s">
        <v>10</v>
      </c>
      <c r="C5" s="24" t="s">
        <v>62</v>
      </c>
      <c r="D5" s="23" t="s">
        <v>63</v>
      </c>
      <c r="E5" s="23" t="s">
        <v>64</v>
      </c>
      <c r="F5" s="23" t="s">
        <v>65</v>
      </c>
    </row>
    <row r="6" spans="1:6" x14ac:dyDescent="0.3">
      <c r="A6" s="25" t="b">
        <v>1</v>
      </c>
      <c r="B6" s="26" t="str">
        <f>"일일 - " &amp;D6</f>
        <v>일일 - 모든 일일미션 완료</v>
      </c>
      <c r="C6" s="36">
        <v>51001</v>
      </c>
      <c r="D6" s="26" t="s">
        <v>96</v>
      </c>
      <c r="E6" s="41" t="s">
        <v>147</v>
      </c>
      <c r="F6" s="26" t="s">
        <v>96</v>
      </c>
    </row>
    <row r="7" spans="1:6" x14ac:dyDescent="0.3">
      <c r="A7" s="25" t="b">
        <v>1</v>
      </c>
      <c r="B7" s="26" t="str">
        <f t="shared" ref="B7:B12" si="0">"일일 - " &amp;D7</f>
        <v>일일 - 일반던전 완료</v>
      </c>
      <c r="C7" s="27">
        <f>C6+1</f>
        <v>51002</v>
      </c>
      <c r="D7" s="26" t="s">
        <v>95</v>
      </c>
      <c r="E7" s="41" t="s">
        <v>148</v>
      </c>
      <c r="F7" s="26" t="s">
        <v>95</v>
      </c>
    </row>
    <row r="8" spans="1:6" x14ac:dyDescent="0.3">
      <c r="A8" s="25" t="b">
        <v>1</v>
      </c>
      <c r="B8" s="26" t="str">
        <f t="shared" si="0"/>
        <v>일일 - 정예던전 완료</v>
      </c>
      <c r="C8" s="27">
        <f t="shared" ref="C8:C12" si="1">C7+1</f>
        <v>51003</v>
      </c>
      <c r="D8" s="26" t="s">
        <v>100</v>
      </c>
      <c r="E8" s="41" t="s">
        <v>149</v>
      </c>
      <c r="F8" s="26" t="s">
        <v>100</v>
      </c>
    </row>
    <row r="9" spans="1:6" x14ac:dyDescent="0.3">
      <c r="A9" s="25" t="b">
        <v>1</v>
      </c>
      <c r="B9" s="26" t="str">
        <f t="shared" si="0"/>
        <v>일일 - 요일던전 완료</v>
      </c>
      <c r="C9" s="27">
        <f t="shared" si="1"/>
        <v>51004</v>
      </c>
      <c r="D9" s="26" t="s">
        <v>101</v>
      </c>
      <c r="E9" s="41" t="s">
        <v>150</v>
      </c>
      <c r="F9" s="26" t="s">
        <v>101</v>
      </c>
    </row>
    <row r="10" spans="1:6" x14ac:dyDescent="0.3">
      <c r="A10" s="25" t="b">
        <v>1</v>
      </c>
      <c r="B10" s="26" t="str">
        <f t="shared" si="0"/>
        <v>일일 - 균열던전 참가</v>
      </c>
      <c r="C10" s="27">
        <f t="shared" si="1"/>
        <v>51005</v>
      </c>
      <c r="D10" s="26" t="s">
        <v>68</v>
      </c>
      <c r="E10" s="41" t="s">
        <v>151</v>
      </c>
      <c r="F10" s="26" t="s">
        <v>68</v>
      </c>
    </row>
    <row r="11" spans="1:6" x14ac:dyDescent="0.3">
      <c r="A11" s="25" t="b">
        <v>1</v>
      </c>
      <c r="B11" s="26" t="str">
        <f t="shared" si="0"/>
        <v>일일 - 결투장 참가</v>
      </c>
      <c r="C11" s="27">
        <f t="shared" si="1"/>
        <v>51006</v>
      </c>
      <c r="D11" s="26" t="s">
        <v>69</v>
      </c>
      <c r="E11" s="41" t="s">
        <v>152</v>
      </c>
      <c r="F11" s="26" t="s">
        <v>69</v>
      </c>
    </row>
    <row r="12" spans="1:6" x14ac:dyDescent="0.3">
      <c r="A12" s="25" t="b">
        <v>1</v>
      </c>
      <c r="B12" s="26" t="str">
        <f t="shared" si="0"/>
        <v>일일 - 장비아이템 획득</v>
      </c>
      <c r="C12" s="27">
        <f t="shared" si="1"/>
        <v>51007</v>
      </c>
      <c r="D12" s="26" t="s">
        <v>70</v>
      </c>
      <c r="E12" s="41" t="s">
        <v>153</v>
      </c>
      <c r="F12" s="26" t="s">
        <v>70</v>
      </c>
    </row>
    <row r="13" spans="1:6" x14ac:dyDescent="0.3">
      <c r="A13" s="28" t="b">
        <v>1</v>
      </c>
      <c r="B13" s="29" t="str">
        <f>"주간 - " &amp;D13</f>
        <v>주간 - 모든 주간미션 완료</v>
      </c>
      <c r="C13" s="36">
        <f>C6+100</f>
        <v>51101</v>
      </c>
      <c r="D13" s="29" t="s">
        <v>97</v>
      </c>
      <c r="E13" s="38" t="s">
        <v>154</v>
      </c>
      <c r="F13" s="29" t="s">
        <v>97</v>
      </c>
    </row>
    <row r="14" spans="1:6" x14ac:dyDescent="0.3">
      <c r="A14" s="28" t="b">
        <v>1</v>
      </c>
      <c r="B14" s="29" t="str">
        <f t="shared" ref="B14:B21" si="2">"주간 - " &amp;D14</f>
        <v>주간 - 모든 일일미션 달성</v>
      </c>
      <c r="C14" s="28">
        <f>C13+1</f>
        <v>51102</v>
      </c>
      <c r="D14" s="29" t="s">
        <v>98</v>
      </c>
      <c r="E14" s="38" t="s">
        <v>155</v>
      </c>
      <c r="F14" s="29" t="s">
        <v>98</v>
      </c>
    </row>
    <row r="15" spans="1:6" x14ac:dyDescent="0.3">
      <c r="A15" s="28" t="b">
        <v>1</v>
      </c>
      <c r="B15" s="29" t="str">
        <f t="shared" si="2"/>
        <v>주간 - 수호석 업그레이드 성공</v>
      </c>
      <c r="C15" s="28">
        <f t="shared" ref="C15:C21" si="3">C14+1</f>
        <v>51103</v>
      </c>
      <c r="D15" s="29" t="s">
        <v>71</v>
      </c>
      <c r="E15" s="42" t="s">
        <v>156</v>
      </c>
      <c r="F15" s="29" t="s">
        <v>71</v>
      </c>
    </row>
    <row r="16" spans="1:6" x14ac:dyDescent="0.3">
      <c r="A16" s="28" t="b">
        <v>1</v>
      </c>
      <c r="B16" s="29" t="str">
        <f t="shared" si="2"/>
        <v>주간 - 결투장 승리</v>
      </c>
      <c r="C16" s="28">
        <f t="shared" si="3"/>
        <v>51104</v>
      </c>
      <c r="D16" s="29" t="s">
        <v>72</v>
      </c>
      <c r="E16" s="38" t="s">
        <v>157</v>
      </c>
      <c r="F16" s="29" t="s">
        <v>72</v>
      </c>
    </row>
    <row r="17" spans="1:6" x14ac:dyDescent="0.3">
      <c r="A17" s="28" t="b">
        <v>1</v>
      </c>
      <c r="B17" s="29" t="str">
        <f t="shared" si="2"/>
        <v>주간 - 수호레이드 참가</v>
      </c>
      <c r="C17" s="28">
        <f t="shared" si="3"/>
        <v>51105</v>
      </c>
      <c r="D17" s="29" t="s">
        <v>73</v>
      </c>
      <c r="E17" s="38" t="s">
        <v>158</v>
      </c>
      <c r="F17" s="29" t="s">
        <v>73</v>
      </c>
    </row>
    <row r="18" spans="1:6" x14ac:dyDescent="0.3">
      <c r="A18" s="28" t="b">
        <v>1</v>
      </c>
      <c r="B18" s="29" t="str">
        <f t="shared" si="2"/>
        <v>주간 - 균열석 획득</v>
      </c>
      <c r="C18" s="28">
        <f t="shared" si="3"/>
        <v>51106</v>
      </c>
      <c r="D18" s="29" t="s">
        <v>74</v>
      </c>
      <c r="E18" s="38" t="s">
        <v>159</v>
      </c>
      <c r="F18" s="29" t="s">
        <v>74</v>
      </c>
    </row>
    <row r="19" spans="1:6" x14ac:dyDescent="0.3">
      <c r="A19" s="28" t="b">
        <v>1</v>
      </c>
      <c r="B19" s="29" t="str">
        <f t="shared" si="2"/>
        <v>주간 - 장비아이템 획득</v>
      </c>
      <c r="C19" s="28">
        <f t="shared" si="3"/>
        <v>51107</v>
      </c>
      <c r="D19" s="29" t="s">
        <v>70</v>
      </c>
      <c r="E19" s="38" t="s">
        <v>153</v>
      </c>
      <c r="F19" s="29" t="s">
        <v>70</v>
      </c>
    </row>
    <row r="20" spans="1:6" x14ac:dyDescent="0.3">
      <c r="A20" s="28" t="b">
        <v>1</v>
      </c>
      <c r="B20" s="29" t="str">
        <f t="shared" si="2"/>
        <v>주간 - 장비아이템 강화</v>
      </c>
      <c r="C20" s="28">
        <f t="shared" si="3"/>
        <v>51108</v>
      </c>
      <c r="D20" s="29" t="s">
        <v>75</v>
      </c>
      <c r="E20" s="38" t="s">
        <v>160</v>
      </c>
      <c r="F20" s="29" t="s">
        <v>75</v>
      </c>
    </row>
    <row r="21" spans="1:6" x14ac:dyDescent="0.3">
      <c r="A21" s="28" t="b">
        <v>1</v>
      </c>
      <c r="B21" s="29" t="str">
        <f t="shared" si="2"/>
        <v>주간 - 장비아이템 분해</v>
      </c>
      <c r="C21" s="28">
        <f t="shared" si="3"/>
        <v>51109</v>
      </c>
      <c r="D21" s="29" t="s">
        <v>76</v>
      </c>
      <c r="E21" s="38" t="s">
        <v>161</v>
      </c>
      <c r="F21" s="29" t="s">
        <v>76</v>
      </c>
    </row>
    <row r="22" spans="1:6" x14ac:dyDescent="0.3">
      <c r="A22" s="30" t="b">
        <v>1</v>
      </c>
      <c r="B22" s="31" t="str">
        <f>"월간 - " &amp;D22</f>
        <v>월간 - 모든 주간미션 달성</v>
      </c>
      <c r="C22" s="36">
        <f>C13+100</f>
        <v>51201</v>
      </c>
      <c r="D22" s="31" t="s">
        <v>99</v>
      </c>
      <c r="E22" s="43" t="s">
        <v>154</v>
      </c>
      <c r="F22" s="31" t="s">
        <v>99</v>
      </c>
    </row>
    <row r="23" spans="1:6" x14ac:dyDescent="0.3">
      <c r="A23" s="30" t="b">
        <v>1</v>
      </c>
      <c r="B23" s="31" t="str">
        <f t="shared" ref="B23:B30" si="4">"월간 - " &amp;D23</f>
        <v>월간 - 일반던전 완료</v>
      </c>
      <c r="C23" s="30">
        <f t="shared" ref="C23:C30" si="5">C22+1</f>
        <v>51202</v>
      </c>
      <c r="D23" s="31" t="s">
        <v>95</v>
      </c>
      <c r="E23" s="43" t="s">
        <v>148</v>
      </c>
      <c r="F23" s="31" t="s">
        <v>95</v>
      </c>
    </row>
    <row r="24" spans="1:6" x14ac:dyDescent="0.3">
      <c r="A24" s="30" t="b">
        <v>1</v>
      </c>
      <c r="B24" s="31" t="str">
        <f t="shared" si="4"/>
        <v>월간 - 정예던전 완료</v>
      </c>
      <c r="C24" s="30">
        <f t="shared" si="5"/>
        <v>51203</v>
      </c>
      <c r="D24" s="31" t="s">
        <v>100</v>
      </c>
      <c r="E24" s="43" t="s">
        <v>149</v>
      </c>
      <c r="F24" s="31" t="s">
        <v>100</v>
      </c>
    </row>
    <row r="25" spans="1:6" x14ac:dyDescent="0.3">
      <c r="A25" s="30" t="b">
        <v>1</v>
      </c>
      <c r="B25" s="31" t="str">
        <f t="shared" si="4"/>
        <v>월간 - 요일던전 완료</v>
      </c>
      <c r="C25" s="30">
        <f t="shared" si="5"/>
        <v>51204</v>
      </c>
      <c r="D25" s="31" t="s">
        <v>101</v>
      </c>
      <c r="E25" s="43" t="s">
        <v>162</v>
      </c>
      <c r="F25" s="31" t="s">
        <v>101</v>
      </c>
    </row>
    <row r="26" spans="1:6" x14ac:dyDescent="0.3">
      <c r="A26" s="30" t="b">
        <v>1</v>
      </c>
      <c r="B26" s="31" t="str">
        <f t="shared" si="4"/>
        <v>월간 - 균열던전 참가</v>
      </c>
      <c r="C26" s="30">
        <f t="shared" si="5"/>
        <v>51205</v>
      </c>
      <c r="D26" s="31" t="s">
        <v>68</v>
      </c>
      <c r="E26" s="43" t="s">
        <v>151</v>
      </c>
      <c r="F26" s="31" t="s">
        <v>68</v>
      </c>
    </row>
    <row r="27" spans="1:6" x14ac:dyDescent="0.3">
      <c r="A27" s="30" t="b">
        <v>1</v>
      </c>
      <c r="B27" s="31" t="str">
        <f t="shared" si="4"/>
        <v>월간 - 초월던전 참가</v>
      </c>
      <c r="C27" s="30">
        <f t="shared" si="5"/>
        <v>51206</v>
      </c>
      <c r="D27" s="31" t="s">
        <v>77</v>
      </c>
      <c r="E27" s="43" t="s">
        <v>163</v>
      </c>
      <c r="F27" s="31" t="s">
        <v>77</v>
      </c>
    </row>
    <row r="28" spans="1:6" x14ac:dyDescent="0.3">
      <c r="A28" s="30" t="b">
        <v>1</v>
      </c>
      <c r="B28" s="31" t="str">
        <f t="shared" si="4"/>
        <v>월간 - 결투장 참가</v>
      </c>
      <c r="C28" s="30">
        <f t="shared" si="5"/>
        <v>51207</v>
      </c>
      <c r="D28" s="31" t="s">
        <v>69</v>
      </c>
      <c r="E28" s="43" t="s">
        <v>152</v>
      </c>
      <c r="F28" s="31" t="s">
        <v>69</v>
      </c>
    </row>
    <row r="29" spans="1:6" x14ac:dyDescent="0.3">
      <c r="A29" s="30" t="b">
        <v>1</v>
      </c>
      <c r="B29" s="31" t="str">
        <f t="shared" si="4"/>
        <v>월간 - 룬스톤 획득</v>
      </c>
      <c r="C29" s="30">
        <f t="shared" si="5"/>
        <v>51208</v>
      </c>
      <c r="D29" s="31" t="s">
        <v>78</v>
      </c>
      <c r="E29" s="43" t="s">
        <v>164</v>
      </c>
      <c r="F29" s="31" t="s">
        <v>78</v>
      </c>
    </row>
    <row r="30" spans="1:6" x14ac:dyDescent="0.3">
      <c r="A30" s="30" t="b">
        <v>1</v>
      </c>
      <c r="B30" s="31" t="str">
        <f t="shared" si="4"/>
        <v>월간 - 균열석 획득</v>
      </c>
      <c r="C30" s="30">
        <f t="shared" si="5"/>
        <v>51209</v>
      </c>
      <c r="D30" s="31" t="s">
        <v>74</v>
      </c>
      <c r="E30" s="43" t="s">
        <v>165</v>
      </c>
      <c r="F30" s="31" t="s">
        <v>74</v>
      </c>
    </row>
    <row r="31" spans="1:6" x14ac:dyDescent="0.3">
      <c r="A31" s="103" t="b">
        <v>1</v>
      </c>
      <c r="B31" s="104" t="str">
        <f>"업적 - " &amp;D31</f>
        <v>업적 - [ffc0cb][캐릭터][-] 캐릭터 레벨 달성 Step.1</v>
      </c>
      <c r="C31" s="39">
        <f>C22+100</f>
        <v>51301</v>
      </c>
      <c r="D31" s="105" t="s">
        <v>285</v>
      </c>
      <c r="E31" s="105" t="s">
        <v>857</v>
      </c>
      <c r="F31" s="105" t="s">
        <v>285</v>
      </c>
    </row>
    <row r="32" spans="1:6" x14ac:dyDescent="0.3">
      <c r="A32" s="103" t="b">
        <v>1</v>
      </c>
      <c r="B32" s="104" t="str">
        <f t="shared" ref="B32:B92" si="6">"업적 - " &amp;D32</f>
        <v>업적 - [ffc0cb][캐릭터][-] 캐릭터 레벨 달성 Step.2</v>
      </c>
      <c r="C32" s="46">
        <f t="shared" ref="C32:C95" si="7">C31+1</f>
        <v>51302</v>
      </c>
      <c r="D32" s="105" t="s">
        <v>286</v>
      </c>
      <c r="E32" s="105" t="s">
        <v>858</v>
      </c>
      <c r="F32" s="105" t="s">
        <v>286</v>
      </c>
    </row>
    <row r="33" spans="1:6" x14ac:dyDescent="0.3">
      <c r="A33" s="103" t="b">
        <v>1</v>
      </c>
      <c r="B33" s="104" t="str">
        <f t="shared" si="6"/>
        <v>업적 - [ffc0cb][캐릭터][-] 캐릭터 레벨 달성 Step.3</v>
      </c>
      <c r="C33" s="46">
        <f t="shared" si="7"/>
        <v>51303</v>
      </c>
      <c r="D33" s="105" t="s">
        <v>287</v>
      </c>
      <c r="E33" s="105" t="s">
        <v>859</v>
      </c>
      <c r="F33" s="105" t="s">
        <v>287</v>
      </c>
    </row>
    <row r="34" spans="1:6" x14ac:dyDescent="0.3">
      <c r="A34" s="103" t="b">
        <v>1</v>
      </c>
      <c r="B34" s="104" t="str">
        <f t="shared" si="6"/>
        <v>업적 - [ffc0cb][캐릭터][-] 캐릭터 레벨 달성 Step.4</v>
      </c>
      <c r="C34" s="46">
        <f t="shared" si="7"/>
        <v>51304</v>
      </c>
      <c r="D34" s="105" t="s">
        <v>288</v>
      </c>
      <c r="E34" s="105" t="s">
        <v>860</v>
      </c>
      <c r="F34" s="105" t="s">
        <v>288</v>
      </c>
    </row>
    <row r="35" spans="1:6" x14ac:dyDescent="0.3">
      <c r="A35" s="103" t="b">
        <v>1</v>
      </c>
      <c r="B35" s="104" t="str">
        <f t="shared" si="6"/>
        <v>업적 - [ffc0cb][캐릭터][-] 캐릭터 레벨 달성 Step.5</v>
      </c>
      <c r="C35" s="46">
        <f t="shared" si="7"/>
        <v>51305</v>
      </c>
      <c r="D35" s="105" t="s">
        <v>289</v>
      </c>
      <c r="E35" s="105" t="s">
        <v>861</v>
      </c>
      <c r="F35" s="105" t="s">
        <v>289</v>
      </c>
    </row>
    <row r="36" spans="1:6" x14ac:dyDescent="0.3">
      <c r="A36" s="103" t="b">
        <v>1</v>
      </c>
      <c r="B36" s="104" t="str">
        <f t="shared" si="6"/>
        <v>업적 - [ffc0cb][캐릭터][-] 캐릭터 레벨 달성 Step.6</v>
      </c>
      <c r="C36" s="46">
        <f t="shared" si="7"/>
        <v>51306</v>
      </c>
      <c r="D36" s="105" t="s">
        <v>290</v>
      </c>
      <c r="E36" s="105" t="s">
        <v>862</v>
      </c>
      <c r="F36" s="105" t="s">
        <v>290</v>
      </c>
    </row>
    <row r="37" spans="1:6" x14ac:dyDescent="0.3">
      <c r="A37" s="103" t="b">
        <v>1</v>
      </c>
      <c r="B37" s="104" t="str">
        <f t="shared" si="6"/>
        <v>업적 - [ffc0cb][캐릭터][-] 캐릭터 레벨 달성 Step.7</v>
      </c>
      <c r="C37" s="46">
        <f t="shared" si="7"/>
        <v>51307</v>
      </c>
      <c r="D37" s="105" t="s">
        <v>291</v>
      </c>
      <c r="E37" s="105" t="s">
        <v>863</v>
      </c>
      <c r="F37" s="105" t="s">
        <v>291</v>
      </c>
    </row>
    <row r="38" spans="1:6" x14ac:dyDescent="0.3">
      <c r="A38" s="103" t="b">
        <v>1</v>
      </c>
      <c r="B38" s="104" t="str">
        <f t="shared" si="6"/>
        <v>업적 - [ffc0cb][캐릭터][-] 캐릭터 레벨 달성 Step.8</v>
      </c>
      <c r="C38" s="46">
        <f t="shared" si="7"/>
        <v>51308</v>
      </c>
      <c r="D38" s="105" t="s">
        <v>292</v>
      </c>
      <c r="E38" s="105" t="s">
        <v>864</v>
      </c>
      <c r="F38" s="105" t="s">
        <v>292</v>
      </c>
    </row>
    <row r="39" spans="1:6" x14ac:dyDescent="0.3">
      <c r="A39" s="103" t="b">
        <v>1</v>
      </c>
      <c r="B39" s="104" t="str">
        <f t="shared" si="6"/>
        <v>업적 - [ffc0cb][캐릭터][-] 캐릭터 레벨 달성 Step.9</v>
      </c>
      <c r="C39" s="46">
        <f t="shared" si="7"/>
        <v>51309</v>
      </c>
      <c r="D39" s="105" t="s">
        <v>293</v>
      </c>
      <c r="E39" s="105" t="s">
        <v>865</v>
      </c>
      <c r="F39" s="105" t="s">
        <v>293</v>
      </c>
    </row>
    <row r="40" spans="1:6" x14ac:dyDescent="0.3">
      <c r="A40" s="103" t="b">
        <v>1</v>
      </c>
      <c r="B40" s="104" t="str">
        <f t="shared" si="6"/>
        <v>업적 - [ffc0cb][캐릭터][-] 캐릭터 레벨 달성 Step.10</v>
      </c>
      <c r="C40" s="46">
        <f t="shared" si="7"/>
        <v>51310</v>
      </c>
      <c r="D40" s="105" t="s">
        <v>294</v>
      </c>
      <c r="E40" s="105" t="s">
        <v>866</v>
      </c>
      <c r="F40" s="105" t="s">
        <v>294</v>
      </c>
    </row>
    <row r="41" spans="1:6" x14ac:dyDescent="0.3">
      <c r="A41" s="28" t="b">
        <v>1</v>
      </c>
      <c r="B41" s="29" t="str">
        <f t="shared" si="6"/>
        <v>업적 - [ffc0cb][계정][-] 수호자 레벨 달성 Step.1</v>
      </c>
      <c r="C41" s="16">
        <f t="shared" si="7"/>
        <v>51311</v>
      </c>
      <c r="D41" s="29" t="s">
        <v>541</v>
      </c>
      <c r="E41" s="38" t="s">
        <v>699</v>
      </c>
      <c r="F41" s="29" t="s">
        <v>541</v>
      </c>
    </row>
    <row r="42" spans="1:6" x14ac:dyDescent="0.3">
      <c r="A42" s="28" t="b">
        <v>1</v>
      </c>
      <c r="B42" s="29" t="str">
        <f t="shared" si="6"/>
        <v>업적 - [ffc0cb][계정][-] 수호자 레벨 달성 Step.2</v>
      </c>
      <c r="C42" s="17">
        <f t="shared" si="7"/>
        <v>51312</v>
      </c>
      <c r="D42" s="29" t="s">
        <v>542</v>
      </c>
      <c r="E42" s="38" t="s">
        <v>700</v>
      </c>
      <c r="F42" s="29" t="s">
        <v>542</v>
      </c>
    </row>
    <row r="43" spans="1:6" x14ac:dyDescent="0.3">
      <c r="A43" s="28" t="b">
        <v>1</v>
      </c>
      <c r="B43" s="29" t="str">
        <f t="shared" si="6"/>
        <v>업적 - [ffc0cb][계정][-] 수호자 레벨 달성 Step.3</v>
      </c>
      <c r="C43" s="17">
        <f t="shared" si="7"/>
        <v>51313</v>
      </c>
      <c r="D43" s="29" t="s">
        <v>543</v>
      </c>
      <c r="E43" s="38" t="s">
        <v>701</v>
      </c>
      <c r="F43" s="29" t="s">
        <v>543</v>
      </c>
    </row>
    <row r="44" spans="1:6" x14ac:dyDescent="0.3">
      <c r="A44" s="28" t="b">
        <v>1</v>
      </c>
      <c r="B44" s="29" t="str">
        <f t="shared" si="6"/>
        <v>업적 - [ffc0cb][계정][-] 수호자 레벨 달성 Step.4</v>
      </c>
      <c r="C44" s="17">
        <f t="shared" si="7"/>
        <v>51314</v>
      </c>
      <c r="D44" s="29" t="s">
        <v>544</v>
      </c>
      <c r="E44" s="38" t="s">
        <v>702</v>
      </c>
      <c r="F44" s="29" t="s">
        <v>544</v>
      </c>
    </row>
    <row r="45" spans="1:6" x14ac:dyDescent="0.3">
      <c r="A45" s="28" t="b">
        <v>1</v>
      </c>
      <c r="B45" s="29" t="str">
        <f t="shared" si="6"/>
        <v>업적 - [ffc0cb][계정][-] 수호자 레벨 달성 Step.5</v>
      </c>
      <c r="C45" s="17">
        <f t="shared" si="7"/>
        <v>51315</v>
      </c>
      <c r="D45" s="29" t="s">
        <v>545</v>
      </c>
      <c r="E45" s="38" t="s">
        <v>703</v>
      </c>
      <c r="F45" s="29" t="s">
        <v>545</v>
      </c>
    </row>
    <row r="46" spans="1:6" x14ac:dyDescent="0.3">
      <c r="A46" s="28" t="b">
        <v>1</v>
      </c>
      <c r="B46" s="29" t="str">
        <f t="shared" si="6"/>
        <v>업적 - [ffc0cb][계정][-] 수호자 레벨 달성 Step.6</v>
      </c>
      <c r="C46" s="17">
        <f t="shared" si="7"/>
        <v>51316</v>
      </c>
      <c r="D46" s="29" t="s">
        <v>546</v>
      </c>
      <c r="E46" s="38" t="s">
        <v>704</v>
      </c>
      <c r="F46" s="29" t="s">
        <v>546</v>
      </c>
    </row>
    <row r="47" spans="1:6" x14ac:dyDescent="0.3">
      <c r="A47" s="28" t="b">
        <v>1</v>
      </c>
      <c r="B47" s="29" t="str">
        <f t="shared" si="6"/>
        <v>업적 - [ffc0cb][계정][-] 수호자 레벨 달성 Step.7</v>
      </c>
      <c r="C47" s="17">
        <f t="shared" si="7"/>
        <v>51317</v>
      </c>
      <c r="D47" s="29" t="s">
        <v>547</v>
      </c>
      <c r="E47" s="38" t="s">
        <v>705</v>
      </c>
      <c r="F47" s="29" t="s">
        <v>547</v>
      </c>
    </row>
    <row r="48" spans="1:6" x14ac:dyDescent="0.3">
      <c r="A48" s="28" t="b">
        <v>1</v>
      </c>
      <c r="B48" s="29" t="str">
        <f t="shared" si="6"/>
        <v>업적 - [ffc0cb][계정][-] 수호자 레벨 달성 Step.8</v>
      </c>
      <c r="C48" s="17">
        <f t="shared" si="7"/>
        <v>51318</v>
      </c>
      <c r="D48" s="29" t="s">
        <v>548</v>
      </c>
      <c r="E48" s="38" t="s">
        <v>706</v>
      </c>
      <c r="F48" s="29" t="s">
        <v>548</v>
      </c>
    </row>
    <row r="49" spans="1:6" x14ac:dyDescent="0.3">
      <c r="A49" s="28" t="b">
        <v>1</v>
      </c>
      <c r="B49" s="29" t="str">
        <f t="shared" si="6"/>
        <v>업적 - [ffc0cb][계정][-] 수호자 레벨 달성 Step.9</v>
      </c>
      <c r="C49" s="17">
        <f t="shared" si="7"/>
        <v>51319</v>
      </c>
      <c r="D49" s="29" t="s">
        <v>549</v>
      </c>
      <c r="E49" s="38" t="s">
        <v>707</v>
      </c>
      <c r="F49" s="29" t="s">
        <v>549</v>
      </c>
    </row>
    <row r="50" spans="1:6" x14ac:dyDescent="0.3">
      <c r="A50" s="28" t="b">
        <v>1</v>
      </c>
      <c r="B50" s="29" t="str">
        <f t="shared" si="6"/>
        <v>업적 - [ffc0cb][계정][-] 수호자 레벨 달성 Step.10</v>
      </c>
      <c r="C50" s="17">
        <f t="shared" si="7"/>
        <v>51320</v>
      </c>
      <c r="D50" s="29" t="s">
        <v>550</v>
      </c>
      <c r="E50" s="38" t="s">
        <v>708</v>
      </c>
      <c r="F50" s="29" t="s">
        <v>550</v>
      </c>
    </row>
    <row r="51" spans="1:6" x14ac:dyDescent="0.3">
      <c r="A51" s="28" t="b">
        <v>1</v>
      </c>
      <c r="B51" s="29" t="str">
        <f t="shared" si="6"/>
        <v>업적 - [ffc0cb][계정][-] 수호자 레벨 달성 Step.11</v>
      </c>
      <c r="C51" s="17">
        <f t="shared" si="7"/>
        <v>51321</v>
      </c>
      <c r="D51" s="29" t="s">
        <v>551</v>
      </c>
      <c r="E51" s="38" t="s">
        <v>709</v>
      </c>
      <c r="F51" s="29" t="s">
        <v>551</v>
      </c>
    </row>
    <row r="52" spans="1:6" x14ac:dyDescent="0.3">
      <c r="A52" s="28" t="b">
        <v>1</v>
      </c>
      <c r="B52" s="29" t="str">
        <f t="shared" si="6"/>
        <v>업적 - [ffc0cb][계정][-] 수호자 레벨 달성 Step.12</v>
      </c>
      <c r="C52" s="17">
        <f t="shared" si="7"/>
        <v>51322</v>
      </c>
      <c r="D52" s="29" t="s">
        <v>552</v>
      </c>
      <c r="E52" s="38" t="s">
        <v>710</v>
      </c>
      <c r="F52" s="29" t="s">
        <v>552</v>
      </c>
    </row>
    <row r="53" spans="1:6" x14ac:dyDescent="0.3">
      <c r="A53" s="28" t="b">
        <v>1</v>
      </c>
      <c r="B53" s="29" t="str">
        <f t="shared" si="6"/>
        <v>업적 - [ffc0cb][계정][-] 수호자 레벨 달성 Step.13</v>
      </c>
      <c r="C53" s="17">
        <f t="shared" si="7"/>
        <v>51323</v>
      </c>
      <c r="D53" s="29" t="s">
        <v>553</v>
      </c>
      <c r="E53" s="38" t="s">
        <v>711</v>
      </c>
      <c r="F53" s="29" t="s">
        <v>553</v>
      </c>
    </row>
    <row r="54" spans="1:6" x14ac:dyDescent="0.3">
      <c r="A54" s="28" t="b">
        <v>1</v>
      </c>
      <c r="B54" s="29" t="str">
        <f t="shared" si="6"/>
        <v>업적 - [ffc0cb][계정][-] 수호자 레벨 달성 Step.14</v>
      </c>
      <c r="C54" s="17">
        <f t="shared" si="7"/>
        <v>51324</v>
      </c>
      <c r="D54" s="29" t="s">
        <v>554</v>
      </c>
      <c r="E54" s="38" t="s">
        <v>712</v>
      </c>
      <c r="F54" s="29" t="s">
        <v>554</v>
      </c>
    </row>
    <row r="55" spans="1:6" x14ac:dyDescent="0.3">
      <c r="A55" s="28" t="b">
        <v>1</v>
      </c>
      <c r="B55" s="29" t="str">
        <f t="shared" si="6"/>
        <v>업적 - [ffc0cb][계정][-] 수호자 레벨 달성 Step.15</v>
      </c>
      <c r="C55" s="17">
        <f t="shared" si="7"/>
        <v>51325</v>
      </c>
      <c r="D55" s="29" t="s">
        <v>555</v>
      </c>
      <c r="E55" s="38" t="s">
        <v>713</v>
      </c>
      <c r="F55" s="29" t="s">
        <v>555</v>
      </c>
    </row>
    <row r="56" spans="1:6" x14ac:dyDescent="0.3">
      <c r="A56" s="28" t="b">
        <v>1</v>
      </c>
      <c r="B56" s="29" t="str">
        <f t="shared" si="6"/>
        <v>업적 - [ffc0cb][계정][-] 수호자 레벨 달성 Step.16</v>
      </c>
      <c r="C56" s="17">
        <f t="shared" si="7"/>
        <v>51326</v>
      </c>
      <c r="D56" s="29" t="s">
        <v>556</v>
      </c>
      <c r="E56" s="38" t="s">
        <v>714</v>
      </c>
      <c r="F56" s="29" t="s">
        <v>556</v>
      </c>
    </row>
    <row r="57" spans="1:6" x14ac:dyDescent="0.3">
      <c r="A57" s="28" t="b">
        <v>1</v>
      </c>
      <c r="B57" s="29" t="str">
        <f t="shared" si="6"/>
        <v>업적 - [ffc0cb][계정][-] 수호자 레벨 달성 Step.17</v>
      </c>
      <c r="C57" s="17">
        <f t="shared" si="7"/>
        <v>51327</v>
      </c>
      <c r="D57" s="29" t="s">
        <v>557</v>
      </c>
      <c r="E57" s="38" t="s">
        <v>715</v>
      </c>
      <c r="F57" s="29" t="s">
        <v>557</v>
      </c>
    </row>
    <row r="58" spans="1:6" x14ac:dyDescent="0.3">
      <c r="A58" s="28" t="b">
        <v>1</v>
      </c>
      <c r="B58" s="29" t="str">
        <f t="shared" si="6"/>
        <v>업적 - [ffc0cb][계정][-] 수호자 레벨 달성 Step.18</v>
      </c>
      <c r="C58" s="17">
        <f t="shared" si="7"/>
        <v>51328</v>
      </c>
      <c r="D58" s="29" t="s">
        <v>558</v>
      </c>
      <c r="E58" s="38" t="s">
        <v>716</v>
      </c>
      <c r="F58" s="29" t="s">
        <v>558</v>
      </c>
    </row>
    <row r="59" spans="1:6" x14ac:dyDescent="0.3">
      <c r="A59" s="28" t="b">
        <v>1</v>
      </c>
      <c r="B59" s="29" t="str">
        <f t="shared" si="6"/>
        <v>업적 - [ffc0cb][계정][-] 수호자 레벨 달성 Step.19</v>
      </c>
      <c r="C59" s="17">
        <f t="shared" si="7"/>
        <v>51329</v>
      </c>
      <c r="D59" s="29" t="s">
        <v>559</v>
      </c>
      <c r="E59" s="38" t="s">
        <v>717</v>
      </c>
      <c r="F59" s="29" t="s">
        <v>559</v>
      </c>
    </row>
    <row r="60" spans="1:6" x14ac:dyDescent="0.3">
      <c r="A60" s="28" t="b">
        <v>1</v>
      </c>
      <c r="B60" s="29" t="str">
        <f t="shared" si="6"/>
        <v>업적 - [ffc0cb][계정][-] 수호자 레벨 달성 Step.20</v>
      </c>
      <c r="C60" s="17">
        <f t="shared" si="7"/>
        <v>51330</v>
      </c>
      <c r="D60" s="29" t="s">
        <v>560</v>
      </c>
      <c r="E60" s="38" t="s">
        <v>718</v>
      </c>
      <c r="F60" s="29" t="s">
        <v>560</v>
      </c>
    </row>
    <row r="61" spans="1:6" x14ac:dyDescent="0.3">
      <c r="A61" s="28" t="b">
        <v>1</v>
      </c>
      <c r="B61" s="29" t="str">
        <f t="shared" si="6"/>
        <v>업적 - [ffc0cb][계정][-] 수호자 레벨 달성 Step.21</v>
      </c>
      <c r="C61" s="17">
        <f t="shared" si="7"/>
        <v>51331</v>
      </c>
      <c r="D61" s="29" t="s">
        <v>561</v>
      </c>
      <c r="E61" s="38" t="s">
        <v>719</v>
      </c>
      <c r="F61" s="29" t="s">
        <v>561</v>
      </c>
    </row>
    <row r="62" spans="1:6" x14ac:dyDescent="0.3">
      <c r="A62" s="28" t="b">
        <v>1</v>
      </c>
      <c r="B62" s="29" t="str">
        <f t="shared" si="6"/>
        <v>업적 - [ffc0cb][계정][-] 수호자 레벨 달성 Step.22</v>
      </c>
      <c r="C62" s="17">
        <f t="shared" si="7"/>
        <v>51332</v>
      </c>
      <c r="D62" s="29" t="s">
        <v>562</v>
      </c>
      <c r="E62" s="38" t="s">
        <v>720</v>
      </c>
      <c r="F62" s="29" t="s">
        <v>562</v>
      </c>
    </row>
    <row r="63" spans="1:6" x14ac:dyDescent="0.3">
      <c r="A63" s="28" t="b">
        <v>1</v>
      </c>
      <c r="B63" s="29" t="str">
        <f t="shared" si="6"/>
        <v>업적 - [ffc0cb][계정][-] 수호자 레벨 달성 Step.23</v>
      </c>
      <c r="C63" s="17">
        <f t="shared" si="7"/>
        <v>51333</v>
      </c>
      <c r="D63" s="29" t="s">
        <v>563</v>
      </c>
      <c r="E63" s="38" t="s">
        <v>721</v>
      </c>
      <c r="F63" s="29" t="s">
        <v>563</v>
      </c>
    </row>
    <row r="64" spans="1:6" x14ac:dyDescent="0.3">
      <c r="A64" s="28" t="b">
        <v>1</v>
      </c>
      <c r="B64" s="29" t="str">
        <f t="shared" si="6"/>
        <v>업적 - [ffc0cb][계정][-] 수호자 레벨 달성 Step.24</v>
      </c>
      <c r="C64" s="17">
        <f t="shared" si="7"/>
        <v>51334</v>
      </c>
      <c r="D64" s="29" t="s">
        <v>564</v>
      </c>
      <c r="E64" s="38" t="s">
        <v>722</v>
      </c>
      <c r="F64" s="29" t="s">
        <v>564</v>
      </c>
    </row>
    <row r="65" spans="1:6" x14ac:dyDescent="0.3">
      <c r="A65" s="28" t="b">
        <v>1</v>
      </c>
      <c r="B65" s="29" t="str">
        <f t="shared" si="6"/>
        <v>업적 - [ffc0cb][계정][-] 수호자 레벨 달성 Step.25</v>
      </c>
      <c r="C65" s="17">
        <f t="shared" si="7"/>
        <v>51335</v>
      </c>
      <c r="D65" s="29" t="s">
        <v>565</v>
      </c>
      <c r="E65" s="38" t="s">
        <v>723</v>
      </c>
      <c r="F65" s="29" t="s">
        <v>565</v>
      </c>
    </row>
    <row r="66" spans="1:6" x14ac:dyDescent="0.3">
      <c r="A66" s="28" t="b">
        <v>1</v>
      </c>
      <c r="B66" s="29" t="str">
        <f t="shared" si="6"/>
        <v>업적 - [ffc0cb][계정][-] 수호자 레벨 달성 Step.26</v>
      </c>
      <c r="C66" s="17">
        <f t="shared" si="7"/>
        <v>51336</v>
      </c>
      <c r="D66" s="29" t="s">
        <v>566</v>
      </c>
      <c r="E66" s="38" t="s">
        <v>724</v>
      </c>
      <c r="F66" s="29" t="s">
        <v>566</v>
      </c>
    </row>
    <row r="67" spans="1:6" x14ac:dyDescent="0.3">
      <c r="A67" s="28" t="b">
        <v>1</v>
      </c>
      <c r="B67" s="29" t="str">
        <f t="shared" si="6"/>
        <v>업적 - [ffc0cb][계정][-] 수호자 레벨 달성 Step.27</v>
      </c>
      <c r="C67" s="17">
        <f t="shared" si="7"/>
        <v>51337</v>
      </c>
      <c r="D67" s="29" t="s">
        <v>567</v>
      </c>
      <c r="E67" s="38" t="s">
        <v>725</v>
      </c>
      <c r="F67" s="29" t="s">
        <v>567</v>
      </c>
    </row>
    <row r="68" spans="1:6" x14ac:dyDescent="0.3">
      <c r="A68" s="28" t="b">
        <v>1</v>
      </c>
      <c r="B68" s="29" t="str">
        <f t="shared" si="6"/>
        <v>업적 - [ffc0cb][계정][-] 수호자 레벨 달성 Step.28</v>
      </c>
      <c r="C68" s="17">
        <f t="shared" si="7"/>
        <v>51338</v>
      </c>
      <c r="D68" s="29" t="s">
        <v>568</v>
      </c>
      <c r="E68" s="38" t="s">
        <v>726</v>
      </c>
      <c r="F68" s="29" t="s">
        <v>568</v>
      </c>
    </row>
    <row r="69" spans="1:6" x14ac:dyDescent="0.3">
      <c r="A69" s="28" t="b">
        <v>1</v>
      </c>
      <c r="B69" s="29" t="str">
        <f t="shared" si="6"/>
        <v>업적 - [ffc0cb][계정][-] 수호자 레벨 달성 Step.29</v>
      </c>
      <c r="C69" s="17">
        <f t="shared" si="7"/>
        <v>51339</v>
      </c>
      <c r="D69" s="29" t="s">
        <v>569</v>
      </c>
      <c r="E69" s="38" t="s">
        <v>727</v>
      </c>
      <c r="F69" s="29" t="s">
        <v>569</v>
      </c>
    </row>
    <row r="70" spans="1:6" x14ac:dyDescent="0.3">
      <c r="A70" s="28" t="b">
        <v>1</v>
      </c>
      <c r="B70" s="29" t="str">
        <f t="shared" si="6"/>
        <v>업적 - [ffc0cb][계정][-] 수호자 레벨 달성 Step.30</v>
      </c>
      <c r="C70" s="17">
        <f t="shared" si="7"/>
        <v>51340</v>
      </c>
      <c r="D70" s="29" t="s">
        <v>570</v>
      </c>
      <c r="E70" s="38" t="s">
        <v>728</v>
      </c>
      <c r="F70" s="29" t="s">
        <v>570</v>
      </c>
    </row>
    <row r="71" spans="1:6" x14ac:dyDescent="0.3">
      <c r="A71" s="28" t="b">
        <v>1</v>
      </c>
      <c r="B71" s="29" t="str">
        <f t="shared" si="6"/>
        <v>업적 - [ffc0cb][계정][-] 수호자 레벨 달성 Step.31</v>
      </c>
      <c r="C71" s="17">
        <f t="shared" si="7"/>
        <v>51341</v>
      </c>
      <c r="D71" s="29" t="s">
        <v>571</v>
      </c>
      <c r="E71" s="38" t="s">
        <v>729</v>
      </c>
      <c r="F71" s="29" t="s">
        <v>571</v>
      </c>
    </row>
    <row r="72" spans="1:6" x14ac:dyDescent="0.3">
      <c r="A72" s="28" t="b">
        <v>1</v>
      </c>
      <c r="B72" s="29" t="str">
        <f t="shared" si="6"/>
        <v>업적 - [ffc0cb][계정][-] 수호자 레벨 달성 Step.32</v>
      </c>
      <c r="C72" s="17">
        <f t="shared" si="7"/>
        <v>51342</v>
      </c>
      <c r="D72" s="29" t="s">
        <v>572</v>
      </c>
      <c r="E72" s="38" t="s">
        <v>730</v>
      </c>
      <c r="F72" s="29" t="s">
        <v>572</v>
      </c>
    </row>
    <row r="73" spans="1:6" x14ac:dyDescent="0.3">
      <c r="A73" s="28" t="b">
        <v>1</v>
      </c>
      <c r="B73" s="29" t="str">
        <f t="shared" si="6"/>
        <v>업적 - [ffc0cb][계정][-] 수호자 레벨 달성 Step.33</v>
      </c>
      <c r="C73" s="17">
        <f t="shared" si="7"/>
        <v>51343</v>
      </c>
      <c r="D73" s="29" t="s">
        <v>573</v>
      </c>
      <c r="E73" s="38" t="s">
        <v>731</v>
      </c>
      <c r="F73" s="29" t="s">
        <v>573</v>
      </c>
    </row>
    <row r="74" spans="1:6" x14ac:dyDescent="0.3">
      <c r="A74" s="28" t="b">
        <v>1</v>
      </c>
      <c r="B74" s="29" t="str">
        <f t="shared" si="6"/>
        <v>업적 - [ffc0cb][계정][-] 수호자 레벨 달성 Step.34</v>
      </c>
      <c r="C74" s="17">
        <f t="shared" si="7"/>
        <v>51344</v>
      </c>
      <c r="D74" s="29" t="s">
        <v>574</v>
      </c>
      <c r="E74" s="38" t="s">
        <v>732</v>
      </c>
      <c r="F74" s="29" t="s">
        <v>574</v>
      </c>
    </row>
    <row r="75" spans="1:6" x14ac:dyDescent="0.3">
      <c r="A75" s="28" t="b">
        <v>1</v>
      </c>
      <c r="B75" s="29" t="str">
        <f t="shared" si="6"/>
        <v>업적 - [ffc0cb][계정][-] 수호자 레벨 달성 Step.35</v>
      </c>
      <c r="C75" s="17">
        <f t="shared" si="7"/>
        <v>51345</v>
      </c>
      <c r="D75" s="29" t="s">
        <v>575</v>
      </c>
      <c r="E75" s="38" t="s">
        <v>733</v>
      </c>
      <c r="F75" s="29" t="s">
        <v>575</v>
      </c>
    </row>
    <row r="76" spans="1:6" x14ac:dyDescent="0.3">
      <c r="A76" s="28" t="b">
        <v>1</v>
      </c>
      <c r="B76" s="29" t="str">
        <f t="shared" si="6"/>
        <v>업적 - [ffc0cb][계정][-] 수호자 레벨 달성 Step.36</v>
      </c>
      <c r="C76" s="17">
        <f t="shared" si="7"/>
        <v>51346</v>
      </c>
      <c r="D76" s="29" t="s">
        <v>576</v>
      </c>
      <c r="E76" s="38" t="s">
        <v>734</v>
      </c>
      <c r="F76" s="29" t="s">
        <v>576</v>
      </c>
    </row>
    <row r="77" spans="1:6" x14ac:dyDescent="0.3">
      <c r="A77" s="28" t="b">
        <v>1</v>
      </c>
      <c r="B77" s="29" t="str">
        <f t="shared" si="6"/>
        <v>업적 - [ffc0cb][계정][-] 수호자 레벨 달성 Step.37</v>
      </c>
      <c r="C77" s="17">
        <f t="shared" si="7"/>
        <v>51347</v>
      </c>
      <c r="D77" s="29" t="s">
        <v>577</v>
      </c>
      <c r="E77" s="38" t="s">
        <v>735</v>
      </c>
      <c r="F77" s="29" t="s">
        <v>577</v>
      </c>
    </row>
    <row r="78" spans="1:6" x14ac:dyDescent="0.3">
      <c r="A78" s="28" t="b">
        <v>1</v>
      </c>
      <c r="B78" s="29" t="str">
        <f t="shared" si="6"/>
        <v>업적 - [ffc0cb][계정][-] 수호자 레벨 달성 Step.38</v>
      </c>
      <c r="C78" s="17">
        <f t="shared" si="7"/>
        <v>51348</v>
      </c>
      <c r="D78" s="29" t="s">
        <v>578</v>
      </c>
      <c r="E78" s="38" t="s">
        <v>736</v>
      </c>
      <c r="F78" s="29" t="s">
        <v>578</v>
      </c>
    </row>
    <row r="79" spans="1:6" x14ac:dyDescent="0.3">
      <c r="A79" s="28" t="b">
        <v>1</v>
      </c>
      <c r="B79" s="29" t="str">
        <f t="shared" si="6"/>
        <v>업적 - [ffc0cb][계정][-] 수호자 레벨 달성 Step.39</v>
      </c>
      <c r="C79" s="17">
        <f t="shared" si="7"/>
        <v>51349</v>
      </c>
      <c r="D79" s="29" t="s">
        <v>579</v>
      </c>
      <c r="E79" s="38" t="s">
        <v>737</v>
      </c>
      <c r="F79" s="29" t="s">
        <v>579</v>
      </c>
    </row>
    <row r="80" spans="1:6" x14ac:dyDescent="0.3">
      <c r="A80" s="28" t="b">
        <v>1</v>
      </c>
      <c r="B80" s="29" t="str">
        <f t="shared" si="6"/>
        <v>업적 - [ffc0cb][계정][-] 수호자 레벨 달성 Step.40</v>
      </c>
      <c r="C80" s="17">
        <f t="shared" si="7"/>
        <v>51350</v>
      </c>
      <c r="D80" s="29" t="s">
        <v>580</v>
      </c>
      <c r="E80" s="38" t="s">
        <v>738</v>
      </c>
      <c r="F80" s="29" t="s">
        <v>580</v>
      </c>
    </row>
    <row r="81" spans="1:6" x14ac:dyDescent="0.3">
      <c r="A81" s="28" t="b">
        <v>1</v>
      </c>
      <c r="B81" s="29" t="str">
        <f t="shared" si="6"/>
        <v>업적 - [ffc0cb][계정][-] 수호자 레벨 달성 Step.41</v>
      </c>
      <c r="C81" s="17">
        <f t="shared" si="7"/>
        <v>51351</v>
      </c>
      <c r="D81" s="29" t="s">
        <v>581</v>
      </c>
      <c r="E81" s="38" t="s">
        <v>739</v>
      </c>
      <c r="F81" s="29" t="s">
        <v>581</v>
      </c>
    </row>
    <row r="82" spans="1:6" x14ac:dyDescent="0.3">
      <c r="A82" s="28" t="b">
        <v>1</v>
      </c>
      <c r="B82" s="29" t="str">
        <f t="shared" si="6"/>
        <v>업적 - [ffc0cb][계정][-] 수호자 레벨 달성 Step.42</v>
      </c>
      <c r="C82" s="17">
        <f t="shared" si="7"/>
        <v>51352</v>
      </c>
      <c r="D82" s="29" t="s">
        <v>582</v>
      </c>
      <c r="E82" s="38" t="s">
        <v>740</v>
      </c>
      <c r="F82" s="29" t="s">
        <v>582</v>
      </c>
    </row>
    <row r="83" spans="1:6" x14ac:dyDescent="0.3">
      <c r="A83" s="28" t="b">
        <v>1</v>
      </c>
      <c r="B83" s="29" t="str">
        <f t="shared" si="6"/>
        <v>업적 - [ffc0cb][계정][-] 수호자 레벨 달성 Step.43</v>
      </c>
      <c r="C83" s="17">
        <f t="shared" si="7"/>
        <v>51353</v>
      </c>
      <c r="D83" s="29" t="s">
        <v>583</v>
      </c>
      <c r="E83" s="38" t="s">
        <v>741</v>
      </c>
      <c r="F83" s="29" t="s">
        <v>583</v>
      </c>
    </row>
    <row r="84" spans="1:6" x14ac:dyDescent="0.3">
      <c r="A84" s="28" t="b">
        <v>1</v>
      </c>
      <c r="B84" s="29" t="str">
        <f t="shared" si="6"/>
        <v>업적 - [ffc0cb][계정][-] 수호자 레벨 달성 Step.44</v>
      </c>
      <c r="C84" s="17">
        <f t="shared" si="7"/>
        <v>51354</v>
      </c>
      <c r="D84" s="29" t="s">
        <v>584</v>
      </c>
      <c r="E84" s="38" t="s">
        <v>742</v>
      </c>
      <c r="F84" s="29" t="s">
        <v>584</v>
      </c>
    </row>
    <row r="85" spans="1:6" x14ac:dyDescent="0.3">
      <c r="A85" s="32" t="b">
        <v>1</v>
      </c>
      <c r="B85" s="33" t="str">
        <f t="shared" si="6"/>
        <v>업적 - [ffc0cb][캐릭터][-] 캐릭터 스킬 강화 Step.1</v>
      </c>
      <c r="C85" s="16">
        <f t="shared" si="7"/>
        <v>51355</v>
      </c>
      <c r="D85" s="33" t="s">
        <v>295</v>
      </c>
      <c r="E85" s="40" t="s">
        <v>867</v>
      </c>
      <c r="F85" s="33" t="s">
        <v>295</v>
      </c>
    </row>
    <row r="86" spans="1:6" x14ac:dyDescent="0.3">
      <c r="A86" s="32" t="b">
        <v>1</v>
      </c>
      <c r="B86" s="33" t="str">
        <f t="shared" si="6"/>
        <v>업적 - [ffc0cb][캐릭터][-] 캐릭터 스킬 강화 Step.2</v>
      </c>
      <c r="C86" s="14">
        <f t="shared" si="7"/>
        <v>51356</v>
      </c>
      <c r="D86" s="33" t="s">
        <v>296</v>
      </c>
      <c r="E86" s="40" t="s">
        <v>868</v>
      </c>
      <c r="F86" s="33" t="s">
        <v>296</v>
      </c>
    </row>
    <row r="87" spans="1:6" x14ac:dyDescent="0.3">
      <c r="A87" s="32" t="b">
        <v>1</v>
      </c>
      <c r="B87" s="33" t="str">
        <f t="shared" si="6"/>
        <v>업적 - [ffc0cb][캐릭터][-] 캐릭터 스킬 강화 Step.3</v>
      </c>
      <c r="C87" s="14">
        <f t="shared" si="7"/>
        <v>51357</v>
      </c>
      <c r="D87" s="33" t="s">
        <v>297</v>
      </c>
      <c r="E87" s="40" t="s">
        <v>869</v>
      </c>
      <c r="F87" s="33" t="s">
        <v>297</v>
      </c>
    </row>
    <row r="88" spans="1:6" x14ac:dyDescent="0.3">
      <c r="A88" s="32" t="b">
        <v>1</v>
      </c>
      <c r="B88" s="33" t="str">
        <f t="shared" si="6"/>
        <v>업적 - [ffc0cb][캐릭터][-] 캐릭터 스킬 강화 Step.4</v>
      </c>
      <c r="C88" s="14">
        <f t="shared" si="7"/>
        <v>51358</v>
      </c>
      <c r="D88" s="33" t="s">
        <v>298</v>
      </c>
      <c r="E88" s="40" t="s">
        <v>870</v>
      </c>
      <c r="F88" s="33" t="s">
        <v>298</v>
      </c>
    </row>
    <row r="89" spans="1:6" x14ac:dyDescent="0.3">
      <c r="A89" s="32" t="b">
        <v>1</v>
      </c>
      <c r="B89" s="33" t="str">
        <f t="shared" si="6"/>
        <v>업적 - [ffc0cb][캐릭터][-] 캐릭터 스킬 강화 Step.5</v>
      </c>
      <c r="C89" s="14">
        <f t="shared" si="7"/>
        <v>51359</v>
      </c>
      <c r="D89" s="33" t="s">
        <v>299</v>
      </c>
      <c r="E89" s="40" t="s">
        <v>871</v>
      </c>
      <c r="F89" s="33" t="s">
        <v>299</v>
      </c>
    </row>
    <row r="90" spans="1:6" x14ac:dyDescent="0.3">
      <c r="A90" s="32" t="b">
        <v>1</v>
      </c>
      <c r="B90" s="33" t="str">
        <f t="shared" si="6"/>
        <v>업적 - [ffc0cb][캐릭터][-] 캐릭터 스킬 강화 Step.6</v>
      </c>
      <c r="C90" s="14">
        <f t="shared" si="7"/>
        <v>51360</v>
      </c>
      <c r="D90" s="33" t="s">
        <v>300</v>
      </c>
      <c r="E90" s="40" t="s">
        <v>872</v>
      </c>
      <c r="F90" s="33" t="s">
        <v>300</v>
      </c>
    </row>
    <row r="91" spans="1:6" x14ac:dyDescent="0.3">
      <c r="A91" s="32" t="b">
        <v>1</v>
      </c>
      <c r="B91" s="33" t="str">
        <f t="shared" si="6"/>
        <v>업적 - [ffc0cb][캐릭터][-] 캐릭터 스킬 강화 Step.7</v>
      </c>
      <c r="C91" s="14">
        <f t="shared" si="7"/>
        <v>51361</v>
      </c>
      <c r="D91" s="33" t="s">
        <v>301</v>
      </c>
      <c r="E91" s="40" t="s">
        <v>873</v>
      </c>
      <c r="F91" s="33" t="s">
        <v>301</v>
      </c>
    </row>
    <row r="92" spans="1:6" x14ac:dyDescent="0.3">
      <c r="A92" s="32" t="b">
        <v>1</v>
      </c>
      <c r="B92" s="33" t="str">
        <f t="shared" si="6"/>
        <v>업적 - [ffc0cb][캐릭터][-] 캐릭터 스킬 강화 Step.8</v>
      </c>
      <c r="C92" s="14">
        <f t="shared" si="7"/>
        <v>51362</v>
      </c>
      <c r="D92" s="33" t="s">
        <v>302</v>
      </c>
      <c r="E92" s="40" t="s">
        <v>874</v>
      </c>
      <c r="F92" s="33" t="s">
        <v>302</v>
      </c>
    </row>
    <row r="93" spans="1:6" x14ac:dyDescent="0.3">
      <c r="A93" s="28" t="b">
        <v>1</v>
      </c>
      <c r="B93" s="29" t="str">
        <f t="shared" ref="B93:B109" si="8">"업적 - " &amp;D93</f>
        <v>업적 - [ffc0cb][캐릭터][-] 캐릭터 스킬 초기화 Step.1</v>
      </c>
      <c r="C93" s="16">
        <f t="shared" si="7"/>
        <v>51363</v>
      </c>
      <c r="D93" s="29" t="s">
        <v>303</v>
      </c>
      <c r="E93" s="38" t="s">
        <v>875</v>
      </c>
      <c r="F93" s="29" t="s">
        <v>303</v>
      </c>
    </row>
    <row r="94" spans="1:6" x14ac:dyDescent="0.3">
      <c r="A94" s="28" t="b">
        <v>1</v>
      </c>
      <c r="B94" s="29" t="str">
        <f t="shared" si="8"/>
        <v>업적 - [ffc0cb][캐릭터][-] 캐릭터 스킬 초기화 Step.2</v>
      </c>
      <c r="C94" s="17">
        <f t="shared" si="7"/>
        <v>51364</v>
      </c>
      <c r="D94" s="29" t="s">
        <v>304</v>
      </c>
      <c r="E94" s="38" t="s">
        <v>876</v>
      </c>
      <c r="F94" s="29" t="s">
        <v>304</v>
      </c>
    </row>
    <row r="95" spans="1:6" x14ac:dyDescent="0.3">
      <c r="A95" s="32" t="b">
        <v>1</v>
      </c>
      <c r="B95" s="33" t="str">
        <f t="shared" si="8"/>
        <v>업적 - [ffc0cb][계정][-] 수호자 스킬 강화 Step.1</v>
      </c>
      <c r="C95" s="16">
        <f t="shared" si="7"/>
        <v>51365</v>
      </c>
      <c r="D95" s="33" t="s">
        <v>585</v>
      </c>
      <c r="E95" s="40" t="s">
        <v>743</v>
      </c>
      <c r="F95" s="33" t="s">
        <v>585</v>
      </c>
    </row>
    <row r="96" spans="1:6" x14ac:dyDescent="0.3">
      <c r="A96" s="32" t="b">
        <v>1</v>
      </c>
      <c r="B96" s="33" t="str">
        <f t="shared" si="8"/>
        <v>업적 - [ffc0cb][계정][-] 수호자 스킬 강화 Step.2</v>
      </c>
      <c r="C96" s="14">
        <f t="shared" ref="C96:C159" si="9">C95+1</f>
        <v>51366</v>
      </c>
      <c r="D96" s="33" t="s">
        <v>586</v>
      </c>
      <c r="E96" s="40" t="s">
        <v>744</v>
      </c>
      <c r="F96" s="33" t="s">
        <v>586</v>
      </c>
    </row>
    <row r="97" spans="1:6" x14ac:dyDescent="0.3">
      <c r="A97" s="32" t="b">
        <v>1</v>
      </c>
      <c r="B97" s="33" t="str">
        <f t="shared" si="8"/>
        <v>업적 - [ffc0cb][계정][-] 수호자 스킬 강화 Step.3</v>
      </c>
      <c r="C97" s="14">
        <f t="shared" si="9"/>
        <v>51367</v>
      </c>
      <c r="D97" s="33" t="s">
        <v>587</v>
      </c>
      <c r="E97" s="40" t="s">
        <v>745</v>
      </c>
      <c r="F97" s="33" t="s">
        <v>587</v>
      </c>
    </row>
    <row r="98" spans="1:6" x14ac:dyDescent="0.3">
      <c r="A98" s="32" t="b">
        <v>1</v>
      </c>
      <c r="B98" s="33" t="str">
        <f t="shared" si="8"/>
        <v>업적 - [ffc0cb][계정][-] 수호자 스킬 강화 Step.4</v>
      </c>
      <c r="C98" s="14">
        <f t="shared" si="9"/>
        <v>51368</v>
      </c>
      <c r="D98" s="33" t="s">
        <v>588</v>
      </c>
      <c r="E98" s="40" t="s">
        <v>746</v>
      </c>
      <c r="F98" s="33" t="s">
        <v>588</v>
      </c>
    </row>
    <row r="99" spans="1:6" x14ac:dyDescent="0.3">
      <c r="A99" s="32" t="b">
        <v>1</v>
      </c>
      <c r="B99" s="33" t="str">
        <f t="shared" si="8"/>
        <v>업적 - [ffc0cb][계정][-] 수호자 스킬 강화 Step.5</v>
      </c>
      <c r="C99" s="14">
        <f t="shared" si="9"/>
        <v>51369</v>
      </c>
      <c r="D99" s="33" t="s">
        <v>589</v>
      </c>
      <c r="E99" s="40" t="s">
        <v>747</v>
      </c>
      <c r="F99" s="33" t="s">
        <v>589</v>
      </c>
    </row>
    <row r="100" spans="1:6" x14ac:dyDescent="0.3">
      <c r="A100" s="32" t="b">
        <v>1</v>
      </c>
      <c r="B100" s="33" t="str">
        <f t="shared" si="8"/>
        <v>업적 - [ffc0cb][계정][-] 수호자 스킬 강화 Step.6</v>
      </c>
      <c r="C100" s="14">
        <f t="shared" si="9"/>
        <v>51370</v>
      </c>
      <c r="D100" s="33" t="s">
        <v>590</v>
      </c>
      <c r="E100" s="40" t="s">
        <v>748</v>
      </c>
      <c r="F100" s="33" t="s">
        <v>590</v>
      </c>
    </row>
    <row r="101" spans="1:6" x14ac:dyDescent="0.3">
      <c r="A101" s="32" t="b">
        <v>1</v>
      </c>
      <c r="B101" s="33" t="str">
        <f t="shared" si="8"/>
        <v>업적 - [ffc0cb][계정][-] 수호자 스킬 강화 Step.7</v>
      </c>
      <c r="C101" s="14">
        <f t="shared" si="9"/>
        <v>51371</v>
      </c>
      <c r="D101" s="33" t="s">
        <v>591</v>
      </c>
      <c r="E101" s="40" t="s">
        <v>749</v>
      </c>
      <c r="F101" s="33" t="s">
        <v>591</v>
      </c>
    </row>
    <row r="102" spans="1:6" x14ac:dyDescent="0.3">
      <c r="A102" s="32" t="b">
        <v>1</v>
      </c>
      <c r="B102" s="33" t="str">
        <f t="shared" si="8"/>
        <v>업적 - [ffc0cb][계정][-] 수호자 스킬 강화 Step.8</v>
      </c>
      <c r="C102" s="14">
        <f t="shared" si="9"/>
        <v>51372</v>
      </c>
      <c r="D102" s="33" t="s">
        <v>592</v>
      </c>
      <c r="E102" s="40" t="s">
        <v>750</v>
      </c>
      <c r="F102" s="33" t="s">
        <v>592</v>
      </c>
    </row>
    <row r="103" spans="1:6" x14ac:dyDescent="0.3">
      <c r="A103" s="32" t="b">
        <v>1</v>
      </c>
      <c r="B103" s="33" t="str">
        <f t="shared" si="8"/>
        <v>업적 - [ffc0cb][계정][-] 수호자 스킬 강화 Step.9</v>
      </c>
      <c r="C103" s="14">
        <f t="shared" si="9"/>
        <v>51373</v>
      </c>
      <c r="D103" s="33" t="s">
        <v>593</v>
      </c>
      <c r="E103" s="40" t="s">
        <v>751</v>
      </c>
      <c r="F103" s="33" t="s">
        <v>593</v>
      </c>
    </row>
    <row r="104" spans="1:6" x14ac:dyDescent="0.3">
      <c r="A104" s="32" t="b">
        <v>1</v>
      </c>
      <c r="B104" s="33" t="str">
        <f t="shared" si="8"/>
        <v>업적 - [ffc0cb][계정][-] 수호자 스킬 강화 Step.10</v>
      </c>
      <c r="C104" s="14">
        <f t="shared" si="9"/>
        <v>51374</v>
      </c>
      <c r="D104" s="33" t="s">
        <v>594</v>
      </c>
      <c r="E104" s="40" t="s">
        <v>752</v>
      </c>
      <c r="F104" s="33" t="s">
        <v>594</v>
      </c>
    </row>
    <row r="105" spans="1:6" x14ac:dyDescent="0.3">
      <c r="A105" s="32" t="b">
        <v>1</v>
      </c>
      <c r="B105" s="33" t="str">
        <f t="shared" si="8"/>
        <v>업적 - [ffc0cb][계정][-] 수호자 스킬 강화 Step.11</v>
      </c>
      <c r="C105" s="14">
        <f t="shared" si="9"/>
        <v>51375</v>
      </c>
      <c r="D105" s="33" t="s">
        <v>595</v>
      </c>
      <c r="E105" s="40" t="s">
        <v>753</v>
      </c>
      <c r="F105" s="33" t="s">
        <v>595</v>
      </c>
    </row>
    <row r="106" spans="1:6" x14ac:dyDescent="0.3">
      <c r="A106" s="32" t="b">
        <v>1</v>
      </c>
      <c r="B106" s="33" t="str">
        <f t="shared" si="8"/>
        <v>업적 - [ffc0cb][계정][-] 수호자 스킬 강화 Step.12</v>
      </c>
      <c r="C106" s="14">
        <f t="shared" si="9"/>
        <v>51376</v>
      </c>
      <c r="D106" s="33" t="s">
        <v>596</v>
      </c>
      <c r="E106" s="40" t="s">
        <v>754</v>
      </c>
      <c r="F106" s="33" t="s">
        <v>596</v>
      </c>
    </row>
    <row r="107" spans="1:6" x14ac:dyDescent="0.3">
      <c r="A107" s="32" t="b">
        <v>1</v>
      </c>
      <c r="B107" s="33" t="str">
        <f t="shared" si="8"/>
        <v>업적 - [ffc0cb][계정][-] 수호자 스킬 강화 Step.13</v>
      </c>
      <c r="C107" s="14">
        <f t="shared" si="9"/>
        <v>51377</v>
      </c>
      <c r="D107" s="33" t="s">
        <v>597</v>
      </c>
      <c r="E107" s="40" t="s">
        <v>755</v>
      </c>
      <c r="F107" s="33" t="s">
        <v>597</v>
      </c>
    </row>
    <row r="108" spans="1:6" x14ac:dyDescent="0.3">
      <c r="A108" s="28" t="b">
        <v>1</v>
      </c>
      <c r="B108" s="29" t="str">
        <f t="shared" si="8"/>
        <v>업적 - [ffc0cb][계정][-] 수호자 스킬 초기화 Step.1</v>
      </c>
      <c r="C108" s="16">
        <f t="shared" si="9"/>
        <v>51378</v>
      </c>
      <c r="D108" s="29" t="s">
        <v>598</v>
      </c>
      <c r="E108" s="38" t="s">
        <v>756</v>
      </c>
      <c r="F108" s="29" t="s">
        <v>598</v>
      </c>
    </row>
    <row r="109" spans="1:6" x14ac:dyDescent="0.3">
      <c r="A109" s="28" t="b">
        <v>1</v>
      </c>
      <c r="B109" s="29" t="str">
        <f t="shared" si="8"/>
        <v>업적 - [ffc0cb][계정][-] 수호자 스킬 초기화 Step.2</v>
      </c>
      <c r="C109" s="17">
        <f t="shared" si="9"/>
        <v>51379</v>
      </c>
      <c r="D109" s="29" t="s">
        <v>599</v>
      </c>
      <c r="E109" s="38" t="s">
        <v>757</v>
      </c>
      <c r="F109" s="29" t="s">
        <v>599</v>
      </c>
    </row>
    <row r="110" spans="1:6" x14ac:dyDescent="0.3">
      <c r="A110" s="27" t="b">
        <v>1</v>
      </c>
      <c r="B110" s="26" t="str">
        <f t="shared" ref="B110:B172" si="10">"업적 - " &amp;D110</f>
        <v>업적 - [ffc0cb][캐릭터][-] 수호석 획득 Step.1</v>
      </c>
      <c r="C110" s="16">
        <f t="shared" si="9"/>
        <v>51380</v>
      </c>
      <c r="D110" s="26" t="s">
        <v>305</v>
      </c>
      <c r="E110" s="41" t="s">
        <v>877</v>
      </c>
      <c r="F110" s="26" t="s">
        <v>305</v>
      </c>
    </row>
    <row r="111" spans="1:6" x14ac:dyDescent="0.3">
      <c r="A111" s="27" t="b">
        <v>1</v>
      </c>
      <c r="B111" s="26" t="str">
        <f t="shared" si="10"/>
        <v>업적 - [ffc0cb][캐릭터][-] 수호석 획득 Step.2</v>
      </c>
      <c r="C111" s="14">
        <f t="shared" si="9"/>
        <v>51381</v>
      </c>
      <c r="D111" s="26" t="s">
        <v>306</v>
      </c>
      <c r="E111" s="41" t="s">
        <v>878</v>
      </c>
      <c r="F111" s="26" t="s">
        <v>306</v>
      </c>
    </row>
    <row r="112" spans="1:6" x14ac:dyDescent="0.3">
      <c r="A112" s="27" t="b">
        <v>1</v>
      </c>
      <c r="B112" s="26" t="str">
        <f t="shared" si="10"/>
        <v>업적 - [ffc0cb][캐릭터][-] 수호석 획득 Step.3</v>
      </c>
      <c r="C112" s="14">
        <f t="shared" si="9"/>
        <v>51382</v>
      </c>
      <c r="D112" s="26" t="s">
        <v>307</v>
      </c>
      <c r="E112" s="41" t="s">
        <v>879</v>
      </c>
      <c r="F112" s="26" t="s">
        <v>307</v>
      </c>
    </row>
    <row r="113" spans="1:6" x14ac:dyDescent="0.3">
      <c r="A113" s="27" t="b">
        <v>1</v>
      </c>
      <c r="B113" s="26" t="str">
        <f t="shared" si="10"/>
        <v>업적 - [ffc0cb][캐릭터][-] 수호석 획득 Step.4</v>
      </c>
      <c r="C113" s="14">
        <f t="shared" si="9"/>
        <v>51383</v>
      </c>
      <c r="D113" s="26" t="s">
        <v>308</v>
      </c>
      <c r="E113" s="41" t="s">
        <v>880</v>
      </c>
      <c r="F113" s="26" t="s">
        <v>308</v>
      </c>
    </row>
    <row r="114" spans="1:6" x14ac:dyDescent="0.3">
      <c r="A114" s="27" t="b">
        <v>1</v>
      </c>
      <c r="B114" s="26" t="str">
        <f t="shared" si="10"/>
        <v>업적 - [ffc0cb][캐릭터][-] 수호석 획득 Step.5</v>
      </c>
      <c r="C114" s="14">
        <f t="shared" si="9"/>
        <v>51384</v>
      </c>
      <c r="D114" s="26" t="s">
        <v>309</v>
      </c>
      <c r="E114" s="41" t="s">
        <v>881</v>
      </c>
      <c r="F114" s="26" t="s">
        <v>309</v>
      </c>
    </row>
    <row r="115" spans="1:6" x14ac:dyDescent="0.3">
      <c r="A115" s="27" t="b">
        <v>1</v>
      </c>
      <c r="B115" s="26" t="str">
        <f t="shared" si="10"/>
        <v>업적 - [ffc0cb][캐릭터][-] 수호석 획득 Step.6</v>
      </c>
      <c r="C115" s="14">
        <f t="shared" si="9"/>
        <v>51385</v>
      </c>
      <c r="D115" s="26" t="s">
        <v>310</v>
      </c>
      <c r="E115" s="41" t="s">
        <v>882</v>
      </c>
      <c r="F115" s="26" t="s">
        <v>310</v>
      </c>
    </row>
    <row r="116" spans="1:6" x14ac:dyDescent="0.3">
      <c r="A116" s="27" t="b">
        <v>1</v>
      </c>
      <c r="B116" s="26" t="str">
        <f t="shared" si="10"/>
        <v>업적 - [ffc0cb][캐릭터][-] 수호석 획득 Step.7</v>
      </c>
      <c r="C116" s="14">
        <f t="shared" si="9"/>
        <v>51386</v>
      </c>
      <c r="D116" s="26" t="s">
        <v>311</v>
      </c>
      <c r="E116" s="41" t="s">
        <v>883</v>
      </c>
      <c r="F116" s="26" t="s">
        <v>311</v>
      </c>
    </row>
    <row r="117" spans="1:6" x14ac:dyDescent="0.3">
      <c r="A117" s="28" t="b">
        <v>1</v>
      </c>
      <c r="B117" s="29" t="str">
        <f t="shared" si="10"/>
        <v>업적 - [ffc0cb][캐릭터][-] 수호석 업그레이드 달성 Step.1</v>
      </c>
      <c r="C117" s="16">
        <f t="shared" si="9"/>
        <v>51387</v>
      </c>
      <c r="D117" s="29" t="s">
        <v>312</v>
      </c>
      <c r="E117" s="38" t="s">
        <v>884</v>
      </c>
      <c r="F117" s="29" t="s">
        <v>312</v>
      </c>
    </row>
    <row r="118" spans="1:6" x14ac:dyDescent="0.3">
      <c r="A118" s="28" t="b">
        <v>1</v>
      </c>
      <c r="B118" s="29" t="str">
        <f t="shared" si="10"/>
        <v>업적 - [ffc0cb][캐릭터][-] 수호석 업그레이드 달성 Step.2</v>
      </c>
      <c r="C118" s="17">
        <f t="shared" si="9"/>
        <v>51388</v>
      </c>
      <c r="D118" s="29" t="s">
        <v>313</v>
      </c>
      <c r="E118" s="38" t="s">
        <v>885</v>
      </c>
      <c r="F118" s="29" t="s">
        <v>313</v>
      </c>
    </row>
    <row r="119" spans="1:6" x14ac:dyDescent="0.3">
      <c r="A119" s="28" t="b">
        <v>1</v>
      </c>
      <c r="B119" s="29" t="str">
        <f t="shared" si="10"/>
        <v>업적 - [ffc0cb][캐릭터][-] 수호석 업그레이드 달성 Step.3</v>
      </c>
      <c r="C119" s="17">
        <f t="shared" si="9"/>
        <v>51389</v>
      </c>
      <c r="D119" s="29" t="s">
        <v>314</v>
      </c>
      <c r="E119" s="38" t="s">
        <v>886</v>
      </c>
      <c r="F119" s="29" t="s">
        <v>314</v>
      </c>
    </row>
    <row r="120" spans="1:6" x14ac:dyDescent="0.3">
      <c r="A120" s="28" t="b">
        <v>1</v>
      </c>
      <c r="B120" s="29" t="str">
        <f t="shared" si="10"/>
        <v>업적 - [ffc0cb][캐릭터][-] 수호석 업그레이드 달성 Step.4</v>
      </c>
      <c r="C120" s="17">
        <f t="shared" si="9"/>
        <v>51390</v>
      </c>
      <c r="D120" s="29" t="s">
        <v>315</v>
      </c>
      <c r="E120" s="38" t="s">
        <v>887</v>
      </c>
      <c r="F120" s="29" t="s">
        <v>315</v>
      </c>
    </row>
    <row r="121" spans="1:6" x14ac:dyDescent="0.3">
      <c r="A121" s="28" t="b">
        <v>1</v>
      </c>
      <c r="B121" s="29" t="str">
        <f t="shared" si="10"/>
        <v>업적 - [ffc0cb][캐릭터][-] 수호석 업그레이드 달성 Step.5</v>
      </c>
      <c r="C121" s="17">
        <f t="shared" si="9"/>
        <v>51391</v>
      </c>
      <c r="D121" s="29" t="s">
        <v>316</v>
      </c>
      <c r="E121" s="38" t="s">
        <v>888</v>
      </c>
      <c r="F121" s="29" t="s">
        <v>316</v>
      </c>
    </row>
    <row r="122" spans="1:6" x14ac:dyDescent="0.3">
      <c r="A122" s="28" t="b">
        <v>1</v>
      </c>
      <c r="B122" s="29" t="str">
        <f t="shared" si="10"/>
        <v>업적 - [ffc0cb][캐릭터][-] 수호석 업그레이드 달성 Step.6</v>
      </c>
      <c r="C122" s="17">
        <f t="shared" si="9"/>
        <v>51392</v>
      </c>
      <c r="D122" s="29" t="s">
        <v>317</v>
      </c>
      <c r="E122" s="38" t="s">
        <v>889</v>
      </c>
      <c r="F122" s="29" t="s">
        <v>317</v>
      </c>
    </row>
    <row r="123" spans="1:6" x14ac:dyDescent="0.3">
      <c r="A123" s="28" t="b">
        <v>1</v>
      </c>
      <c r="B123" s="29" t="str">
        <f t="shared" si="10"/>
        <v>업적 - [ffc0cb][캐릭터][-] 수호석 업그레이드 달성 Step.7</v>
      </c>
      <c r="C123" s="17">
        <f t="shared" si="9"/>
        <v>51393</v>
      </c>
      <c r="D123" s="29" t="s">
        <v>318</v>
      </c>
      <c r="E123" s="38" t="s">
        <v>890</v>
      </c>
      <c r="F123" s="29" t="s">
        <v>318</v>
      </c>
    </row>
    <row r="124" spans="1:6" x14ac:dyDescent="0.3">
      <c r="A124" s="28" t="b">
        <v>1</v>
      </c>
      <c r="B124" s="29" t="str">
        <f t="shared" si="10"/>
        <v>업적 - [ffc0cb][캐릭터][-] 수호석 업그레이드 달성 Step.8</v>
      </c>
      <c r="C124" s="17">
        <f t="shared" si="9"/>
        <v>51394</v>
      </c>
      <c r="D124" s="29" t="s">
        <v>319</v>
      </c>
      <c r="E124" s="38" t="s">
        <v>891</v>
      </c>
      <c r="F124" s="29" t="s">
        <v>319</v>
      </c>
    </row>
    <row r="125" spans="1:6" x14ac:dyDescent="0.3">
      <c r="A125" s="28" t="b">
        <v>1</v>
      </c>
      <c r="B125" s="29" t="str">
        <f t="shared" si="10"/>
        <v>업적 - [ffc0cb][캐릭터][-] 수호석 업그레이드 달성 Step.9</v>
      </c>
      <c r="C125" s="17">
        <f t="shared" si="9"/>
        <v>51395</v>
      </c>
      <c r="D125" s="29" t="s">
        <v>320</v>
      </c>
      <c r="E125" s="38" t="s">
        <v>892</v>
      </c>
      <c r="F125" s="29" t="s">
        <v>320</v>
      </c>
    </row>
    <row r="126" spans="1:6" x14ac:dyDescent="0.3">
      <c r="A126" s="28" t="b">
        <v>1</v>
      </c>
      <c r="B126" s="29" t="str">
        <f t="shared" si="10"/>
        <v>업적 - [ffc0cb][캐릭터][-] 수호석 업그레이드 달성 Step.10</v>
      </c>
      <c r="C126" s="17">
        <f t="shared" si="9"/>
        <v>51396</v>
      </c>
      <c r="D126" s="29" t="s">
        <v>321</v>
      </c>
      <c r="E126" s="38" t="s">
        <v>893</v>
      </c>
      <c r="F126" s="29" t="s">
        <v>321</v>
      </c>
    </row>
    <row r="127" spans="1:6" x14ac:dyDescent="0.3">
      <c r="A127" s="28" t="b">
        <v>1</v>
      </c>
      <c r="B127" s="29" t="str">
        <f t="shared" si="10"/>
        <v>업적 - [ffc0cb][캐릭터][-] 수호석 업그레이드 달성 Step.11</v>
      </c>
      <c r="C127" s="17">
        <f t="shared" si="9"/>
        <v>51397</v>
      </c>
      <c r="D127" s="29" t="s">
        <v>322</v>
      </c>
      <c r="E127" s="38" t="s">
        <v>894</v>
      </c>
      <c r="F127" s="29" t="s">
        <v>322</v>
      </c>
    </row>
    <row r="128" spans="1:6" x14ac:dyDescent="0.3">
      <c r="A128" s="28" t="b">
        <v>1</v>
      </c>
      <c r="B128" s="29" t="str">
        <f t="shared" si="10"/>
        <v>업적 - [ffc0cb][캐릭터][-] 수호석 업그레이드 달성 Step.12</v>
      </c>
      <c r="C128" s="17">
        <f t="shared" si="9"/>
        <v>51398</v>
      </c>
      <c r="D128" s="29" t="s">
        <v>323</v>
      </c>
      <c r="E128" s="38" t="s">
        <v>895</v>
      </c>
      <c r="F128" s="29" t="s">
        <v>323</v>
      </c>
    </row>
    <row r="129" spans="1:6" x14ac:dyDescent="0.3">
      <c r="A129" s="28" t="b">
        <v>1</v>
      </c>
      <c r="B129" s="29" t="str">
        <f t="shared" si="10"/>
        <v>업적 - [ffc0cb][캐릭터][-] 수호석 업그레이드 달성 Step.13</v>
      </c>
      <c r="C129" s="17">
        <f t="shared" si="9"/>
        <v>51399</v>
      </c>
      <c r="D129" s="29" t="s">
        <v>324</v>
      </c>
      <c r="E129" s="38" t="s">
        <v>896</v>
      </c>
      <c r="F129" s="29" t="s">
        <v>324</v>
      </c>
    </row>
    <row r="130" spans="1:6" x14ac:dyDescent="0.3">
      <c r="A130" s="28" t="b">
        <v>1</v>
      </c>
      <c r="B130" s="29" t="str">
        <f t="shared" si="10"/>
        <v>업적 - [ffc0cb][캐릭터][-] 수호석 업그레이드 달성 Step.14</v>
      </c>
      <c r="C130" s="17">
        <f t="shared" si="9"/>
        <v>51400</v>
      </c>
      <c r="D130" s="29" t="s">
        <v>325</v>
      </c>
      <c r="E130" s="38" t="s">
        <v>897</v>
      </c>
      <c r="F130" s="29" t="s">
        <v>325</v>
      </c>
    </row>
    <row r="131" spans="1:6" x14ac:dyDescent="0.3">
      <c r="A131" s="28" t="b">
        <v>1</v>
      </c>
      <c r="B131" s="29" t="str">
        <f t="shared" si="10"/>
        <v>업적 - [ffc0cb][캐릭터][-] 수호석 업그레이드 달성 Step.15</v>
      </c>
      <c r="C131" s="17">
        <f t="shared" si="9"/>
        <v>51401</v>
      </c>
      <c r="D131" s="29" t="s">
        <v>326</v>
      </c>
      <c r="E131" s="38" t="s">
        <v>898</v>
      </c>
      <c r="F131" s="29" t="s">
        <v>326</v>
      </c>
    </row>
    <row r="132" spans="1:6" x14ac:dyDescent="0.3">
      <c r="A132" s="28" t="b">
        <v>1</v>
      </c>
      <c r="B132" s="29" t="str">
        <f t="shared" si="10"/>
        <v>업적 - [ffc0cb][캐릭터][-] 수호석 업그레이드 달성 Step.16</v>
      </c>
      <c r="C132" s="17">
        <f t="shared" si="9"/>
        <v>51402</v>
      </c>
      <c r="D132" s="29" t="s">
        <v>327</v>
      </c>
      <c r="E132" s="38" t="s">
        <v>899</v>
      </c>
      <c r="F132" s="29" t="s">
        <v>327</v>
      </c>
    </row>
    <row r="133" spans="1:6" x14ac:dyDescent="0.3">
      <c r="A133" s="28" t="b">
        <v>1</v>
      </c>
      <c r="B133" s="29" t="str">
        <f t="shared" si="10"/>
        <v>업적 - [ffc0cb][캐릭터][-] 수호석 업그레이드 달성 Step.17</v>
      </c>
      <c r="C133" s="17">
        <f t="shared" si="9"/>
        <v>51403</v>
      </c>
      <c r="D133" s="29" t="s">
        <v>328</v>
      </c>
      <c r="E133" s="38" t="s">
        <v>900</v>
      </c>
      <c r="F133" s="29" t="s">
        <v>328</v>
      </c>
    </row>
    <row r="134" spans="1:6" x14ac:dyDescent="0.3">
      <c r="A134" s="28" t="b">
        <v>1</v>
      </c>
      <c r="B134" s="29" t="str">
        <f t="shared" si="10"/>
        <v>업적 - [ffc0cb][캐릭터][-] 수호석 업그레이드 달성 Step.18</v>
      </c>
      <c r="C134" s="17">
        <f t="shared" si="9"/>
        <v>51404</v>
      </c>
      <c r="D134" s="29" t="s">
        <v>329</v>
      </c>
      <c r="E134" s="38" t="s">
        <v>901</v>
      </c>
      <c r="F134" s="29" t="s">
        <v>329</v>
      </c>
    </row>
    <row r="135" spans="1:6" x14ac:dyDescent="0.3">
      <c r="A135" s="28" t="b">
        <v>1</v>
      </c>
      <c r="B135" s="29" t="str">
        <f t="shared" si="10"/>
        <v>업적 - [ffc0cb][캐릭터][-] 수호석 업그레이드 달성 Step.19</v>
      </c>
      <c r="C135" s="17">
        <f t="shared" si="9"/>
        <v>51405</v>
      </c>
      <c r="D135" s="29" t="s">
        <v>330</v>
      </c>
      <c r="E135" s="38" t="s">
        <v>902</v>
      </c>
      <c r="F135" s="29" t="s">
        <v>330</v>
      </c>
    </row>
    <row r="136" spans="1:6" x14ac:dyDescent="0.3">
      <c r="A136" s="28" t="b">
        <v>1</v>
      </c>
      <c r="B136" s="29" t="str">
        <f t="shared" si="10"/>
        <v>업적 - [ffc0cb][캐릭터][-] 수호석 업그레이드 달성 Step.20</v>
      </c>
      <c r="C136" s="17">
        <f t="shared" si="9"/>
        <v>51406</v>
      </c>
      <c r="D136" s="29" t="s">
        <v>331</v>
      </c>
      <c r="E136" s="38" t="s">
        <v>903</v>
      </c>
      <c r="F136" s="29" t="s">
        <v>331</v>
      </c>
    </row>
    <row r="137" spans="1:6" x14ac:dyDescent="0.3">
      <c r="A137" s="28" t="b">
        <v>1</v>
      </c>
      <c r="B137" s="29" t="str">
        <f t="shared" si="10"/>
        <v>업적 - [ffc0cb][캐릭터][-] 수호석 업그레이드 달성 Step.21</v>
      </c>
      <c r="C137" s="17">
        <f t="shared" si="9"/>
        <v>51407</v>
      </c>
      <c r="D137" s="29" t="s">
        <v>332</v>
      </c>
      <c r="E137" s="38" t="s">
        <v>904</v>
      </c>
      <c r="F137" s="29" t="s">
        <v>332</v>
      </c>
    </row>
    <row r="138" spans="1:6" x14ac:dyDescent="0.3">
      <c r="A138" s="28" t="b">
        <v>1</v>
      </c>
      <c r="B138" s="29" t="str">
        <f t="shared" si="10"/>
        <v>업적 - [ffc0cb][캐릭터][-] 수호석 업그레이드 달성 Step.22</v>
      </c>
      <c r="C138" s="17">
        <f t="shared" si="9"/>
        <v>51408</v>
      </c>
      <c r="D138" s="29" t="s">
        <v>333</v>
      </c>
      <c r="E138" s="38" t="s">
        <v>905</v>
      </c>
      <c r="F138" s="29" t="s">
        <v>333</v>
      </c>
    </row>
    <row r="139" spans="1:6" x14ac:dyDescent="0.3">
      <c r="A139" s="32" t="b">
        <v>1</v>
      </c>
      <c r="B139" s="33" t="str">
        <f t="shared" si="10"/>
        <v>업적 - [ffc0cb][계정][-] 균열던전 최초 완료 Step.1</v>
      </c>
      <c r="C139" s="16">
        <f t="shared" si="9"/>
        <v>51409</v>
      </c>
      <c r="D139" s="33" t="s">
        <v>600</v>
      </c>
      <c r="E139" s="40" t="s">
        <v>758</v>
      </c>
      <c r="F139" s="33" t="s">
        <v>600</v>
      </c>
    </row>
    <row r="140" spans="1:6" x14ac:dyDescent="0.3">
      <c r="A140" s="32" t="b">
        <v>1</v>
      </c>
      <c r="B140" s="33" t="str">
        <f t="shared" si="10"/>
        <v>업적 - [ffc0cb][계정][-] 균열던전 최초 완료 Step.2</v>
      </c>
      <c r="C140" s="14">
        <f t="shared" si="9"/>
        <v>51410</v>
      </c>
      <c r="D140" s="33" t="s">
        <v>601</v>
      </c>
      <c r="E140" s="40" t="s">
        <v>759</v>
      </c>
      <c r="F140" s="33" t="s">
        <v>601</v>
      </c>
    </row>
    <row r="141" spans="1:6" x14ac:dyDescent="0.3">
      <c r="A141" s="32" t="b">
        <v>1</v>
      </c>
      <c r="B141" s="33" t="str">
        <f t="shared" si="10"/>
        <v>업적 - [ffc0cb][계정][-] 균열던전 최초 완료 Step.3</v>
      </c>
      <c r="C141" s="14">
        <f t="shared" si="9"/>
        <v>51411</v>
      </c>
      <c r="D141" s="33" t="s">
        <v>602</v>
      </c>
      <c r="E141" s="40" t="s">
        <v>760</v>
      </c>
      <c r="F141" s="33" t="s">
        <v>602</v>
      </c>
    </row>
    <row r="142" spans="1:6" x14ac:dyDescent="0.3">
      <c r="A142" s="32" t="b">
        <v>1</v>
      </c>
      <c r="B142" s="33" t="str">
        <f t="shared" si="10"/>
        <v>업적 - [ffc0cb][계정][-] 균열던전 최초 완료 Step.4</v>
      </c>
      <c r="C142" s="14">
        <f t="shared" si="9"/>
        <v>51412</v>
      </c>
      <c r="D142" s="33" t="s">
        <v>603</v>
      </c>
      <c r="E142" s="40" t="s">
        <v>761</v>
      </c>
      <c r="F142" s="33" t="s">
        <v>603</v>
      </c>
    </row>
    <row r="143" spans="1:6" x14ac:dyDescent="0.3">
      <c r="A143" s="32" t="b">
        <v>1</v>
      </c>
      <c r="B143" s="33" t="str">
        <f t="shared" si="10"/>
        <v>업적 - [ffc0cb][계정][-] 균열던전 최초 완료 Step.5</v>
      </c>
      <c r="C143" s="14">
        <f t="shared" si="9"/>
        <v>51413</v>
      </c>
      <c r="D143" s="33" t="s">
        <v>604</v>
      </c>
      <c r="E143" s="40" t="s">
        <v>762</v>
      </c>
      <c r="F143" s="33" t="s">
        <v>604</v>
      </c>
    </row>
    <row r="144" spans="1:6" x14ac:dyDescent="0.3">
      <c r="A144" s="32" t="b">
        <v>1</v>
      </c>
      <c r="B144" s="33" t="str">
        <f t="shared" si="10"/>
        <v>업적 - [ffc0cb][계정][-] 균열던전 최초 완료 Step.6</v>
      </c>
      <c r="C144" s="14">
        <f t="shared" si="9"/>
        <v>51414</v>
      </c>
      <c r="D144" s="33" t="s">
        <v>605</v>
      </c>
      <c r="E144" s="40" t="s">
        <v>763</v>
      </c>
      <c r="F144" s="33" t="s">
        <v>605</v>
      </c>
    </row>
    <row r="145" spans="1:6" x14ac:dyDescent="0.3">
      <c r="A145" s="32" t="b">
        <v>1</v>
      </c>
      <c r="B145" s="33" t="str">
        <f t="shared" si="10"/>
        <v>업적 - [ffc0cb][계정][-] 균열던전 최초 완료 Step.7</v>
      </c>
      <c r="C145" s="14">
        <f t="shared" si="9"/>
        <v>51415</v>
      </c>
      <c r="D145" s="33" t="s">
        <v>606</v>
      </c>
      <c r="E145" s="40" t="s">
        <v>764</v>
      </c>
      <c r="F145" s="33" t="s">
        <v>606</v>
      </c>
    </row>
    <row r="146" spans="1:6" x14ac:dyDescent="0.3">
      <c r="A146" s="32" t="b">
        <v>1</v>
      </c>
      <c r="B146" s="33" t="str">
        <f t="shared" si="10"/>
        <v>업적 - [ffc0cb][계정][-] 균열던전 최초 완료 Step.8</v>
      </c>
      <c r="C146" s="14">
        <f t="shared" si="9"/>
        <v>51416</v>
      </c>
      <c r="D146" s="33" t="s">
        <v>607</v>
      </c>
      <c r="E146" s="40" t="s">
        <v>765</v>
      </c>
      <c r="F146" s="33" t="s">
        <v>607</v>
      </c>
    </row>
    <row r="147" spans="1:6" x14ac:dyDescent="0.3">
      <c r="A147" s="32" t="b">
        <v>1</v>
      </c>
      <c r="B147" s="33" t="str">
        <f t="shared" si="10"/>
        <v>업적 - [ffc0cb][계정][-] 균열던전 최초 완료 Step.9</v>
      </c>
      <c r="C147" s="14">
        <f t="shared" si="9"/>
        <v>51417</v>
      </c>
      <c r="D147" s="33" t="s">
        <v>608</v>
      </c>
      <c r="E147" s="40" t="s">
        <v>766</v>
      </c>
      <c r="F147" s="33" t="s">
        <v>608</v>
      </c>
    </row>
    <row r="148" spans="1:6" x14ac:dyDescent="0.3">
      <c r="A148" s="32" t="b">
        <v>1</v>
      </c>
      <c r="B148" s="33" t="str">
        <f t="shared" si="10"/>
        <v>업적 - [ffc0cb][계정][-] 균열던전 최초 완료 Step.10</v>
      </c>
      <c r="C148" s="14">
        <f t="shared" si="9"/>
        <v>51418</v>
      </c>
      <c r="D148" s="33" t="s">
        <v>609</v>
      </c>
      <c r="E148" s="40" t="s">
        <v>767</v>
      </c>
      <c r="F148" s="33" t="s">
        <v>609</v>
      </c>
    </row>
    <row r="149" spans="1:6" x14ac:dyDescent="0.3">
      <c r="A149" s="32" t="b">
        <v>1</v>
      </c>
      <c r="B149" s="33" t="str">
        <f t="shared" si="10"/>
        <v>업적 - [ffc0cb][계정][-] 균열던전 최초 완료 Step.11</v>
      </c>
      <c r="C149" s="14">
        <f t="shared" si="9"/>
        <v>51419</v>
      </c>
      <c r="D149" s="33" t="s">
        <v>610</v>
      </c>
      <c r="E149" s="40" t="s">
        <v>768</v>
      </c>
      <c r="F149" s="33" t="s">
        <v>610</v>
      </c>
    </row>
    <row r="150" spans="1:6" x14ac:dyDescent="0.3">
      <c r="A150" s="32" t="b">
        <v>1</v>
      </c>
      <c r="B150" s="33" t="str">
        <f t="shared" si="10"/>
        <v>업적 - [ffc0cb][계정][-] 균열던전 최초 완료 Step.12</v>
      </c>
      <c r="C150" s="14">
        <f t="shared" si="9"/>
        <v>51420</v>
      </c>
      <c r="D150" s="33" t="s">
        <v>611</v>
      </c>
      <c r="E150" s="40" t="s">
        <v>769</v>
      </c>
      <c r="F150" s="33" t="s">
        <v>611</v>
      </c>
    </row>
    <row r="151" spans="1:6" x14ac:dyDescent="0.3">
      <c r="A151" s="32" t="b">
        <v>1</v>
      </c>
      <c r="B151" s="33" t="str">
        <f t="shared" si="10"/>
        <v>업적 - [ffc0cb][계정][-] 균열던전 최초 완료 Step.13</v>
      </c>
      <c r="C151" s="14">
        <f t="shared" si="9"/>
        <v>51421</v>
      </c>
      <c r="D151" s="33" t="s">
        <v>612</v>
      </c>
      <c r="E151" s="40" t="s">
        <v>770</v>
      </c>
      <c r="F151" s="33" t="s">
        <v>612</v>
      </c>
    </row>
    <row r="152" spans="1:6" x14ac:dyDescent="0.3">
      <c r="A152" s="32" t="b">
        <v>1</v>
      </c>
      <c r="B152" s="33" t="str">
        <f t="shared" si="10"/>
        <v>업적 - [ffc0cb][계정][-] 균열던전 최초 완료 Step.14</v>
      </c>
      <c r="C152" s="14">
        <f t="shared" si="9"/>
        <v>51422</v>
      </c>
      <c r="D152" s="33" t="s">
        <v>613</v>
      </c>
      <c r="E152" s="40" t="s">
        <v>771</v>
      </c>
      <c r="F152" s="33" t="s">
        <v>613</v>
      </c>
    </row>
    <row r="153" spans="1:6" x14ac:dyDescent="0.3">
      <c r="A153" s="32" t="b">
        <v>1</v>
      </c>
      <c r="B153" s="33" t="str">
        <f t="shared" si="10"/>
        <v>업적 - [ffc0cb][계정][-] 균열던전 최초 완료 Step.15</v>
      </c>
      <c r="C153" s="14">
        <f t="shared" si="9"/>
        <v>51423</v>
      </c>
      <c r="D153" s="33" t="s">
        <v>614</v>
      </c>
      <c r="E153" s="40" t="s">
        <v>772</v>
      </c>
      <c r="F153" s="33" t="s">
        <v>614</v>
      </c>
    </row>
    <row r="154" spans="1:6" x14ac:dyDescent="0.3">
      <c r="A154" s="32" t="b">
        <v>1</v>
      </c>
      <c r="B154" s="33" t="str">
        <f t="shared" si="10"/>
        <v>업적 - [ffc0cb][계정][-] 균열던전 최초 완료 Step.16</v>
      </c>
      <c r="C154" s="14">
        <f t="shared" si="9"/>
        <v>51424</v>
      </c>
      <c r="D154" s="33" t="s">
        <v>615</v>
      </c>
      <c r="E154" s="40" t="s">
        <v>773</v>
      </c>
      <c r="F154" s="33" t="s">
        <v>615</v>
      </c>
    </row>
    <row r="155" spans="1:6" x14ac:dyDescent="0.3">
      <c r="A155" s="32" t="b">
        <v>1</v>
      </c>
      <c r="B155" s="33" t="str">
        <f t="shared" si="10"/>
        <v>업적 - [ffc0cb][계정][-] 균열던전 최초 완료 Step.17</v>
      </c>
      <c r="C155" s="14">
        <f t="shared" si="9"/>
        <v>51425</v>
      </c>
      <c r="D155" s="33" t="s">
        <v>616</v>
      </c>
      <c r="E155" s="40" t="s">
        <v>774</v>
      </c>
      <c r="F155" s="33" t="s">
        <v>616</v>
      </c>
    </row>
    <row r="156" spans="1:6" x14ac:dyDescent="0.3">
      <c r="A156" s="32" t="b">
        <v>1</v>
      </c>
      <c r="B156" s="33" t="str">
        <f t="shared" si="10"/>
        <v>업적 - [ffc0cb][계정][-] 균열던전 최초 완료 Step.18</v>
      </c>
      <c r="C156" s="14">
        <f t="shared" si="9"/>
        <v>51426</v>
      </c>
      <c r="D156" s="33" t="s">
        <v>617</v>
      </c>
      <c r="E156" s="40" t="s">
        <v>775</v>
      </c>
      <c r="F156" s="33" t="s">
        <v>617</v>
      </c>
    </row>
    <row r="157" spans="1:6" x14ac:dyDescent="0.3">
      <c r="A157" s="32" t="b">
        <v>1</v>
      </c>
      <c r="B157" s="33" t="str">
        <f t="shared" si="10"/>
        <v>업적 - [ffc0cb][계정][-] 균열던전 최초 완료 Step.19</v>
      </c>
      <c r="C157" s="14">
        <f t="shared" si="9"/>
        <v>51427</v>
      </c>
      <c r="D157" s="33" t="s">
        <v>618</v>
      </c>
      <c r="E157" s="40" t="s">
        <v>776</v>
      </c>
      <c r="F157" s="33" t="s">
        <v>618</v>
      </c>
    </row>
    <row r="158" spans="1:6" x14ac:dyDescent="0.3">
      <c r="A158" s="32" t="b">
        <v>1</v>
      </c>
      <c r="B158" s="33" t="str">
        <f t="shared" si="10"/>
        <v>업적 - [ffc0cb][계정][-] 균열던전 최초 완료 Step.20</v>
      </c>
      <c r="C158" s="14">
        <f t="shared" si="9"/>
        <v>51428</v>
      </c>
      <c r="D158" s="33" t="s">
        <v>619</v>
      </c>
      <c r="E158" s="40" t="s">
        <v>777</v>
      </c>
      <c r="F158" s="33" t="s">
        <v>619</v>
      </c>
    </row>
    <row r="159" spans="1:6" x14ac:dyDescent="0.3">
      <c r="A159" s="32" t="b">
        <v>1</v>
      </c>
      <c r="B159" s="33" t="str">
        <f t="shared" si="10"/>
        <v>업적 - [ffc0cb][계정][-] 균열던전 최초 완료 Step.21</v>
      </c>
      <c r="C159" s="14">
        <f t="shared" si="9"/>
        <v>51429</v>
      </c>
      <c r="D159" s="33" t="s">
        <v>620</v>
      </c>
      <c r="E159" s="40" t="s">
        <v>778</v>
      </c>
      <c r="F159" s="33" t="s">
        <v>620</v>
      </c>
    </row>
    <row r="160" spans="1:6" x14ac:dyDescent="0.3">
      <c r="A160" s="32" t="b">
        <v>1</v>
      </c>
      <c r="B160" s="33" t="str">
        <f t="shared" si="10"/>
        <v>업적 - [ffc0cb][계정][-] 균열던전 최초 완료 Step.22</v>
      </c>
      <c r="C160" s="14">
        <f t="shared" ref="C160:C223" si="11">C159+1</f>
        <v>51430</v>
      </c>
      <c r="D160" s="33" t="s">
        <v>621</v>
      </c>
      <c r="E160" s="40" t="s">
        <v>779</v>
      </c>
      <c r="F160" s="33" t="s">
        <v>621</v>
      </c>
    </row>
    <row r="161" spans="1:6" x14ac:dyDescent="0.3">
      <c r="A161" s="32" t="b">
        <v>1</v>
      </c>
      <c r="B161" s="33" t="str">
        <f t="shared" si="10"/>
        <v>업적 - [ffc0cb][계정][-] 균열던전 최초 완료 Step.23</v>
      </c>
      <c r="C161" s="14">
        <f t="shared" si="11"/>
        <v>51431</v>
      </c>
      <c r="D161" s="33" t="s">
        <v>622</v>
      </c>
      <c r="E161" s="40" t="s">
        <v>780</v>
      </c>
      <c r="F161" s="33" t="s">
        <v>622</v>
      </c>
    </row>
    <row r="162" spans="1:6" x14ac:dyDescent="0.3">
      <c r="A162" s="32" t="b">
        <v>1</v>
      </c>
      <c r="B162" s="33" t="str">
        <f t="shared" si="10"/>
        <v>업적 - [ffc0cb][계정][-] 균열던전 최초 완료 Step.24</v>
      </c>
      <c r="C162" s="14">
        <f t="shared" si="11"/>
        <v>51432</v>
      </c>
      <c r="D162" s="33" t="s">
        <v>623</v>
      </c>
      <c r="E162" s="40" t="s">
        <v>781</v>
      </c>
      <c r="F162" s="33" t="s">
        <v>623</v>
      </c>
    </row>
    <row r="163" spans="1:6" x14ac:dyDescent="0.3">
      <c r="A163" s="32" t="b">
        <v>1</v>
      </c>
      <c r="B163" s="33" t="str">
        <f t="shared" si="10"/>
        <v>업적 - [ffc0cb][계정][-] 균열던전 최초 완료 Step.25</v>
      </c>
      <c r="C163" s="14">
        <f t="shared" si="11"/>
        <v>51433</v>
      </c>
      <c r="D163" s="33" t="s">
        <v>624</v>
      </c>
      <c r="E163" s="40" t="s">
        <v>782</v>
      </c>
      <c r="F163" s="33" t="s">
        <v>624</v>
      </c>
    </row>
    <row r="164" spans="1:6" x14ac:dyDescent="0.3">
      <c r="A164" s="32" t="b">
        <v>1</v>
      </c>
      <c r="B164" s="33" t="str">
        <f t="shared" si="10"/>
        <v>업적 - [ffc0cb][계정][-] 균열던전 최초 완료 Step.26</v>
      </c>
      <c r="C164" s="14">
        <f t="shared" si="11"/>
        <v>51434</v>
      </c>
      <c r="D164" s="33" t="s">
        <v>625</v>
      </c>
      <c r="E164" s="40" t="s">
        <v>783</v>
      </c>
      <c r="F164" s="33" t="s">
        <v>625</v>
      </c>
    </row>
    <row r="165" spans="1:6" x14ac:dyDescent="0.3">
      <c r="A165" s="32" t="b">
        <v>1</v>
      </c>
      <c r="B165" s="33" t="str">
        <f t="shared" si="10"/>
        <v>업적 - [ffc0cb][계정][-] 균열던전 최초 완료 Step.27</v>
      </c>
      <c r="C165" s="14">
        <f t="shared" si="11"/>
        <v>51435</v>
      </c>
      <c r="D165" s="33" t="s">
        <v>626</v>
      </c>
      <c r="E165" s="40" t="s">
        <v>784</v>
      </c>
      <c r="F165" s="33" t="s">
        <v>626</v>
      </c>
    </row>
    <row r="166" spans="1:6" x14ac:dyDescent="0.3">
      <c r="A166" s="32" t="b">
        <v>1</v>
      </c>
      <c r="B166" s="33" t="str">
        <f t="shared" si="10"/>
        <v>업적 - [ffc0cb][계정][-] 균열던전 최초 완료 Step.28</v>
      </c>
      <c r="C166" s="14">
        <f t="shared" si="11"/>
        <v>51436</v>
      </c>
      <c r="D166" s="33" t="s">
        <v>627</v>
      </c>
      <c r="E166" s="40" t="s">
        <v>785</v>
      </c>
      <c r="F166" s="33" t="s">
        <v>627</v>
      </c>
    </row>
    <row r="167" spans="1:6" x14ac:dyDescent="0.3">
      <c r="A167" s="32" t="b">
        <v>1</v>
      </c>
      <c r="B167" s="33" t="str">
        <f t="shared" si="10"/>
        <v>업적 - [ffc0cb][계정][-] 균열던전 최초 완료 Step.29</v>
      </c>
      <c r="C167" s="14">
        <f t="shared" si="11"/>
        <v>51437</v>
      </c>
      <c r="D167" s="33" t="s">
        <v>628</v>
      </c>
      <c r="E167" s="40" t="s">
        <v>786</v>
      </c>
      <c r="F167" s="33" t="s">
        <v>628</v>
      </c>
    </row>
    <row r="168" spans="1:6" x14ac:dyDescent="0.3">
      <c r="A168" s="32" t="b">
        <v>1</v>
      </c>
      <c r="B168" s="33" t="str">
        <f t="shared" si="10"/>
        <v>업적 - [ffc0cb][계정][-] 균열던전 최초 완료 Step.30</v>
      </c>
      <c r="C168" s="14">
        <f t="shared" si="11"/>
        <v>51438</v>
      </c>
      <c r="D168" s="33" t="s">
        <v>629</v>
      </c>
      <c r="E168" s="40" t="s">
        <v>787</v>
      </c>
      <c r="F168" s="33" t="s">
        <v>629</v>
      </c>
    </row>
    <row r="169" spans="1:6" x14ac:dyDescent="0.3">
      <c r="A169" s="32" t="b">
        <v>1</v>
      </c>
      <c r="B169" s="33" t="str">
        <f t="shared" si="10"/>
        <v>업적 - [ffc0cb][계정][-] 균열던전 최초 완료 Step.31</v>
      </c>
      <c r="C169" s="14">
        <f t="shared" si="11"/>
        <v>51439</v>
      </c>
      <c r="D169" s="33" t="s">
        <v>630</v>
      </c>
      <c r="E169" s="40" t="s">
        <v>788</v>
      </c>
      <c r="F169" s="33" t="s">
        <v>630</v>
      </c>
    </row>
    <row r="170" spans="1:6" x14ac:dyDescent="0.3">
      <c r="A170" s="32" t="b">
        <v>1</v>
      </c>
      <c r="B170" s="33" t="str">
        <f t="shared" si="10"/>
        <v>업적 - [ffc0cb][계정][-] 균열던전 최초 완료 Step.32</v>
      </c>
      <c r="C170" s="14">
        <f t="shared" si="11"/>
        <v>51440</v>
      </c>
      <c r="D170" s="33" t="s">
        <v>631</v>
      </c>
      <c r="E170" s="40" t="s">
        <v>789</v>
      </c>
      <c r="F170" s="33" t="s">
        <v>631</v>
      </c>
    </row>
    <row r="171" spans="1:6" x14ac:dyDescent="0.3">
      <c r="A171" s="32" t="b">
        <v>1</v>
      </c>
      <c r="B171" s="33" t="str">
        <f t="shared" si="10"/>
        <v>업적 - [ffc0cb][계정][-] 균열던전 최초 완료 Step.33</v>
      </c>
      <c r="C171" s="14">
        <f t="shared" si="11"/>
        <v>51441</v>
      </c>
      <c r="D171" s="33" t="s">
        <v>632</v>
      </c>
      <c r="E171" s="40" t="s">
        <v>790</v>
      </c>
      <c r="F171" s="33" t="s">
        <v>632</v>
      </c>
    </row>
    <row r="172" spans="1:6" x14ac:dyDescent="0.3">
      <c r="A172" s="32" t="b">
        <v>1</v>
      </c>
      <c r="B172" s="33" t="str">
        <f t="shared" si="10"/>
        <v>업적 - [ffc0cb][계정][-] 균열던전 최초 완료 Step.34</v>
      </c>
      <c r="C172" s="14">
        <f t="shared" si="11"/>
        <v>51442</v>
      </c>
      <c r="D172" s="33" t="s">
        <v>633</v>
      </c>
      <c r="E172" s="40" t="s">
        <v>791</v>
      </c>
      <c r="F172" s="33" t="s">
        <v>633</v>
      </c>
    </row>
    <row r="173" spans="1:6" x14ac:dyDescent="0.3">
      <c r="A173" s="32" t="b">
        <v>1</v>
      </c>
      <c r="B173" s="33" t="str">
        <f t="shared" ref="B173:B230" si="12">"업적 - " &amp;D173</f>
        <v>업적 - [ffc0cb][계정][-] 균열던전 최초 완료 Step.35</v>
      </c>
      <c r="C173" s="14">
        <f t="shared" si="11"/>
        <v>51443</v>
      </c>
      <c r="D173" s="33" t="s">
        <v>634</v>
      </c>
      <c r="E173" s="40" t="s">
        <v>792</v>
      </c>
      <c r="F173" s="33" t="s">
        <v>634</v>
      </c>
    </row>
    <row r="174" spans="1:6" x14ac:dyDescent="0.3">
      <c r="A174" s="32" t="b">
        <v>1</v>
      </c>
      <c r="B174" s="33" t="str">
        <f t="shared" si="12"/>
        <v>업적 - [ffc0cb][계정][-] 균열던전 최초 완료 Step.36</v>
      </c>
      <c r="C174" s="14">
        <f t="shared" si="11"/>
        <v>51444</v>
      </c>
      <c r="D174" s="33" t="s">
        <v>635</v>
      </c>
      <c r="E174" s="40" t="s">
        <v>793</v>
      </c>
      <c r="F174" s="33" t="s">
        <v>635</v>
      </c>
    </row>
    <row r="175" spans="1:6" x14ac:dyDescent="0.3">
      <c r="A175" s="32" t="b">
        <v>1</v>
      </c>
      <c r="B175" s="33" t="str">
        <f t="shared" si="12"/>
        <v>업적 - [ffc0cb][계정][-] 균열던전 최초 완료 Step.37</v>
      </c>
      <c r="C175" s="14">
        <f t="shared" si="11"/>
        <v>51445</v>
      </c>
      <c r="D175" s="33" t="s">
        <v>636</v>
      </c>
      <c r="E175" s="40" t="s">
        <v>794</v>
      </c>
      <c r="F175" s="33" t="s">
        <v>636</v>
      </c>
    </row>
    <row r="176" spans="1:6" x14ac:dyDescent="0.3">
      <c r="A176" s="32" t="b">
        <v>1</v>
      </c>
      <c r="B176" s="33" t="str">
        <f t="shared" si="12"/>
        <v>업적 - [ffc0cb][계정][-] 균열던전 최초 완료 Step.38</v>
      </c>
      <c r="C176" s="14">
        <f t="shared" si="11"/>
        <v>51446</v>
      </c>
      <c r="D176" s="33" t="s">
        <v>637</v>
      </c>
      <c r="E176" s="40" t="s">
        <v>795</v>
      </c>
      <c r="F176" s="33" t="s">
        <v>637</v>
      </c>
    </row>
    <row r="177" spans="1:6" x14ac:dyDescent="0.3">
      <c r="A177" s="32" t="b">
        <v>1</v>
      </c>
      <c r="B177" s="33" t="str">
        <f t="shared" si="12"/>
        <v>업적 - [ffc0cb][계정][-] 균열던전 최초 완료 Step.39</v>
      </c>
      <c r="C177" s="14">
        <f t="shared" si="11"/>
        <v>51447</v>
      </c>
      <c r="D177" s="33" t="s">
        <v>638</v>
      </c>
      <c r="E177" s="40" t="s">
        <v>796</v>
      </c>
      <c r="F177" s="33" t="s">
        <v>638</v>
      </c>
    </row>
    <row r="178" spans="1:6" x14ac:dyDescent="0.3">
      <c r="A178" s="32" t="b">
        <v>1</v>
      </c>
      <c r="B178" s="33" t="str">
        <f t="shared" si="12"/>
        <v>업적 - [ffc0cb][계정][-] 균열던전 최초 완료 Step.40</v>
      </c>
      <c r="C178" s="14">
        <f t="shared" si="11"/>
        <v>51448</v>
      </c>
      <c r="D178" s="33" t="s">
        <v>639</v>
      </c>
      <c r="E178" s="40" t="s">
        <v>797</v>
      </c>
      <c r="F178" s="33" t="s">
        <v>639</v>
      </c>
    </row>
    <row r="179" spans="1:6" x14ac:dyDescent="0.3">
      <c r="A179" s="28" t="b">
        <v>1</v>
      </c>
      <c r="B179" s="29" t="str">
        <f t="shared" si="12"/>
        <v>업적 - [ffc0cb][계정][-] 결투장 연승 달성 Step.1</v>
      </c>
      <c r="C179" s="16">
        <f t="shared" si="11"/>
        <v>51449</v>
      </c>
      <c r="D179" s="29" t="s">
        <v>640</v>
      </c>
      <c r="E179" s="38" t="s">
        <v>798</v>
      </c>
      <c r="F179" s="29" t="s">
        <v>640</v>
      </c>
    </row>
    <row r="180" spans="1:6" x14ac:dyDescent="0.3">
      <c r="A180" s="28" t="b">
        <v>1</v>
      </c>
      <c r="B180" s="29" t="str">
        <f t="shared" si="12"/>
        <v>업적 - [ffc0cb][계정][-] 결투장 연승 달성 Step.2</v>
      </c>
      <c r="C180" s="17">
        <f t="shared" si="11"/>
        <v>51450</v>
      </c>
      <c r="D180" s="29" t="s">
        <v>641</v>
      </c>
      <c r="E180" s="38" t="s">
        <v>799</v>
      </c>
      <c r="F180" s="29" t="s">
        <v>641</v>
      </c>
    </row>
    <row r="181" spans="1:6" x14ac:dyDescent="0.3">
      <c r="A181" s="28" t="b">
        <v>1</v>
      </c>
      <c r="B181" s="29" t="str">
        <f t="shared" si="12"/>
        <v>업적 - [ffc0cb][계정][-] 결투장 연승 달성 Step.3</v>
      </c>
      <c r="C181" s="17">
        <f t="shared" si="11"/>
        <v>51451</v>
      </c>
      <c r="D181" s="29" t="s">
        <v>642</v>
      </c>
      <c r="E181" s="38" t="s">
        <v>800</v>
      </c>
      <c r="F181" s="29" t="s">
        <v>642</v>
      </c>
    </row>
    <row r="182" spans="1:6" x14ac:dyDescent="0.3">
      <c r="A182" s="28" t="b">
        <v>1</v>
      </c>
      <c r="B182" s="29" t="str">
        <f t="shared" si="12"/>
        <v>업적 - [ffc0cb][계정][-] 결투장 연승 달성 Step.4</v>
      </c>
      <c r="C182" s="17">
        <f t="shared" si="11"/>
        <v>51452</v>
      </c>
      <c r="D182" s="29" t="s">
        <v>643</v>
      </c>
      <c r="E182" s="38" t="s">
        <v>801</v>
      </c>
      <c r="F182" s="29" t="s">
        <v>643</v>
      </c>
    </row>
    <row r="183" spans="1:6" x14ac:dyDescent="0.3">
      <c r="A183" s="28" t="b">
        <v>1</v>
      </c>
      <c r="B183" s="29" t="str">
        <f t="shared" si="12"/>
        <v>업적 - [ffc0cb][계정][-] 결투장 연승 달성 Step.5</v>
      </c>
      <c r="C183" s="17">
        <f t="shared" si="11"/>
        <v>51453</v>
      </c>
      <c r="D183" s="29" t="s">
        <v>644</v>
      </c>
      <c r="E183" s="38" t="s">
        <v>802</v>
      </c>
      <c r="F183" s="29" t="s">
        <v>644</v>
      </c>
    </row>
    <row r="184" spans="1:6" x14ac:dyDescent="0.3">
      <c r="A184" s="28" t="b">
        <v>1</v>
      </c>
      <c r="B184" s="29" t="str">
        <f t="shared" si="12"/>
        <v>업적 - [ffc0cb][계정][-] 결투장 연승 달성 Step.6</v>
      </c>
      <c r="C184" s="17">
        <f t="shared" si="11"/>
        <v>51454</v>
      </c>
      <c r="D184" s="29" t="s">
        <v>645</v>
      </c>
      <c r="E184" s="38" t="s">
        <v>803</v>
      </c>
      <c r="F184" s="29" t="s">
        <v>645</v>
      </c>
    </row>
    <row r="185" spans="1:6" x14ac:dyDescent="0.3">
      <c r="A185" s="28" t="b">
        <v>1</v>
      </c>
      <c r="B185" s="29" t="str">
        <f t="shared" si="12"/>
        <v>업적 - [ffc0cb][계정][-] 결투장 연승 달성 Step.7</v>
      </c>
      <c r="C185" s="17">
        <f t="shared" si="11"/>
        <v>51455</v>
      </c>
      <c r="D185" s="29" t="s">
        <v>646</v>
      </c>
      <c r="E185" s="38" t="s">
        <v>804</v>
      </c>
      <c r="F185" s="29" t="s">
        <v>646</v>
      </c>
    </row>
    <row r="186" spans="1:6" x14ac:dyDescent="0.3">
      <c r="A186" s="28" t="b">
        <v>1</v>
      </c>
      <c r="B186" s="29" t="str">
        <f t="shared" si="12"/>
        <v>업적 - [ffc0cb][계정][-] 결투장 연승 달성 Step.8</v>
      </c>
      <c r="C186" s="17">
        <f t="shared" si="11"/>
        <v>51456</v>
      </c>
      <c r="D186" s="29" t="s">
        <v>647</v>
      </c>
      <c r="E186" s="38" t="s">
        <v>805</v>
      </c>
      <c r="F186" s="29" t="s">
        <v>647</v>
      </c>
    </row>
    <row r="187" spans="1:6" x14ac:dyDescent="0.3">
      <c r="A187" s="28" t="b">
        <v>1</v>
      </c>
      <c r="B187" s="29" t="str">
        <f t="shared" si="12"/>
        <v>업적 - [ffc0cb][계정][-] 결투장 연승 달성 Step.9</v>
      </c>
      <c r="C187" s="17">
        <f t="shared" si="11"/>
        <v>51457</v>
      </c>
      <c r="D187" s="29" t="s">
        <v>648</v>
      </c>
      <c r="E187" s="38" t="s">
        <v>806</v>
      </c>
      <c r="F187" s="29" t="s">
        <v>648</v>
      </c>
    </row>
    <row r="188" spans="1:6" x14ac:dyDescent="0.3">
      <c r="A188" s="28" t="b">
        <v>1</v>
      </c>
      <c r="B188" s="29" t="str">
        <f t="shared" si="12"/>
        <v>업적 - [ffc0cb][계정][-] 결투장 연승 달성 Step.10</v>
      </c>
      <c r="C188" s="17">
        <f t="shared" si="11"/>
        <v>51458</v>
      </c>
      <c r="D188" s="29" t="s">
        <v>649</v>
      </c>
      <c r="E188" s="38" t="s">
        <v>807</v>
      </c>
      <c r="F188" s="29" t="s">
        <v>649</v>
      </c>
    </row>
    <row r="189" spans="1:6" x14ac:dyDescent="0.3">
      <c r="A189" s="28" t="b">
        <v>1</v>
      </c>
      <c r="B189" s="29" t="str">
        <f t="shared" si="12"/>
        <v>업적 - [ffc0cb][계정][-] 결투장 연승 달성 Step.11</v>
      </c>
      <c r="C189" s="17">
        <f t="shared" si="11"/>
        <v>51459</v>
      </c>
      <c r="D189" s="29" t="s">
        <v>650</v>
      </c>
      <c r="E189" s="38" t="s">
        <v>808</v>
      </c>
      <c r="F189" s="29" t="s">
        <v>650</v>
      </c>
    </row>
    <row r="190" spans="1:6" x14ac:dyDescent="0.3">
      <c r="A190" s="28" t="b">
        <v>1</v>
      </c>
      <c r="B190" s="29" t="str">
        <f t="shared" si="12"/>
        <v>업적 - [ffc0cb][계정][-] 결투장 연승 달성 Step.12</v>
      </c>
      <c r="C190" s="17">
        <f t="shared" si="11"/>
        <v>51460</v>
      </c>
      <c r="D190" s="29" t="s">
        <v>651</v>
      </c>
      <c r="E190" s="38" t="s">
        <v>809</v>
      </c>
      <c r="F190" s="29" t="s">
        <v>651</v>
      </c>
    </row>
    <row r="191" spans="1:6" x14ac:dyDescent="0.3">
      <c r="A191" s="28" t="b">
        <v>1</v>
      </c>
      <c r="B191" s="29" t="str">
        <f t="shared" si="12"/>
        <v>업적 - [ffc0cb][계정][-] 결투장 연승 달성 Step.13</v>
      </c>
      <c r="C191" s="17">
        <f t="shared" si="11"/>
        <v>51461</v>
      </c>
      <c r="D191" s="29" t="s">
        <v>652</v>
      </c>
      <c r="E191" s="38" t="s">
        <v>810</v>
      </c>
      <c r="F191" s="29" t="s">
        <v>652</v>
      </c>
    </row>
    <row r="192" spans="1:6" x14ac:dyDescent="0.3">
      <c r="A192" s="28" t="b">
        <v>1</v>
      </c>
      <c r="B192" s="29" t="str">
        <f t="shared" si="12"/>
        <v>업적 - [ffc0cb][계정][-] 결투장 연승 달성 Step.14</v>
      </c>
      <c r="C192" s="17">
        <f t="shared" si="11"/>
        <v>51462</v>
      </c>
      <c r="D192" s="29" t="s">
        <v>653</v>
      </c>
      <c r="E192" s="38" t="s">
        <v>811</v>
      </c>
      <c r="F192" s="29" t="s">
        <v>653</v>
      </c>
    </row>
    <row r="193" spans="1:6" x14ac:dyDescent="0.3">
      <c r="A193" s="28" t="b">
        <v>1</v>
      </c>
      <c r="B193" s="29" t="str">
        <f t="shared" si="12"/>
        <v>업적 - [ffc0cb][계정][-] 결투장 연승 달성 Step.15</v>
      </c>
      <c r="C193" s="17">
        <f t="shared" si="11"/>
        <v>51463</v>
      </c>
      <c r="D193" s="29" t="s">
        <v>654</v>
      </c>
      <c r="E193" s="38" t="s">
        <v>812</v>
      </c>
      <c r="F193" s="29" t="s">
        <v>654</v>
      </c>
    </row>
    <row r="194" spans="1:6" x14ac:dyDescent="0.3">
      <c r="A194" s="28" t="b">
        <v>1</v>
      </c>
      <c r="B194" s="29" t="str">
        <f t="shared" si="12"/>
        <v>업적 - [ffc0cb][계정][-] 결투장 연승 달성 Step.16</v>
      </c>
      <c r="C194" s="17">
        <f t="shared" si="11"/>
        <v>51464</v>
      </c>
      <c r="D194" s="29" t="s">
        <v>655</v>
      </c>
      <c r="E194" s="38" t="s">
        <v>813</v>
      </c>
      <c r="F194" s="29" t="s">
        <v>655</v>
      </c>
    </row>
    <row r="195" spans="1:6" x14ac:dyDescent="0.3">
      <c r="A195" s="28" t="b">
        <v>1</v>
      </c>
      <c r="B195" s="29" t="str">
        <f t="shared" si="12"/>
        <v>업적 - [ffc0cb][계정][-] 결투장 연승 달성 Step.17</v>
      </c>
      <c r="C195" s="17">
        <f t="shared" si="11"/>
        <v>51465</v>
      </c>
      <c r="D195" s="29" t="s">
        <v>656</v>
      </c>
      <c r="E195" s="38" t="s">
        <v>814</v>
      </c>
      <c r="F195" s="29" t="s">
        <v>656</v>
      </c>
    </row>
    <row r="196" spans="1:6" x14ac:dyDescent="0.3">
      <c r="A196" s="28" t="b">
        <v>1</v>
      </c>
      <c r="B196" s="29" t="str">
        <f t="shared" si="12"/>
        <v>업적 - [ffc0cb][계정][-] 결투장 연승 달성 Step.18</v>
      </c>
      <c r="C196" s="17">
        <f t="shared" si="11"/>
        <v>51466</v>
      </c>
      <c r="D196" s="29" t="s">
        <v>657</v>
      </c>
      <c r="E196" s="38" t="s">
        <v>815</v>
      </c>
      <c r="F196" s="29" t="s">
        <v>657</v>
      </c>
    </row>
    <row r="197" spans="1:6" x14ac:dyDescent="0.3">
      <c r="A197" s="28" t="b">
        <v>1</v>
      </c>
      <c r="B197" s="29" t="str">
        <f t="shared" si="12"/>
        <v>업적 - [ffc0cb][계정][-] 결투장 연승 달성 Step.19</v>
      </c>
      <c r="C197" s="17">
        <f t="shared" si="11"/>
        <v>51467</v>
      </c>
      <c r="D197" s="29" t="s">
        <v>658</v>
      </c>
      <c r="E197" s="38" t="s">
        <v>816</v>
      </c>
      <c r="F197" s="29" t="s">
        <v>658</v>
      </c>
    </row>
    <row r="198" spans="1:6" x14ac:dyDescent="0.3">
      <c r="A198" s="28" t="b">
        <v>1</v>
      </c>
      <c r="B198" s="29" t="str">
        <f t="shared" si="12"/>
        <v>업적 - [ffc0cb][계정][-] 결투장 연승 달성 Step.20</v>
      </c>
      <c r="C198" s="17">
        <f t="shared" si="11"/>
        <v>51468</v>
      </c>
      <c r="D198" s="29" t="s">
        <v>659</v>
      </c>
      <c r="E198" s="38" t="s">
        <v>817</v>
      </c>
      <c r="F198" s="29" t="s">
        <v>659</v>
      </c>
    </row>
    <row r="199" spans="1:6" x14ac:dyDescent="0.3">
      <c r="A199" s="28" t="b">
        <v>1</v>
      </c>
      <c r="B199" s="29" t="str">
        <f t="shared" si="12"/>
        <v>업적 - [ffc0cb][계정][-] 결투장 연승 달성 Step.21</v>
      </c>
      <c r="C199" s="17">
        <f t="shared" si="11"/>
        <v>51469</v>
      </c>
      <c r="D199" s="29" t="s">
        <v>660</v>
      </c>
      <c r="E199" s="38" t="s">
        <v>818</v>
      </c>
      <c r="F199" s="29" t="s">
        <v>660</v>
      </c>
    </row>
    <row r="200" spans="1:6" x14ac:dyDescent="0.3">
      <c r="A200" s="28" t="b">
        <v>1</v>
      </c>
      <c r="B200" s="29" t="str">
        <f t="shared" si="12"/>
        <v>업적 - [ffc0cb][계정][-] 결투장 연승 달성 Step.22</v>
      </c>
      <c r="C200" s="17">
        <f t="shared" si="11"/>
        <v>51470</v>
      </c>
      <c r="D200" s="29" t="s">
        <v>661</v>
      </c>
      <c r="E200" s="38" t="s">
        <v>819</v>
      </c>
      <c r="F200" s="29" t="s">
        <v>661</v>
      </c>
    </row>
    <row r="201" spans="1:6" x14ac:dyDescent="0.3">
      <c r="A201" s="28" t="b">
        <v>1</v>
      </c>
      <c r="B201" s="29" t="str">
        <f t="shared" si="12"/>
        <v>업적 - [ffc0cb][계정][-] 결투장 연승 달성 Step.23</v>
      </c>
      <c r="C201" s="17">
        <f t="shared" si="11"/>
        <v>51471</v>
      </c>
      <c r="D201" s="29" t="s">
        <v>662</v>
      </c>
      <c r="E201" s="38" t="s">
        <v>820</v>
      </c>
      <c r="F201" s="29" t="s">
        <v>662</v>
      </c>
    </row>
    <row r="202" spans="1:6" x14ac:dyDescent="0.3">
      <c r="A202" s="28" t="b">
        <v>1</v>
      </c>
      <c r="B202" s="29" t="str">
        <f t="shared" si="12"/>
        <v>업적 - [ffc0cb][계정][-] 결투장 연승 달성 Step.24</v>
      </c>
      <c r="C202" s="17">
        <f t="shared" si="11"/>
        <v>51472</v>
      </c>
      <c r="D202" s="29" t="s">
        <v>663</v>
      </c>
      <c r="E202" s="38" t="s">
        <v>821</v>
      </c>
      <c r="F202" s="29" t="s">
        <v>663</v>
      </c>
    </row>
    <row r="203" spans="1:6" x14ac:dyDescent="0.3">
      <c r="A203" s="28" t="b">
        <v>1</v>
      </c>
      <c r="B203" s="29" t="str">
        <f t="shared" si="12"/>
        <v>업적 - [ffc0cb][계정][-] 결투장 연승 달성 Step.25</v>
      </c>
      <c r="C203" s="17">
        <f t="shared" si="11"/>
        <v>51473</v>
      </c>
      <c r="D203" s="29" t="s">
        <v>664</v>
      </c>
      <c r="E203" s="38" t="s">
        <v>822</v>
      </c>
      <c r="F203" s="29" t="s">
        <v>664</v>
      </c>
    </row>
    <row r="204" spans="1:6" x14ac:dyDescent="0.3">
      <c r="A204" s="28" t="b">
        <v>1</v>
      </c>
      <c r="B204" s="29" t="str">
        <f t="shared" si="12"/>
        <v>업적 - [ffc0cb][계정][-] 결투장 연승 달성 Step.26</v>
      </c>
      <c r="C204" s="17">
        <f t="shared" si="11"/>
        <v>51474</v>
      </c>
      <c r="D204" s="29" t="s">
        <v>665</v>
      </c>
      <c r="E204" s="38" t="s">
        <v>823</v>
      </c>
      <c r="F204" s="29" t="s">
        <v>665</v>
      </c>
    </row>
    <row r="205" spans="1:6" x14ac:dyDescent="0.3">
      <c r="A205" s="28" t="b">
        <v>1</v>
      </c>
      <c r="B205" s="29" t="str">
        <f t="shared" si="12"/>
        <v>업적 - [ffc0cb][계정][-] 결투장 연승 달성 Step.27</v>
      </c>
      <c r="C205" s="17">
        <f t="shared" si="11"/>
        <v>51475</v>
      </c>
      <c r="D205" s="29" t="s">
        <v>666</v>
      </c>
      <c r="E205" s="38" t="s">
        <v>824</v>
      </c>
      <c r="F205" s="29" t="s">
        <v>666</v>
      </c>
    </row>
    <row r="206" spans="1:6" x14ac:dyDescent="0.3">
      <c r="A206" s="28" t="b">
        <v>1</v>
      </c>
      <c r="B206" s="29" t="str">
        <f t="shared" si="12"/>
        <v>업적 - [ffc0cb][계정][-] 결투장 연승 달성 Step.28</v>
      </c>
      <c r="C206" s="17">
        <f t="shared" si="11"/>
        <v>51476</v>
      </c>
      <c r="D206" s="29" t="s">
        <v>667</v>
      </c>
      <c r="E206" s="38" t="s">
        <v>825</v>
      </c>
      <c r="F206" s="29" t="s">
        <v>667</v>
      </c>
    </row>
    <row r="207" spans="1:6" x14ac:dyDescent="0.3">
      <c r="A207" s="28" t="b">
        <v>1</v>
      </c>
      <c r="B207" s="29" t="str">
        <f t="shared" si="12"/>
        <v>업적 - [ffc0cb][계정][-] 결투장 연승 달성 Step.29</v>
      </c>
      <c r="C207" s="17">
        <f t="shared" si="11"/>
        <v>51477</v>
      </c>
      <c r="D207" s="29" t="s">
        <v>668</v>
      </c>
      <c r="E207" s="38" t="s">
        <v>826</v>
      </c>
      <c r="F207" s="29" t="s">
        <v>668</v>
      </c>
    </row>
    <row r="208" spans="1:6" x14ac:dyDescent="0.3">
      <c r="A208" s="28" t="b">
        <v>1</v>
      </c>
      <c r="B208" s="29" t="str">
        <f t="shared" si="12"/>
        <v>업적 - [ffc0cb][계정][-] 결투장 연승 달성 Step.30</v>
      </c>
      <c r="C208" s="17">
        <f t="shared" si="11"/>
        <v>51478</v>
      </c>
      <c r="D208" s="29" t="s">
        <v>669</v>
      </c>
      <c r="E208" s="38" t="s">
        <v>827</v>
      </c>
      <c r="F208" s="29" t="s">
        <v>669</v>
      </c>
    </row>
    <row r="209" spans="1:6" x14ac:dyDescent="0.3">
      <c r="A209" s="28" t="b">
        <v>1</v>
      </c>
      <c r="B209" s="29" t="str">
        <f t="shared" si="12"/>
        <v>업적 - [ffc0cb][계정][-] 결투장 연승 달성 Step.31</v>
      </c>
      <c r="C209" s="17">
        <f t="shared" si="11"/>
        <v>51479</v>
      </c>
      <c r="D209" s="29" t="s">
        <v>670</v>
      </c>
      <c r="E209" s="38" t="s">
        <v>828</v>
      </c>
      <c r="F209" s="29" t="s">
        <v>670</v>
      </c>
    </row>
    <row r="210" spans="1:6" x14ac:dyDescent="0.3">
      <c r="A210" s="28" t="b">
        <v>1</v>
      </c>
      <c r="B210" s="29" t="str">
        <f t="shared" si="12"/>
        <v>업적 - [ffc0cb][계정][-] 길드전 참가 Step.1</v>
      </c>
      <c r="C210" s="17">
        <f t="shared" si="11"/>
        <v>51480</v>
      </c>
      <c r="D210" s="29" t="s">
        <v>671</v>
      </c>
      <c r="E210" s="38" t="s">
        <v>829</v>
      </c>
      <c r="F210" s="29" t="s">
        <v>671</v>
      </c>
    </row>
    <row r="211" spans="1:6" x14ac:dyDescent="0.3">
      <c r="A211" s="28" t="b">
        <v>1</v>
      </c>
      <c r="B211" s="29" t="str">
        <f t="shared" si="12"/>
        <v>업적 - [ffc0cb][계정][-] 길드전 참가 Step.2</v>
      </c>
      <c r="C211" s="17">
        <f t="shared" si="11"/>
        <v>51481</v>
      </c>
      <c r="D211" s="29" t="s">
        <v>672</v>
      </c>
      <c r="E211" s="38" t="s">
        <v>830</v>
      </c>
      <c r="F211" s="29" t="s">
        <v>672</v>
      </c>
    </row>
    <row r="212" spans="1:6" x14ac:dyDescent="0.3">
      <c r="A212" s="28" t="b">
        <v>1</v>
      </c>
      <c r="B212" s="29" t="str">
        <f t="shared" si="12"/>
        <v>업적 - [ffc0cb][계정][-] 길드전 참가 Step.3</v>
      </c>
      <c r="C212" s="17">
        <f t="shared" si="11"/>
        <v>51482</v>
      </c>
      <c r="D212" s="29" t="s">
        <v>673</v>
      </c>
      <c r="E212" s="38" t="s">
        <v>831</v>
      </c>
      <c r="F212" s="29" t="s">
        <v>673</v>
      </c>
    </row>
    <row r="213" spans="1:6" x14ac:dyDescent="0.3">
      <c r="A213" s="28" t="b">
        <v>1</v>
      </c>
      <c r="B213" s="29" t="str">
        <f t="shared" si="12"/>
        <v>업적 - [ffc0cb][계정][-] 길드전 참가 Step.4</v>
      </c>
      <c r="C213" s="17">
        <f t="shared" si="11"/>
        <v>51483</v>
      </c>
      <c r="D213" s="29" t="s">
        <v>674</v>
      </c>
      <c r="E213" s="38" t="s">
        <v>832</v>
      </c>
      <c r="F213" s="29" t="s">
        <v>674</v>
      </c>
    </row>
    <row r="214" spans="1:6" x14ac:dyDescent="0.3">
      <c r="A214" s="28" t="b">
        <v>1</v>
      </c>
      <c r="B214" s="29" t="str">
        <f t="shared" si="12"/>
        <v>업적 - [ffc0cb][계정][-] 길드전 참가 Step.5</v>
      </c>
      <c r="C214" s="17">
        <f t="shared" si="11"/>
        <v>51484</v>
      </c>
      <c r="D214" s="29" t="s">
        <v>675</v>
      </c>
      <c r="E214" s="38" t="s">
        <v>833</v>
      </c>
      <c r="F214" s="29" t="s">
        <v>675</v>
      </c>
    </row>
    <row r="215" spans="1:6" x14ac:dyDescent="0.3">
      <c r="A215" s="28" t="b">
        <v>1</v>
      </c>
      <c r="B215" s="29" t="str">
        <f t="shared" si="12"/>
        <v>업적 - [ffc0cb][계정][-] 길드전 참가 Step.6</v>
      </c>
      <c r="C215" s="17">
        <f t="shared" si="11"/>
        <v>51485</v>
      </c>
      <c r="D215" s="29" t="s">
        <v>676</v>
      </c>
      <c r="E215" s="38" t="s">
        <v>834</v>
      </c>
      <c r="F215" s="29" t="s">
        <v>676</v>
      </c>
    </row>
    <row r="216" spans="1:6" x14ac:dyDescent="0.3">
      <c r="A216" s="28" t="b">
        <v>1</v>
      </c>
      <c r="B216" s="29" t="str">
        <f t="shared" si="12"/>
        <v>업적 - [ffc0cb][계정][-] 길드전 참가 Step.7</v>
      </c>
      <c r="C216" s="17">
        <f t="shared" si="11"/>
        <v>51486</v>
      </c>
      <c r="D216" s="29" t="s">
        <v>677</v>
      </c>
      <c r="E216" s="38" t="s">
        <v>835</v>
      </c>
      <c r="F216" s="29" t="s">
        <v>677</v>
      </c>
    </row>
    <row r="217" spans="1:6" x14ac:dyDescent="0.3">
      <c r="A217" s="28" t="b">
        <v>1</v>
      </c>
      <c r="B217" s="29" t="str">
        <f t="shared" si="12"/>
        <v>업적 - [ffc0cb][계정][-] 길드전 참가 Step.8</v>
      </c>
      <c r="C217" s="17">
        <f t="shared" si="11"/>
        <v>51487</v>
      </c>
      <c r="D217" s="29" t="s">
        <v>678</v>
      </c>
      <c r="E217" s="38" t="s">
        <v>836</v>
      </c>
      <c r="F217" s="29" t="s">
        <v>678</v>
      </c>
    </row>
    <row r="218" spans="1:6" x14ac:dyDescent="0.3">
      <c r="A218" s="28" t="b">
        <v>1</v>
      </c>
      <c r="B218" s="29" t="str">
        <f t="shared" si="12"/>
        <v>업적 - [ffc0cb][계정][-] 길드전 참가 Step.9</v>
      </c>
      <c r="C218" s="17">
        <f t="shared" si="11"/>
        <v>51488</v>
      </c>
      <c r="D218" s="29" t="s">
        <v>679</v>
      </c>
      <c r="E218" s="38" t="s">
        <v>837</v>
      </c>
      <c r="F218" s="29" t="s">
        <v>679</v>
      </c>
    </row>
    <row r="219" spans="1:6" x14ac:dyDescent="0.3">
      <c r="A219" s="28" t="b">
        <v>1</v>
      </c>
      <c r="B219" s="29" t="str">
        <f t="shared" si="12"/>
        <v>업적 - [ffc0cb][계정][-] 길드전 참가 Step.10</v>
      </c>
      <c r="C219" s="17">
        <f t="shared" si="11"/>
        <v>51489</v>
      </c>
      <c r="D219" s="29" t="s">
        <v>680</v>
      </c>
      <c r="E219" s="38" t="s">
        <v>838</v>
      </c>
      <c r="F219" s="29" t="s">
        <v>680</v>
      </c>
    </row>
    <row r="220" spans="1:6" x14ac:dyDescent="0.3">
      <c r="A220" s="28" t="b">
        <v>1</v>
      </c>
      <c r="B220" s="29" t="str">
        <f t="shared" si="12"/>
        <v>업적 - [ffc0cb][계정][-] 길드전 참가 Step.11</v>
      </c>
      <c r="C220" s="17">
        <f t="shared" si="11"/>
        <v>51490</v>
      </c>
      <c r="D220" s="29" t="s">
        <v>681</v>
      </c>
      <c r="E220" s="38" t="s">
        <v>839</v>
      </c>
      <c r="F220" s="29" t="s">
        <v>681</v>
      </c>
    </row>
    <row r="221" spans="1:6" x14ac:dyDescent="0.3">
      <c r="A221" s="28" t="b">
        <v>1</v>
      </c>
      <c r="B221" s="29" t="str">
        <f t="shared" si="12"/>
        <v>업적 - [ffc0cb][계정][-] 길드전 참가 Step.12</v>
      </c>
      <c r="C221" s="17">
        <f t="shared" si="11"/>
        <v>51491</v>
      </c>
      <c r="D221" s="29" t="s">
        <v>682</v>
      </c>
      <c r="E221" s="38" t="s">
        <v>840</v>
      </c>
      <c r="F221" s="29" t="s">
        <v>682</v>
      </c>
    </row>
    <row r="222" spans="1:6" x14ac:dyDescent="0.3">
      <c r="A222" s="28" t="b">
        <v>1</v>
      </c>
      <c r="B222" s="29" t="str">
        <f t="shared" si="12"/>
        <v>업적 - [ffc0cb][계정][-] 길드전 참가 Step.13</v>
      </c>
      <c r="C222" s="17">
        <f t="shared" si="11"/>
        <v>51492</v>
      </c>
      <c r="D222" s="29" t="s">
        <v>683</v>
      </c>
      <c r="E222" s="38" t="s">
        <v>841</v>
      </c>
      <c r="F222" s="29" t="s">
        <v>683</v>
      </c>
    </row>
    <row r="223" spans="1:6" x14ac:dyDescent="0.3">
      <c r="A223" s="28" t="b">
        <v>1</v>
      </c>
      <c r="B223" s="29" t="str">
        <f t="shared" si="12"/>
        <v>업적 - [ffc0cb][계정][-] 길드전 참가 Step.14</v>
      </c>
      <c r="C223" s="17">
        <f t="shared" si="11"/>
        <v>51493</v>
      </c>
      <c r="D223" s="29" t="s">
        <v>684</v>
      </c>
      <c r="E223" s="38" t="s">
        <v>842</v>
      </c>
      <c r="F223" s="29" t="s">
        <v>684</v>
      </c>
    </row>
    <row r="224" spans="1:6" x14ac:dyDescent="0.3">
      <c r="A224" s="32" t="b">
        <v>1</v>
      </c>
      <c r="B224" s="33" t="str">
        <f t="shared" si="12"/>
        <v>업적 - [ffc0cb][계정][-] 길드전 승리 Step.1</v>
      </c>
      <c r="C224" s="17">
        <f t="shared" ref="C224:C287" si="13">C223+1</f>
        <v>51494</v>
      </c>
      <c r="D224" s="33" t="s">
        <v>685</v>
      </c>
      <c r="E224" s="40" t="s">
        <v>843</v>
      </c>
      <c r="F224" s="33" t="s">
        <v>685</v>
      </c>
    </row>
    <row r="225" spans="1:6" x14ac:dyDescent="0.3">
      <c r="A225" s="32" t="b">
        <v>1</v>
      </c>
      <c r="B225" s="33" t="str">
        <f t="shared" si="12"/>
        <v>업적 - [ffc0cb][계정][-] 길드전 승리 Step.2</v>
      </c>
      <c r="C225" s="17">
        <f t="shared" si="13"/>
        <v>51495</v>
      </c>
      <c r="D225" s="33" t="s">
        <v>686</v>
      </c>
      <c r="E225" s="40" t="s">
        <v>844</v>
      </c>
      <c r="F225" s="33" t="s">
        <v>686</v>
      </c>
    </row>
    <row r="226" spans="1:6" x14ac:dyDescent="0.3">
      <c r="A226" s="32" t="b">
        <v>1</v>
      </c>
      <c r="B226" s="33" t="str">
        <f t="shared" si="12"/>
        <v>업적 - [ffc0cb][계정][-] 길드전 승리 Step.3</v>
      </c>
      <c r="C226" s="17">
        <f t="shared" si="13"/>
        <v>51496</v>
      </c>
      <c r="D226" s="33" t="s">
        <v>687</v>
      </c>
      <c r="E226" s="40" t="s">
        <v>845</v>
      </c>
      <c r="F226" s="33" t="s">
        <v>687</v>
      </c>
    </row>
    <row r="227" spans="1:6" x14ac:dyDescent="0.3">
      <c r="A227" s="32" t="b">
        <v>1</v>
      </c>
      <c r="B227" s="33" t="str">
        <f t="shared" si="12"/>
        <v>업적 - [ffc0cb][계정][-] 길드전 승리 Step.4</v>
      </c>
      <c r="C227" s="17">
        <f t="shared" si="13"/>
        <v>51497</v>
      </c>
      <c r="D227" s="33" t="s">
        <v>688</v>
      </c>
      <c r="E227" s="40" t="s">
        <v>846</v>
      </c>
      <c r="F227" s="33" t="s">
        <v>688</v>
      </c>
    </row>
    <row r="228" spans="1:6" x14ac:dyDescent="0.3">
      <c r="A228" s="32" t="b">
        <v>1</v>
      </c>
      <c r="B228" s="33" t="str">
        <f t="shared" si="12"/>
        <v>업적 - [ffc0cb][계정][-] 길드전 승리 Step.5</v>
      </c>
      <c r="C228" s="17">
        <f t="shared" si="13"/>
        <v>51498</v>
      </c>
      <c r="D228" s="33" t="s">
        <v>689</v>
      </c>
      <c r="E228" s="40" t="s">
        <v>847</v>
      </c>
      <c r="F228" s="33" t="s">
        <v>689</v>
      </c>
    </row>
    <row r="229" spans="1:6" x14ac:dyDescent="0.3">
      <c r="A229" s="32" t="b">
        <v>1</v>
      </c>
      <c r="B229" s="33" t="str">
        <f t="shared" si="12"/>
        <v>업적 - [ffc0cb][계정][-] 길드전 승리 Step.6</v>
      </c>
      <c r="C229" s="17">
        <f t="shared" si="13"/>
        <v>51499</v>
      </c>
      <c r="D229" s="33" t="s">
        <v>690</v>
      </c>
      <c r="E229" s="40" t="s">
        <v>848</v>
      </c>
      <c r="F229" s="33" t="s">
        <v>690</v>
      </c>
    </row>
    <row r="230" spans="1:6" x14ac:dyDescent="0.3">
      <c r="A230" s="32" t="b">
        <v>1</v>
      </c>
      <c r="B230" s="33" t="str">
        <f t="shared" si="12"/>
        <v>업적 - [ffc0cb][계정][-] 길드전 승리 Step.7</v>
      </c>
      <c r="C230" s="17">
        <f t="shared" si="13"/>
        <v>51500</v>
      </c>
      <c r="D230" s="33" t="s">
        <v>691</v>
      </c>
      <c r="E230" s="40" t="s">
        <v>849</v>
      </c>
      <c r="F230" s="33" t="s">
        <v>691</v>
      </c>
    </row>
    <row r="231" spans="1:6" x14ac:dyDescent="0.3">
      <c r="A231" s="32" t="b">
        <v>1</v>
      </c>
      <c r="B231" s="33" t="str">
        <f t="shared" ref="B231:B294" si="14">"업적 - " &amp;D231</f>
        <v>업적 - [ffc0cb][계정][-] 길드전 승리 Step.8</v>
      </c>
      <c r="C231" s="17">
        <f t="shared" si="13"/>
        <v>51501</v>
      </c>
      <c r="D231" s="33" t="s">
        <v>692</v>
      </c>
      <c r="E231" s="40" t="s">
        <v>850</v>
      </c>
      <c r="F231" s="33" t="s">
        <v>692</v>
      </c>
    </row>
    <row r="232" spans="1:6" x14ac:dyDescent="0.3">
      <c r="A232" s="32" t="b">
        <v>1</v>
      </c>
      <c r="B232" s="33" t="str">
        <f t="shared" si="14"/>
        <v>업적 - [ffc0cb][계정][-] 길드전 승리 Step.9</v>
      </c>
      <c r="C232" s="17">
        <f t="shared" si="13"/>
        <v>51502</v>
      </c>
      <c r="D232" s="33" t="s">
        <v>693</v>
      </c>
      <c r="E232" s="40" t="s">
        <v>851</v>
      </c>
      <c r="F232" s="33" t="s">
        <v>693</v>
      </c>
    </row>
    <row r="233" spans="1:6" x14ac:dyDescent="0.3">
      <c r="A233" s="32" t="b">
        <v>1</v>
      </c>
      <c r="B233" s="33" t="str">
        <f t="shared" si="14"/>
        <v>업적 - [ffc0cb][계정][-] 길드전 승리 Step.10</v>
      </c>
      <c r="C233" s="17">
        <f t="shared" si="13"/>
        <v>51503</v>
      </c>
      <c r="D233" s="33" t="s">
        <v>694</v>
      </c>
      <c r="E233" s="40" t="s">
        <v>852</v>
      </c>
      <c r="F233" s="33" t="s">
        <v>694</v>
      </c>
    </row>
    <row r="234" spans="1:6" x14ac:dyDescent="0.3">
      <c r="A234" s="32" t="b">
        <v>1</v>
      </c>
      <c r="B234" s="33" t="str">
        <f t="shared" si="14"/>
        <v>업적 - [ffc0cb][계정][-] 길드전 승리 Step.11</v>
      </c>
      <c r="C234" s="17">
        <f t="shared" si="13"/>
        <v>51504</v>
      </c>
      <c r="D234" s="33" t="s">
        <v>695</v>
      </c>
      <c r="E234" s="40" t="s">
        <v>853</v>
      </c>
      <c r="F234" s="33" t="s">
        <v>695</v>
      </c>
    </row>
    <row r="235" spans="1:6" x14ac:dyDescent="0.3">
      <c r="A235" s="32" t="b">
        <v>1</v>
      </c>
      <c r="B235" s="33" t="str">
        <f t="shared" si="14"/>
        <v>업적 - [ffc0cb][계정][-] 길드전 승리 Step.12</v>
      </c>
      <c r="C235" s="17">
        <f t="shared" si="13"/>
        <v>51505</v>
      </c>
      <c r="D235" s="33" t="s">
        <v>696</v>
      </c>
      <c r="E235" s="40" t="s">
        <v>854</v>
      </c>
      <c r="F235" s="33" t="s">
        <v>696</v>
      </c>
    </row>
    <row r="236" spans="1:6" x14ac:dyDescent="0.3">
      <c r="A236" s="32" t="b">
        <v>1</v>
      </c>
      <c r="B236" s="33" t="str">
        <f t="shared" si="14"/>
        <v>업적 - [ffc0cb][계정][-] 길드전 승리 Step.13</v>
      </c>
      <c r="C236" s="17">
        <f t="shared" si="13"/>
        <v>51506</v>
      </c>
      <c r="D236" s="33" t="s">
        <v>697</v>
      </c>
      <c r="E236" s="40" t="s">
        <v>855</v>
      </c>
      <c r="F236" s="33" t="s">
        <v>697</v>
      </c>
    </row>
    <row r="237" spans="1:6" x14ac:dyDescent="0.3">
      <c r="A237" s="32" t="b">
        <v>1</v>
      </c>
      <c r="B237" s="33" t="str">
        <f t="shared" si="14"/>
        <v>업적 - [ffc0cb][계정][-] 길드전 승리 Step.14</v>
      </c>
      <c r="C237" s="17">
        <f t="shared" si="13"/>
        <v>51507</v>
      </c>
      <c r="D237" s="33" t="s">
        <v>698</v>
      </c>
      <c r="E237" s="40" t="s">
        <v>856</v>
      </c>
      <c r="F237" s="33" t="s">
        <v>698</v>
      </c>
    </row>
    <row r="238" spans="1:6" x14ac:dyDescent="0.3">
      <c r="A238" s="28" t="b">
        <v>1</v>
      </c>
      <c r="B238" s="29" t="str">
        <f t="shared" si="14"/>
        <v>업적 - [ffc0cb][캐릭터][-] 룬스톤 합성 Step.1</v>
      </c>
      <c r="C238" s="16">
        <f t="shared" si="13"/>
        <v>51508</v>
      </c>
      <c r="D238" s="29" t="s">
        <v>334</v>
      </c>
      <c r="E238" s="38" t="s">
        <v>906</v>
      </c>
      <c r="F238" s="29" t="s">
        <v>334</v>
      </c>
    </row>
    <row r="239" spans="1:6" x14ac:dyDescent="0.3">
      <c r="A239" s="28" t="b">
        <v>1</v>
      </c>
      <c r="B239" s="29" t="str">
        <f t="shared" si="14"/>
        <v>업적 - [ffc0cb][캐릭터][-] 룬스톤 합성 Step.2</v>
      </c>
      <c r="C239" s="17">
        <f t="shared" si="13"/>
        <v>51509</v>
      </c>
      <c r="D239" s="29" t="s">
        <v>335</v>
      </c>
      <c r="E239" s="38" t="s">
        <v>907</v>
      </c>
      <c r="F239" s="29" t="s">
        <v>335</v>
      </c>
    </row>
    <row r="240" spans="1:6" x14ac:dyDescent="0.3">
      <c r="A240" s="28" t="b">
        <v>1</v>
      </c>
      <c r="B240" s="29" t="str">
        <f t="shared" si="14"/>
        <v>업적 - [ffc0cb][캐릭터][-] 룬스톤 합성 Step.3</v>
      </c>
      <c r="C240" s="17">
        <f t="shared" si="13"/>
        <v>51510</v>
      </c>
      <c r="D240" s="29" t="s">
        <v>336</v>
      </c>
      <c r="E240" s="38" t="s">
        <v>908</v>
      </c>
      <c r="F240" s="29" t="s">
        <v>336</v>
      </c>
    </row>
    <row r="241" spans="1:6" x14ac:dyDescent="0.3">
      <c r="A241" s="28" t="b">
        <v>1</v>
      </c>
      <c r="B241" s="29" t="str">
        <f t="shared" si="14"/>
        <v>업적 - [ffc0cb][캐릭터][-] 룬스톤 합성 Step.4</v>
      </c>
      <c r="C241" s="17">
        <f t="shared" si="13"/>
        <v>51511</v>
      </c>
      <c r="D241" s="29" t="s">
        <v>337</v>
      </c>
      <c r="E241" s="38" t="s">
        <v>909</v>
      </c>
      <c r="F241" s="29" t="s">
        <v>337</v>
      </c>
    </row>
    <row r="242" spans="1:6" x14ac:dyDescent="0.3">
      <c r="A242" s="28" t="b">
        <v>1</v>
      </c>
      <c r="B242" s="29" t="str">
        <f t="shared" si="14"/>
        <v>업적 - [ffc0cb][캐릭터][-] 룬스톤 합성 Step.5</v>
      </c>
      <c r="C242" s="17">
        <f t="shared" si="13"/>
        <v>51512</v>
      </c>
      <c r="D242" s="29" t="s">
        <v>338</v>
      </c>
      <c r="E242" s="38" t="s">
        <v>910</v>
      </c>
      <c r="F242" s="29" t="s">
        <v>338</v>
      </c>
    </row>
    <row r="243" spans="1:6" x14ac:dyDescent="0.3">
      <c r="A243" s="28" t="b">
        <v>1</v>
      </c>
      <c r="B243" s="29" t="str">
        <f t="shared" si="14"/>
        <v>업적 - [ffc0cb][캐릭터][-] 룬스톤 합성 Step.6</v>
      </c>
      <c r="C243" s="17">
        <f t="shared" si="13"/>
        <v>51513</v>
      </c>
      <c r="D243" s="29" t="s">
        <v>339</v>
      </c>
      <c r="E243" s="38" t="s">
        <v>911</v>
      </c>
      <c r="F243" s="29" t="s">
        <v>339</v>
      </c>
    </row>
    <row r="244" spans="1:6" x14ac:dyDescent="0.3">
      <c r="A244" s="28" t="b">
        <v>1</v>
      </c>
      <c r="B244" s="29" t="str">
        <f t="shared" si="14"/>
        <v>업적 - [ffc0cb][캐릭터][-] 룬스톤 합성 Step.7</v>
      </c>
      <c r="C244" s="17">
        <f t="shared" si="13"/>
        <v>51514</v>
      </c>
      <c r="D244" s="29" t="s">
        <v>340</v>
      </c>
      <c r="E244" s="38" t="s">
        <v>912</v>
      </c>
      <c r="F244" s="29" t="s">
        <v>340</v>
      </c>
    </row>
    <row r="245" spans="1:6" x14ac:dyDescent="0.3">
      <c r="A245" s="28" t="b">
        <v>1</v>
      </c>
      <c r="B245" s="29" t="str">
        <f t="shared" si="14"/>
        <v>업적 - [ffc0cb][캐릭터][-] 룬스톤 합성 Step.8</v>
      </c>
      <c r="C245" s="17">
        <f t="shared" si="13"/>
        <v>51515</v>
      </c>
      <c r="D245" s="29" t="s">
        <v>341</v>
      </c>
      <c r="E245" s="38" t="s">
        <v>913</v>
      </c>
      <c r="F245" s="29" t="s">
        <v>341</v>
      </c>
    </row>
    <row r="246" spans="1:6" x14ac:dyDescent="0.3">
      <c r="A246" s="28" t="b">
        <v>1</v>
      </c>
      <c r="B246" s="29" t="str">
        <f t="shared" si="14"/>
        <v>업적 - [ffc0cb][캐릭터][-] 룬스톤 합성 Step.9</v>
      </c>
      <c r="C246" s="17">
        <f t="shared" si="13"/>
        <v>51516</v>
      </c>
      <c r="D246" s="29" t="s">
        <v>342</v>
      </c>
      <c r="E246" s="38" t="s">
        <v>914</v>
      </c>
      <c r="F246" s="29" t="s">
        <v>342</v>
      </c>
    </row>
    <row r="247" spans="1:6" x14ac:dyDescent="0.3">
      <c r="A247" s="28" t="b">
        <v>1</v>
      </c>
      <c r="B247" s="29" t="str">
        <f t="shared" si="14"/>
        <v>업적 - [ffc0cb][캐릭터][-] 룬스톤 합성 Step.10</v>
      </c>
      <c r="C247" s="17">
        <f t="shared" si="13"/>
        <v>51517</v>
      </c>
      <c r="D247" s="29" t="s">
        <v>343</v>
      </c>
      <c r="E247" s="38" t="s">
        <v>915</v>
      </c>
      <c r="F247" s="29" t="s">
        <v>343</v>
      </c>
    </row>
    <row r="248" spans="1:6" x14ac:dyDescent="0.3">
      <c r="A248" s="28" t="b">
        <v>1</v>
      </c>
      <c r="B248" s="29" t="str">
        <f t="shared" si="14"/>
        <v>업적 - [ffc0cb][캐릭터][-] 룬스톤 합성 Step.11</v>
      </c>
      <c r="C248" s="17">
        <f t="shared" si="13"/>
        <v>51518</v>
      </c>
      <c r="D248" s="29" t="s">
        <v>344</v>
      </c>
      <c r="E248" s="38" t="s">
        <v>916</v>
      </c>
      <c r="F248" s="29" t="s">
        <v>344</v>
      </c>
    </row>
    <row r="249" spans="1:6" x14ac:dyDescent="0.3">
      <c r="A249" s="28" t="b">
        <v>1</v>
      </c>
      <c r="B249" s="29" t="str">
        <f t="shared" si="14"/>
        <v>업적 - [ffc0cb][캐릭터][-] 룬스톤 합성 Step.12</v>
      </c>
      <c r="C249" s="17">
        <f t="shared" si="13"/>
        <v>51519</v>
      </c>
      <c r="D249" s="29" t="s">
        <v>345</v>
      </c>
      <c r="E249" s="38" t="s">
        <v>917</v>
      </c>
      <c r="F249" s="29" t="s">
        <v>345</v>
      </c>
    </row>
    <row r="250" spans="1:6" x14ac:dyDescent="0.3">
      <c r="A250" s="28" t="b">
        <v>1</v>
      </c>
      <c r="B250" s="29" t="str">
        <f t="shared" si="14"/>
        <v>업적 - [ffc0cb][캐릭터][-] 룬스톤 합성 Step.13</v>
      </c>
      <c r="C250" s="17">
        <f t="shared" si="13"/>
        <v>51520</v>
      </c>
      <c r="D250" s="29" t="s">
        <v>346</v>
      </c>
      <c r="E250" s="38" t="s">
        <v>918</v>
      </c>
      <c r="F250" s="29" t="s">
        <v>346</v>
      </c>
    </row>
    <row r="251" spans="1:6" x14ac:dyDescent="0.3">
      <c r="A251" s="28" t="b">
        <v>1</v>
      </c>
      <c r="B251" s="29" t="str">
        <f t="shared" si="14"/>
        <v>업적 - [ffc0cb][캐릭터][-] 룬스톤 합성 Step.14</v>
      </c>
      <c r="C251" s="17">
        <f t="shared" si="13"/>
        <v>51521</v>
      </c>
      <c r="D251" s="29" t="s">
        <v>347</v>
      </c>
      <c r="E251" s="38" t="s">
        <v>919</v>
      </c>
      <c r="F251" s="29" t="s">
        <v>347</v>
      </c>
    </row>
    <row r="252" spans="1:6" x14ac:dyDescent="0.3">
      <c r="A252" s="28" t="b">
        <v>1</v>
      </c>
      <c r="B252" s="29" t="str">
        <f t="shared" si="14"/>
        <v>업적 - [ffc0cb][캐릭터][-] 룬스톤 합성 Step.15</v>
      </c>
      <c r="C252" s="17">
        <f t="shared" si="13"/>
        <v>51522</v>
      </c>
      <c r="D252" s="29" t="s">
        <v>348</v>
      </c>
      <c r="E252" s="38" t="s">
        <v>920</v>
      </c>
      <c r="F252" s="29" t="s">
        <v>348</v>
      </c>
    </row>
    <row r="253" spans="1:6" x14ac:dyDescent="0.3">
      <c r="A253" s="28" t="b">
        <v>1</v>
      </c>
      <c r="B253" s="29" t="str">
        <f t="shared" si="14"/>
        <v>업적 - [ffc0cb][캐릭터][-] 룬스톤 합성 Step.16</v>
      </c>
      <c r="C253" s="17">
        <f t="shared" si="13"/>
        <v>51523</v>
      </c>
      <c r="D253" s="29" t="s">
        <v>349</v>
      </c>
      <c r="E253" s="38" t="s">
        <v>921</v>
      </c>
      <c r="F253" s="29" t="s">
        <v>349</v>
      </c>
    </row>
    <row r="254" spans="1:6" x14ac:dyDescent="0.3">
      <c r="A254" s="28" t="b">
        <v>1</v>
      </c>
      <c r="B254" s="29" t="str">
        <f t="shared" si="14"/>
        <v>업적 - [ffc0cb][캐릭터][-] 룬스톤 합성 Step.17</v>
      </c>
      <c r="C254" s="17">
        <f t="shared" si="13"/>
        <v>51524</v>
      </c>
      <c r="D254" s="29" t="s">
        <v>350</v>
      </c>
      <c r="E254" s="38" t="s">
        <v>922</v>
      </c>
      <c r="F254" s="29" t="s">
        <v>350</v>
      </c>
    </row>
    <row r="255" spans="1:6" x14ac:dyDescent="0.3">
      <c r="A255" s="28" t="b">
        <v>1</v>
      </c>
      <c r="B255" s="29" t="str">
        <f t="shared" si="14"/>
        <v>업적 - [ffc0cb][캐릭터][-] 룬스톤 합성 Step.18</v>
      </c>
      <c r="C255" s="17">
        <f t="shared" si="13"/>
        <v>51525</v>
      </c>
      <c r="D255" s="29" t="s">
        <v>351</v>
      </c>
      <c r="E255" s="38" t="s">
        <v>923</v>
      </c>
      <c r="F255" s="29" t="s">
        <v>351</v>
      </c>
    </row>
    <row r="256" spans="1:6" x14ac:dyDescent="0.3">
      <c r="A256" s="28" t="b">
        <v>1</v>
      </c>
      <c r="B256" s="29" t="str">
        <f t="shared" si="14"/>
        <v>업적 - [ffc0cb][캐릭터][-] 룬스톤 합성 Step.19</v>
      </c>
      <c r="C256" s="17">
        <f t="shared" si="13"/>
        <v>51526</v>
      </c>
      <c r="D256" s="29" t="s">
        <v>352</v>
      </c>
      <c r="E256" s="38" t="s">
        <v>924</v>
      </c>
      <c r="F256" s="29" t="s">
        <v>352</v>
      </c>
    </row>
    <row r="257" spans="1:6" x14ac:dyDescent="0.3">
      <c r="A257" s="28" t="b">
        <v>1</v>
      </c>
      <c r="B257" s="29" t="str">
        <f t="shared" si="14"/>
        <v>업적 - [ffc0cb][캐릭터][-] 룬스톤 합성 Step.20</v>
      </c>
      <c r="C257" s="17">
        <f t="shared" si="13"/>
        <v>51527</v>
      </c>
      <c r="D257" s="29" t="s">
        <v>353</v>
      </c>
      <c r="E257" s="38" t="s">
        <v>925</v>
      </c>
      <c r="F257" s="29" t="s">
        <v>353</v>
      </c>
    </row>
    <row r="258" spans="1:6" x14ac:dyDescent="0.3">
      <c r="A258" s="28" t="b">
        <v>1</v>
      </c>
      <c r="B258" s="29" t="str">
        <f t="shared" si="14"/>
        <v>업적 - [ffc0cb][캐릭터][-] 룬스톤 합성 Step.21</v>
      </c>
      <c r="C258" s="17">
        <f t="shared" si="13"/>
        <v>51528</v>
      </c>
      <c r="D258" s="29" t="s">
        <v>354</v>
      </c>
      <c r="E258" s="38" t="s">
        <v>926</v>
      </c>
      <c r="F258" s="29" t="s">
        <v>354</v>
      </c>
    </row>
    <row r="259" spans="1:6" x14ac:dyDescent="0.3">
      <c r="A259" s="28" t="b">
        <v>1</v>
      </c>
      <c r="B259" s="29" t="str">
        <f t="shared" si="14"/>
        <v>업적 - [ffc0cb][캐릭터][-] 룬스톤 합성 Step.22</v>
      </c>
      <c r="C259" s="17">
        <f t="shared" si="13"/>
        <v>51529</v>
      </c>
      <c r="D259" s="29" t="s">
        <v>355</v>
      </c>
      <c r="E259" s="38" t="s">
        <v>927</v>
      </c>
      <c r="F259" s="29" t="s">
        <v>355</v>
      </c>
    </row>
    <row r="260" spans="1:6" x14ac:dyDescent="0.3">
      <c r="A260" s="28" t="b">
        <v>1</v>
      </c>
      <c r="B260" s="29" t="str">
        <f t="shared" si="14"/>
        <v>업적 - [ffc0cb][캐릭터][-] 룬스톤 합성 Step.23</v>
      </c>
      <c r="C260" s="17">
        <f t="shared" si="13"/>
        <v>51530</v>
      </c>
      <c r="D260" s="29" t="s">
        <v>356</v>
      </c>
      <c r="E260" s="38" t="s">
        <v>928</v>
      </c>
      <c r="F260" s="29" t="s">
        <v>356</v>
      </c>
    </row>
    <row r="261" spans="1:6" x14ac:dyDescent="0.3">
      <c r="A261" s="32" t="b">
        <v>1</v>
      </c>
      <c r="B261" s="33" t="str">
        <f t="shared" si="14"/>
        <v>업적 - [ffc0cb][캐릭터][-] 영웅 룬스톤 획득 Step.1</v>
      </c>
      <c r="C261" s="16">
        <f t="shared" si="13"/>
        <v>51531</v>
      </c>
      <c r="D261" s="33" t="s">
        <v>357</v>
      </c>
      <c r="E261" s="40" t="s">
        <v>929</v>
      </c>
      <c r="F261" s="33" t="s">
        <v>357</v>
      </c>
    </row>
    <row r="262" spans="1:6" x14ac:dyDescent="0.3">
      <c r="A262" s="32" t="b">
        <v>1</v>
      </c>
      <c r="B262" s="33" t="str">
        <f t="shared" si="14"/>
        <v>업적 - [ffc0cb][캐릭터][-] 영웅 룬스톤 획득 Step.2</v>
      </c>
      <c r="C262" s="14">
        <f t="shared" si="13"/>
        <v>51532</v>
      </c>
      <c r="D262" s="33" t="s">
        <v>358</v>
      </c>
      <c r="E262" s="40" t="s">
        <v>930</v>
      </c>
      <c r="F262" s="33" t="s">
        <v>358</v>
      </c>
    </row>
    <row r="263" spans="1:6" x14ac:dyDescent="0.3">
      <c r="A263" s="32" t="b">
        <v>1</v>
      </c>
      <c r="B263" s="33" t="str">
        <f t="shared" si="14"/>
        <v>업적 - [ffc0cb][캐릭터][-] 영웅 룬스톤 획득 Step.3</v>
      </c>
      <c r="C263" s="14">
        <f t="shared" si="13"/>
        <v>51533</v>
      </c>
      <c r="D263" s="33" t="s">
        <v>359</v>
      </c>
      <c r="E263" s="40" t="s">
        <v>931</v>
      </c>
      <c r="F263" s="33" t="s">
        <v>359</v>
      </c>
    </row>
    <row r="264" spans="1:6" x14ac:dyDescent="0.3">
      <c r="A264" s="32" t="b">
        <v>1</v>
      </c>
      <c r="B264" s="33" t="str">
        <f t="shared" si="14"/>
        <v>업적 - [ffc0cb][캐릭터][-] 영웅 룬스톤 획득 Step.4</v>
      </c>
      <c r="C264" s="14">
        <f t="shared" si="13"/>
        <v>51534</v>
      </c>
      <c r="D264" s="33" t="s">
        <v>360</v>
      </c>
      <c r="E264" s="40" t="s">
        <v>932</v>
      </c>
      <c r="F264" s="33" t="s">
        <v>360</v>
      </c>
    </row>
    <row r="265" spans="1:6" x14ac:dyDescent="0.3">
      <c r="A265" s="32" t="b">
        <v>1</v>
      </c>
      <c r="B265" s="33" t="str">
        <f t="shared" si="14"/>
        <v>업적 - [ffc0cb][캐릭터][-] 영웅 룬스톤 획득 Step.5</v>
      </c>
      <c r="C265" s="14">
        <f t="shared" si="13"/>
        <v>51535</v>
      </c>
      <c r="D265" s="33" t="s">
        <v>361</v>
      </c>
      <c r="E265" s="40" t="s">
        <v>933</v>
      </c>
      <c r="F265" s="33" t="s">
        <v>361</v>
      </c>
    </row>
    <row r="266" spans="1:6" x14ac:dyDescent="0.3">
      <c r="A266" s="32" t="b">
        <v>1</v>
      </c>
      <c r="B266" s="33" t="str">
        <f t="shared" si="14"/>
        <v>업적 - [ffc0cb][캐릭터][-] 영웅 룬스톤 획득 Step.6</v>
      </c>
      <c r="C266" s="14">
        <f t="shared" si="13"/>
        <v>51536</v>
      </c>
      <c r="D266" s="33" t="s">
        <v>362</v>
      </c>
      <c r="E266" s="40" t="s">
        <v>934</v>
      </c>
      <c r="F266" s="33" t="s">
        <v>362</v>
      </c>
    </row>
    <row r="267" spans="1:6" x14ac:dyDescent="0.3">
      <c r="A267" s="32" t="b">
        <v>1</v>
      </c>
      <c r="B267" s="33" t="str">
        <f t="shared" si="14"/>
        <v>업적 - [ffc0cb][캐릭터][-] 영웅 룬스톤 획득 Step.7</v>
      </c>
      <c r="C267" s="14">
        <f t="shared" si="13"/>
        <v>51537</v>
      </c>
      <c r="D267" s="33" t="s">
        <v>363</v>
      </c>
      <c r="E267" s="40" t="s">
        <v>935</v>
      </c>
      <c r="F267" s="33" t="s">
        <v>363</v>
      </c>
    </row>
    <row r="268" spans="1:6" x14ac:dyDescent="0.3">
      <c r="A268" s="32" t="b">
        <v>1</v>
      </c>
      <c r="B268" s="33" t="str">
        <f t="shared" si="14"/>
        <v>업적 - [ffc0cb][캐릭터][-] 영웅 룬스톤 획득 Step.8</v>
      </c>
      <c r="C268" s="14">
        <f t="shared" si="13"/>
        <v>51538</v>
      </c>
      <c r="D268" s="33" t="s">
        <v>364</v>
      </c>
      <c r="E268" s="40" t="s">
        <v>936</v>
      </c>
      <c r="F268" s="33" t="s">
        <v>364</v>
      </c>
    </row>
    <row r="269" spans="1:6" x14ac:dyDescent="0.3">
      <c r="A269" s="32" t="b">
        <v>1</v>
      </c>
      <c r="B269" s="33" t="str">
        <f t="shared" si="14"/>
        <v>업적 - [ffc0cb][캐릭터][-] 영웅 룬스톤 획득 Step.9</v>
      </c>
      <c r="C269" s="14">
        <f t="shared" si="13"/>
        <v>51539</v>
      </c>
      <c r="D269" s="33" t="s">
        <v>365</v>
      </c>
      <c r="E269" s="40" t="s">
        <v>937</v>
      </c>
      <c r="F269" s="33" t="s">
        <v>365</v>
      </c>
    </row>
    <row r="270" spans="1:6" x14ac:dyDescent="0.3">
      <c r="A270" s="32" t="b">
        <v>1</v>
      </c>
      <c r="B270" s="33" t="str">
        <f t="shared" si="14"/>
        <v>업적 - [ffc0cb][캐릭터][-] 영웅 룬스톤 획득 Step.10</v>
      </c>
      <c r="C270" s="14">
        <f t="shared" si="13"/>
        <v>51540</v>
      </c>
      <c r="D270" s="33" t="s">
        <v>366</v>
      </c>
      <c r="E270" s="40" t="s">
        <v>938</v>
      </c>
      <c r="F270" s="33" t="s">
        <v>366</v>
      </c>
    </row>
    <row r="271" spans="1:6" x14ac:dyDescent="0.3">
      <c r="A271" s="32" t="b">
        <v>1</v>
      </c>
      <c r="B271" s="33" t="str">
        <f t="shared" si="14"/>
        <v>업적 - [ffc0cb][캐릭터][-] 영웅 룬스톤 획득 Step.11</v>
      </c>
      <c r="C271" s="14">
        <f t="shared" si="13"/>
        <v>51541</v>
      </c>
      <c r="D271" s="33" t="s">
        <v>367</v>
      </c>
      <c r="E271" s="40" t="s">
        <v>939</v>
      </c>
      <c r="F271" s="33" t="s">
        <v>367</v>
      </c>
    </row>
    <row r="272" spans="1:6" x14ac:dyDescent="0.3">
      <c r="A272" s="32" t="b">
        <v>1</v>
      </c>
      <c r="B272" s="33" t="str">
        <f t="shared" si="14"/>
        <v>업적 - [ffc0cb][캐릭터][-] 영웅 룬스톤 획득 Step.12</v>
      </c>
      <c r="C272" s="14">
        <f t="shared" si="13"/>
        <v>51542</v>
      </c>
      <c r="D272" s="33" t="s">
        <v>368</v>
      </c>
      <c r="E272" s="40" t="s">
        <v>940</v>
      </c>
      <c r="F272" s="33" t="s">
        <v>368</v>
      </c>
    </row>
    <row r="273" spans="1:6" x14ac:dyDescent="0.3">
      <c r="A273" s="32" t="b">
        <v>1</v>
      </c>
      <c r="B273" s="33" t="str">
        <f t="shared" si="14"/>
        <v>업적 - [ffc0cb][캐릭터][-] 영웅 룬스톤 획득 Step.13</v>
      </c>
      <c r="C273" s="14">
        <f t="shared" si="13"/>
        <v>51543</v>
      </c>
      <c r="D273" s="33" t="s">
        <v>369</v>
      </c>
      <c r="E273" s="40" t="s">
        <v>941</v>
      </c>
      <c r="F273" s="33" t="s">
        <v>369</v>
      </c>
    </row>
    <row r="274" spans="1:6" x14ac:dyDescent="0.3">
      <c r="A274" s="32" t="b">
        <v>1</v>
      </c>
      <c r="B274" s="33" t="str">
        <f t="shared" si="14"/>
        <v>업적 - [ffc0cb][캐릭터][-] 영웅 룬스톤 획득 Step.14</v>
      </c>
      <c r="C274" s="14">
        <f t="shared" si="13"/>
        <v>51544</v>
      </c>
      <c r="D274" s="33" t="s">
        <v>370</v>
      </c>
      <c r="E274" s="40" t="s">
        <v>942</v>
      </c>
      <c r="F274" s="33" t="s">
        <v>370</v>
      </c>
    </row>
    <row r="275" spans="1:6" x14ac:dyDescent="0.3">
      <c r="A275" s="28" t="b">
        <v>1</v>
      </c>
      <c r="B275" s="29" t="str">
        <f t="shared" si="14"/>
        <v>업적 - [ffc0cb][캐릭터][-] 전설 룬스톤 획득 Step.1</v>
      </c>
      <c r="C275" s="16">
        <f t="shared" si="13"/>
        <v>51545</v>
      </c>
      <c r="D275" s="29" t="s">
        <v>371</v>
      </c>
      <c r="E275" s="38" t="s">
        <v>943</v>
      </c>
      <c r="F275" s="29" t="s">
        <v>371</v>
      </c>
    </row>
    <row r="276" spans="1:6" x14ac:dyDescent="0.3">
      <c r="A276" s="28" t="b">
        <v>1</v>
      </c>
      <c r="B276" s="29" t="str">
        <f t="shared" si="14"/>
        <v>업적 - [ffc0cb][캐릭터][-] 전설 룬스톤 획득 Step.2</v>
      </c>
      <c r="C276" s="17">
        <f t="shared" si="13"/>
        <v>51546</v>
      </c>
      <c r="D276" s="29" t="s">
        <v>372</v>
      </c>
      <c r="E276" s="38" t="s">
        <v>944</v>
      </c>
      <c r="F276" s="29" t="s">
        <v>372</v>
      </c>
    </row>
    <row r="277" spans="1:6" x14ac:dyDescent="0.3">
      <c r="A277" s="28" t="b">
        <v>1</v>
      </c>
      <c r="B277" s="29" t="str">
        <f t="shared" si="14"/>
        <v>업적 - [ffc0cb][캐릭터][-] 전설 룬스톤 획득 Step.3</v>
      </c>
      <c r="C277" s="17">
        <f t="shared" si="13"/>
        <v>51547</v>
      </c>
      <c r="D277" s="29" t="s">
        <v>373</v>
      </c>
      <c r="E277" s="38" t="s">
        <v>945</v>
      </c>
      <c r="F277" s="29" t="s">
        <v>373</v>
      </c>
    </row>
    <row r="278" spans="1:6" x14ac:dyDescent="0.3">
      <c r="A278" s="28" t="b">
        <v>1</v>
      </c>
      <c r="B278" s="29" t="str">
        <f t="shared" si="14"/>
        <v>업적 - [ffc0cb][캐릭터][-] 전설 룬스톤 획득 Step.4</v>
      </c>
      <c r="C278" s="17">
        <f t="shared" si="13"/>
        <v>51548</v>
      </c>
      <c r="D278" s="29" t="s">
        <v>374</v>
      </c>
      <c r="E278" s="38" t="s">
        <v>946</v>
      </c>
      <c r="F278" s="29" t="s">
        <v>374</v>
      </c>
    </row>
    <row r="279" spans="1:6" x14ac:dyDescent="0.3">
      <c r="A279" s="28" t="b">
        <v>1</v>
      </c>
      <c r="B279" s="29" t="str">
        <f t="shared" si="14"/>
        <v>업적 - [ffc0cb][캐릭터][-] 전설 룬스톤 획득 Step.5</v>
      </c>
      <c r="C279" s="17">
        <f t="shared" si="13"/>
        <v>51549</v>
      </c>
      <c r="D279" s="29" t="s">
        <v>375</v>
      </c>
      <c r="E279" s="38" t="s">
        <v>947</v>
      </c>
      <c r="F279" s="29" t="s">
        <v>375</v>
      </c>
    </row>
    <row r="280" spans="1:6" x14ac:dyDescent="0.3">
      <c r="A280" s="28" t="b">
        <v>1</v>
      </c>
      <c r="B280" s="29" t="str">
        <f t="shared" si="14"/>
        <v>업적 - [ffc0cb][캐릭터][-] 전설 룬스톤 획득 Step.6</v>
      </c>
      <c r="C280" s="17">
        <f t="shared" si="13"/>
        <v>51550</v>
      </c>
      <c r="D280" s="29" t="s">
        <v>376</v>
      </c>
      <c r="E280" s="38" t="s">
        <v>948</v>
      </c>
      <c r="F280" s="29" t="s">
        <v>376</v>
      </c>
    </row>
    <row r="281" spans="1:6" x14ac:dyDescent="0.3">
      <c r="A281" s="28" t="b">
        <v>1</v>
      </c>
      <c r="B281" s="29" t="str">
        <f t="shared" si="14"/>
        <v>업적 - [ffc0cb][캐릭터][-] 전설 룬스톤 획득 Step.7</v>
      </c>
      <c r="C281" s="17">
        <f t="shared" si="13"/>
        <v>51551</v>
      </c>
      <c r="D281" s="29" t="s">
        <v>377</v>
      </c>
      <c r="E281" s="38" t="s">
        <v>949</v>
      </c>
      <c r="F281" s="29" t="s">
        <v>377</v>
      </c>
    </row>
    <row r="282" spans="1:6" x14ac:dyDescent="0.3">
      <c r="A282" s="28" t="b">
        <v>1</v>
      </c>
      <c r="B282" s="29" t="str">
        <f t="shared" si="14"/>
        <v>업적 - [ffc0cb][캐릭터][-] 전설 룬스톤 획득 Step.8</v>
      </c>
      <c r="C282" s="17">
        <f t="shared" si="13"/>
        <v>51552</v>
      </c>
      <c r="D282" s="29" t="s">
        <v>378</v>
      </c>
      <c r="E282" s="38" t="s">
        <v>950</v>
      </c>
      <c r="F282" s="29" t="s">
        <v>378</v>
      </c>
    </row>
    <row r="283" spans="1:6" x14ac:dyDescent="0.3">
      <c r="A283" s="28" t="b">
        <v>1</v>
      </c>
      <c r="B283" s="29" t="str">
        <f t="shared" si="14"/>
        <v>업적 - [ffc0cb][캐릭터][-] 전설 룬스톤 획득 Step.9</v>
      </c>
      <c r="C283" s="17">
        <f t="shared" si="13"/>
        <v>51553</v>
      </c>
      <c r="D283" s="29" t="s">
        <v>379</v>
      </c>
      <c r="E283" s="38" t="s">
        <v>951</v>
      </c>
      <c r="F283" s="29" t="s">
        <v>379</v>
      </c>
    </row>
    <row r="284" spans="1:6" x14ac:dyDescent="0.3">
      <c r="A284" s="28" t="b">
        <v>1</v>
      </c>
      <c r="B284" s="29" t="str">
        <f t="shared" si="14"/>
        <v>업적 - [ffc0cb][캐릭터][-] 전설 룬스톤 획득 Step.10</v>
      </c>
      <c r="C284" s="17">
        <f t="shared" si="13"/>
        <v>51554</v>
      </c>
      <c r="D284" s="29" t="s">
        <v>380</v>
      </c>
      <c r="E284" s="38" t="s">
        <v>952</v>
      </c>
      <c r="F284" s="29" t="s">
        <v>380</v>
      </c>
    </row>
    <row r="285" spans="1:6" x14ac:dyDescent="0.3">
      <c r="A285" s="28" t="b">
        <v>1</v>
      </c>
      <c r="B285" s="29" t="str">
        <f t="shared" si="14"/>
        <v>업적 - [ffc0cb][캐릭터][-] 전설 룬스톤 획득 Step.11</v>
      </c>
      <c r="C285" s="17">
        <f t="shared" si="13"/>
        <v>51555</v>
      </c>
      <c r="D285" s="29" t="s">
        <v>381</v>
      </c>
      <c r="E285" s="38" t="s">
        <v>953</v>
      </c>
      <c r="F285" s="29" t="s">
        <v>381</v>
      </c>
    </row>
    <row r="286" spans="1:6" x14ac:dyDescent="0.3">
      <c r="A286" s="28" t="b">
        <v>1</v>
      </c>
      <c r="B286" s="29" t="str">
        <f t="shared" si="14"/>
        <v>업적 - [ffc0cb][캐릭터][-] 전설 룬스톤 획득 Step.12</v>
      </c>
      <c r="C286" s="17">
        <f t="shared" si="13"/>
        <v>51556</v>
      </c>
      <c r="D286" s="29" t="s">
        <v>382</v>
      </c>
      <c r="E286" s="38" t="s">
        <v>954</v>
      </c>
      <c r="F286" s="29" t="s">
        <v>382</v>
      </c>
    </row>
    <row r="287" spans="1:6" x14ac:dyDescent="0.3">
      <c r="A287" s="28" t="b">
        <v>1</v>
      </c>
      <c r="B287" s="29" t="str">
        <f t="shared" si="14"/>
        <v>업적 - [ffc0cb][캐릭터][-] 전설 룬스톤 획득 Step.13</v>
      </c>
      <c r="C287" s="17">
        <f t="shared" si="13"/>
        <v>51557</v>
      </c>
      <c r="D287" s="29" t="s">
        <v>383</v>
      </c>
      <c r="E287" s="38" t="s">
        <v>955</v>
      </c>
      <c r="F287" s="29" t="s">
        <v>383</v>
      </c>
    </row>
    <row r="288" spans="1:6" x14ac:dyDescent="0.3">
      <c r="A288" s="28" t="b">
        <v>1</v>
      </c>
      <c r="B288" s="29" t="str">
        <f t="shared" si="14"/>
        <v>업적 - [ffc0cb][캐릭터][-] 전설 룬스톤 획득 Step.14</v>
      </c>
      <c r="C288" s="17">
        <f t="shared" ref="C288:C351" si="15">C287+1</f>
        <v>51558</v>
      </c>
      <c r="D288" s="29" t="s">
        <v>384</v>
      </c>
      <c r="E288" s="38" t="s">
        <v>956</v>
      </c>
      <c r="F288" s="29" t="s">
        <v>384</v>
      </c>
    </row>
    <row r="289" spans="1:6" x14ac:dyDescent="0.3">
      <c r="A289" s="32" t="b">
        <v>1</v>
      </c>
      <c r="B289" s="33" t="str">
        <f t="shared" si="14"/>
        <v>업적 - [ffc0cb][캐릭터][-] 불멸 룬스톤 획득 Step.1</v>
      </c>
      <c r="C289" s="16">
        <f t="shared" si="15"/>
        <v>51559</v>
      </c>
      <c r="D289" s="33" t="s">
        <v>385</v>
      </c>
      <c r="E289" s="40" t="s">
        <v>957</v>
      </c>
      <c r="F289" s="33" t="s">
        <v>385</v>
      </c>
    </row>
    <row r="290" spans="1:6" x14ac:dyDescent="0.3">
      <c r="A290" s="32" t="b">
        <v>1</v>
      </c>
      <c r="B290" s="33" t="str">
        <f t="shared" si="14"/>
        <v>업적 - [ffc0cb][캐릭터][-] 불멸 룬스톤 획득 Step.2</v>
      </c>
      <c r="C290" s="14">
        <f t="shared" si="15"/>
        <v>51560</v>
      </c>
      <c r="D290" s="33" t="s">
        <v>386</v>
      </c>
      <c r="E290" s="40" t="s">
        <v>958</v>
      </c>
      <c r="F290" s="33" t="s">
        <v>386</v>
      </c>
    </row>
    <row r="291" spans="1:6" x14ac:dyDescent="0.3">
      <c r="A291" s="32" t="b">
        <v>1</v>
      </c>
      <c r="B291" s="33" t="str">
        <f t="shared" si="14"/>
        <v>업적 - [ffc0cb][캐릭터][-] 불멸 룬스톤 획득 Step.3</v>
      </c>
      <c r="C291" s="14">
        <f t="shared" si="15"/>
        <v>51561</v>
      </c>
      <c r="D291" s="33" t="s">
        <v>387</v>
      </c>
      <c r="E291" s="40" t="s">
        <v>959</v>
      </c>
      <c r="F291" s="33" t="s">
        <v>387</v>
      </c>
    </row>
    <row r="292" spans="1:6" x14ac:dyDescent="0.3">
      <c r="A292" s="32" t="b">
        <v>1</v>
      </c>
      <c r="B292" s="33" t="str">
        <f t="shared" si="14"/>
        <v>업적 - [ffc0cb][캐릭터][-] 불멸 룬스톤 획득 Step.4</v>
      </c>
      <c r="C292" s="14">
        <f t="shared" si="15"/>
        <v>51562</v>
      </c>
      <c r="D292" s="33" t="s">
        <v>388</v>
      </c>
      <c r="E292" s="40" t="s">
        <v>960</v>
      </c>
      <c r="F292" s="33" t="s">
        <v>388</v>
      </c>
    </row>
    <row r="293" spans="1:6" x14ac:dyDescent="0.3">
      <c r="A293" s="32" t="b">
        <v>1</v>
      </c>
      <c r="B293" s="33" t="str">
        <f t="shared" si="14"/>
        <v>업적 - [ffc0cb][캐릭터][-] 불멸 룬스톤 획득 Step.5</v>
      </c>
      <c r="C293" s="14">
        <f t="shared" si="15"/>
        <v>51563</v>
      </c>
      <c r="D293" s="33" t="s">
        <v>389</v>
      </c>
      <c r="E293" s="40" t="s">
        <v>961</v>
      </c>
      <c r="F293" s="33" t="s">
        <v>389</v>
      </c>
    </row>
    <row r="294" spans="1:6" x14ac:dyDescent="0.3">
      <c r="A294" s="32" t="b">
        <v>1</v>
      </c>
      <c r="B294" s="33" t="str">
        <f t="shared" si="14"/>
        <v>업적 - [ffc0cb][캐릭터][-] 불멸 룬스톤 획득 Step.6</v>
      </c>
      <c r="C294" s="14">
        <f t="shared" si="15"/>
        <v>51564</v>
      </c>
      <c r="D294" s="33" t="s">
        <v>390</v>
      </c>
      <c r="E294" s="40" t="s">
        <v>962</v>
      </c>
      <c r="F294" s="33" t="s">
        <v>390</v>
      </c>
    </row>
    <row r="295" spans="1:6" x14ac:dyDescent="0.3">
      <c r="A295" s="32" t="b">
        <v>1</v>
      </c>
      <c r="B295" s="33" t="str">
        <f t="shared" ref="B295:B358" si="16">"업적 - " &amp;D295</f>
        <v>업적 - [ffc0cb][캐릭터][-] 불멸 룬스톤 획득 Step.7</v>
      </c>
      <c r="C295" s="14">
        <f t="shared" si="15"/>
        <v>51565</v>
      </c>
      <c r="D295" s="33" t="s">
        <v>391</v>
      </c>
      <c r="E295" s="40" t="s">
        <v>963</v>
      </c>
      <c r="F295" s="33" t="s">
        <v>391</v>
      </c>
    </row>
    <row r="296" spans="1:6" x14ac:dyDescent="0.3">
      <c r="A296" s="32" t="b">
        <v>1</v>
      </c>
      <c r="B296" s="33" t="str">
        <f t="shared" si="16"/>
        <v>업적 - [ffc0cb][캐릭터][-] 불멸 룬스톤 획득 Step.8</v>
      </c>
      <c r="C296" s="14">
        <f t="shared" si="15"/>
        <v>51566</v>
      </c>
      <c r="D296" s="33" t="s">
        <v>392</v>
      </c>
      <c r="E296" s="40" t="s">
        <v>964</v>
      </c>
      <c r="F296" s="33" t="s">
        <v>392</v>
      </c>
    </row>
    <row r="297" spans="1:6" x14ac:dyDescent="0.3">
      <c r="A297" s="32" t="b">
        <v>1</v>
      </c>
      <c r="B297" s="33" t="str">
        <f t="shared" si="16"/>
        <v>업적 - [ffc0cb][캐릭터][-] 불멸 룬스톤 획득 Step.9</v>
      </c>
      <c r="C297" s="14">
        <f t="shared" si="15"/>
        <v>51567</v>
      </c>
      <c r="D297" s="33" t="s">
        <v>393</v>
      </c>
      <c r="E297" s="40" t="s">
        <v>965</v>
      </c>
      <c r="F297" s="33" t="s">
        <v>393</v>
      </c>
    </row>
    <row r="298" spans="1:6" x14ac:dyDescent="0.3">
      <c r="A298" s="32" t="b">
        <v>1</v>
      </c>
      <c r="B298" s="33" t="str">
        <f t="shared" si="16"/>
        <v>업적 - [ffc0cb][캐릭터][-] 불멸 룬스톤 획득 Step.10</v>
      </c>
      <c r="C298" s="14">
        <f t="shared" si="15"/>
        <v>51568</v>
      </c>
      <c r="D298" s="33" t="s">
        <v>394</v>
      </c>
      <c r="E298" s="40" t="s">
        <v>966</v>
      </c>
      <c r="F298" s="33" t="s">
        <v>394</v>
      </c>
    </row>
    <row r="299" spans="1:6" x14ac:dyDescent="0.3">
      <c r="A299" s="32" t="b">
        <v>1</v>
      </c>
      <c r="B299" s="33" t="str">
        <f t="shared" si="16"/>
        <v>업적 - [ffc0cb][캐릭터][-] 불멸 룬스톤 획득 Step.11</v>
      </c>
      <c r="C299" s="14">
        <f t="shared" si="15"/>
        <v>51569</v>
      </c>
      <c r="D299" s="33" t="s">
        <v>395</v>
      </c>
      <c r="E299" s="40" t="s">
        <v>967</v>
      </c>
      <c r="F299" s="33" t="s">
        <v>395</v>
      </c>
    </row>
    <row r="300" spans="1:6" x14ac:dyDescent="0.3">
      <c r="A300" s="32" t="b">
        <v>1</v>
      </c>
      <c r="B300" s="33" t="str">
        <f t="shared" si="16"/>
        <v>업적 - [ffc0cb][캐릭터][-] 불멸 룬스톤 획득 Step.12</v>
      </c>
      <c r="C300" s="14">
        <f t="shared" si="15"/>
        <v>51570</v>
      </c>
      <c r="D300" s="33" t="s">
        <v>396</v>
      </c>
      <c r="E300" s="40" t="s">
        <v>968</v>
      </c>
      <c r="F300" s="33" t="s">
        <v>396</v>
      </c>
    </row>
    <row r="301" spans="1:6" x14ac:dyDescent="0.3">
      <c r="A301" s="32" t="b">
        <v>1</v>
      </c>
      <c r="B301" s="33" t="str">
        <f t="shared" si="16"/>
        <v>업적 - [ffc0cb][캐릭터][-] 불멸 룬스톤 획득 Step.13</v>
      </c>
      <c r="C301" s="14">
        <f t="shared" si="15"/>
        <v>51571</v>
      </c>
      <c r="D301" s="33" t="s">
        <v>397</v>
      </c>
      <c r="E301" s="40" t="s">
        <v>969</v>
      </c>
      <c r="F301" s="33" t="s">
        <v>397</v>
      </c>
    </row>
    <row r="302" spans="1:6" x14ac:dyDescent="0.3">
      <c r="A302" s="32" t="b">
        <v>1</v>
      </c>
      <c r="B302" s="33" t="str">
        <f t="shared" si="16"/>
        <v>업적 - [ffc0cb][캐릭터][-] 불멸 룬스톤 획득 Step.14</v>
      </c>
      <c r="C302" s="14">
        <f t="shared" si="15"/>
        <v>51572</v>
      </c>
      <c r="D302" s="33" t="s">
        <v>398</v>
      </c>
      <c r="E302" s="40" t="s">
        <v>970</v>
      </c>
      <c r="F302" s="33" t="s">
        <v>398</v>
      </c>
    </row>
    <row r="303" spans="1:6" x14ac:dyDescent="0.3">
      <c r="A303" s="28" t="b">
        <v>1</v>
      </c>
      <c r="B303" s="29" t="str">
        <f t="shared" si="16"/>
        <v>업적 - [ffc0cb][캐릭터][-] 장비아이템 합성 Step.1</v>
      </c>
      <c r="C303" s="16">
        <f t="shared" si="15"/>
        <v>51573</v>
      </c>
      <c r="D303" s="29" t="s">
        <v>399</v>
      </c>
      <c r="E303" s="38" t="s">
        <v>971</v>
      </c>
      <c r="F303" s="29" t="s">
        <v>399</v>
      </c>
    </row>
    <row r="304" spans="1:6" x14ac:dyDescent="0.3">
      <c r="A304" s="28" t="b">
        <v>1</v>
      </c>
      <c r="B304" s="29" t="str">
        <f t="shared" si="16"/>
        <v>업적 - [ffc0cb][캐릭터][-] 장비아이템 합성 Step.2</v>
      </c>
      <c r="C304" s="17">
        <f t="shared" si="15"/>
        <v>51574</v>
      </c>
      <c r="D304" s="29" t="s">
        <v>400</v>
      </c>
      <c r="E304" s="38" t="s">
        <v>972</v>
      </c>
      <c r="F304" s="29" t="s">
        <v>400</v>
      </c>
    </row>
    <row r="305" spans="1:6" x14ac:dyDescent="0.3">
      <c r="A305" s="28" t="b">
        <v>1</v>
      </c>
      <c r="B305" s="29" t="str">
        <f t="shared" si="16"/>
        <v>업적 - [ffc0cb][캐릭터][-] 장비아이템 합성 Step.3</v>
      </c>
      <c r="C305" s="17">
        <f t="shared" si="15"/>
        <v>51575</v>
      </c>
      <c r="D305" s="29" t="s">
        <v>401</v>
      </c>
      <c r="E305" s="38" t="s">
        <v>973</v>
      </c>
      <c r="F305" s="29" t="s">
        <v>401</v>
      </c>
    </row>
    <row r="306" spans="1:6" x14ac:dyDescent="0.3">
      <c r="A306" s="28" t="b">
        <v>1</v>
      </c>
      <c r="B306" s="29" t="str">
        <f t="shared" si="16"/>
        <v>업적 - [ffc0cb][캐릭터][-] 장비아이템 합성 Step.4</v>
      </c>
      <c r="C306" s="17">
        <f t="shared" si="15"/>
        <v>51576</v>
      </c>
      <c r="D306" s="29" t="s">
        <v>402</v>
      </c>
      <c r="E306" s="38" t="s">
        <v>974</v>
      </c>
      <c r="F306" s="29" t="s">
        <v>402</v>
      </c>
    </row>
    <row r="307" spans="1:6" x14ac:dyDescent="0.3">
      <c r="A307" s="28" t="b">
        <v>1</v>
      </c>
      <c r="B307" s="29" t="str">
        <f t="shared" si="16"/>
        <v>업적 - [ffc0cb][캐릭터][-] 장비아이템 합성 Step.5</v>
      </c>
      <c r="C307" s="17">
        <f t="shared" si="15"/>
        <v>51577</v>
      </c>
      <c r="D307" s="29" t="s">
        <v>403</v>
      </c>
      <c r="E307" s="38" t="s">
        <v>975</v>
      </c>
      <c r="F307" s="29" t="s">
        <v>403</v>
      </c>
    </row>
    <row r="308" spans="1:6" x14ac:dyDescent="0.3">
      <c r="A308" s="28" t="b">
        <v>1</v>
      </c>
      <c r="B308" s="29" t="str">
        <f t="shared" si="16"/>
        <v>업적 - [ffc0cb][캐릭터][-] 장비아이템 합성 Step.6</v>
      </c>
      <c r="C308" s="17">
        <f t="shared" si="15"/>
        <v>51578</v>
      </c>
      <c r="D308" s="29" t="s">
        <v>404</v>
      </c>
      <c r="E308" s="38" t="s">
        <v>976</v>
      </c>
      <c r="F308" s="29" t="s">
        <v>404</v>
      </c>
    </row>
    <row r="309" spans="1:6" x14ac:dyDescent="0.3">
      <c r="A309" s="28" t="b">
        <v>1</v>
      </c>
      <c r="B309" s="29" t="str">
        <f t="shared" si="16"/>
        <v>업적 - [ffc0cb][캐릭터][-] 장비아이템 합성 Step.7</v>
      </c>
      <c r="C309" s="17">
        <f t="shared" si="15"/>
        <v>51579</v>
      </c>
      <c r="D309" s="29" t="s">
        <v>405</v>
      </c>
      <c r="E309" s="38" t="s">
        <v>977</v>
      </c>
      <c r="F309" s="29" t="s">
        <v>405</v>
      </c>
    </row>
    <row r="310" spans="1:6" x14ac:dyDescent="0.3">
      <c r="A310" s="28" t="b">
        <v>1</v>
      </c>
      <c r="B310" s="29" t="str">
        <f t="shared" si="16"/>
        <v>업적 - [ffc0cb][캐릭터][-] 장비아이템 합성 Step.8</v>
      </c>
      <c r="C310" s="17">
        <f t="shared" si="15"/>
        <v>51580</v>
      </c>
      <c r="D310" s="29" t="s">
        <v>406</v>
      </c>
      <c r="E310" s="38" t="s">
        <v>978</v>
      </c>
      <c r="F310" s="29" t="s">
        <v>406</v>
      </c>
    </row>
    <row r="311" spans="1:6" x14ac:dyDescent="0.3">
      <c r="A311" s="28" t="b">
        <v>1</v>
      </c>
      <c r="B311" s="29" t="str">
        <f t="shared" si="16"/>
        <v>업적 - [ffc0cb][캐릭터][-] 장비아이템 합성 Step.9</v>
      </c>
      <c r="C311" s="17">
        <f t="shared" si="15"/>
        <v>51581</v>
      </c>
      <c r="D311" s="29" t="s">
        <v>407</v>
      </c>
      <c r="E311" s="38" t="s">
        <v>979</v>
      </c>
      <c r="F311" s="29" t="s">
        <v>407</v>
      </c>
    </row>
    <row r="312" spans="1:6" x14ac:dyDescent="0.3">
      <c r="A312" s="28" t="b">
        <v>1</v>
      </c>
      <c r="B312" s="29" t="str">
        <f t="shared" si="16"/>
        <v>업적 - [ffc0cb][캐릭터][-] 장비아이템 합성 Step.10</v>
      </c>
      <c r="C312" s="17">
        <f t="shared" si="15"/>
        <v>51582</v>
      </c>
      <c r="D312" s="29" t="s">
        <v>408</v>
      </c>
      <c r="E312" s="38" t="s">
        <v>980</v>
      </c>
      <c r="F312" s="29" t="s">
        <v>408</v>
      </c>
    </row>
    <row r="313" spans="1:6" x14ac:dyDescent="0.3">
      <c r="A313" s="28" t="b">
        <v>1</v>
      </c>
      <c r="B313" s="29" t="str">
        <f t="shared" si="16"/>
        <v>업적 - [ffc0cb][캐릭터][-] 장비아이템 합성 Step.11</v>
      </c>
      <c r="C313" s="17">
        <f t="shared" si="15"/>
        <v>51583</v>
      </c>
      <c r="D313" s="29" t="s">
        <v>409</v>
      </c>
      <c r="E313" s="38" t="s">
        <v>981</v>
      </c>
      <c r="F313" s="29" t="s">
        <v>409</v>
      </c>
    </row>
    <row r="314" spans="1:6" x14ac:dyDescent="0.3">
      <c r="A314" s="28" t="b">
        <v>1</v>
      </c>
      <c r="B314" s="29" t="str">
        <f t="shared" si="16"/>
        <v>업적 - [ffc0cb][캐릭터][-] 장비아이템 합성 Step.12</v>
      </c>
      <c r="C314" s="17">
        <f t="shared" si="15"/>
        <v>51584</v>
      </c>
      <c r="D314" s="29" t="s">
        <v>410</v>
      </c>
      <c r="E314" s="38" t="s">
        <v>982</v>
      </c>
      <c r="F314" s="29" t="s">
        <v>410</v>
      </c>
    </row>
    <row r="315" spans="1:6" x14ac:dyDescent="0.3">
      <c r="A315" s="28" t="b">
        <v>1</v>
      </c>
      <c r="B315" s="29" t="str">
        <f t="shared" si="16"/>
        <v>업적 - [ffc0cb][캐릭터][-] 장비아이템 합성 Step.13</v>
      </c>
      <c r="C315" s="17">
        <f t="shared" si="15"/>
        <v>51585</v>
      </c>
      <c r="D315" s="29" t="s">
        <v>411</v>
      </c>
      <c r="E315" s="38" t="s">
        <v>983</v>
      </c>
      <c r="F315" s="29" t="s">
        <v>411</v>
      </c>
    </row>
    <row r="316" spans="1:6" x14ac:dyDescent="0.3">
      <c r="A316" s="28" t="b">
        <v>1</v>
      </c>
      <c r="B316" s="29" t="str">
        <f t="shared" si="16"/>
        <v>업적 - [ffc0cb][캐릭터][-] 장비아이템 합성 Step.14</v>
      </c>
      <c r="C316" s="17">
        <f t="shared" si="15"/>
        <v>51586</v>
      </c>
      <c r="D316" s="29" t="s">
        <v>412</v>
      </c>
      <c r="E316" s="38" t="s">
        <v>984</v>
      </c>
      <c r="F316" s="29" t="s">
        <v>412</v>
      </c>
    </row>
    <row r="317" spans="1:6" x14ac:dyDescent="0.3">
      <c r="A317" s="28" t="b">
        <v>1</v>
      </c>
      <c r="B317" s="29" t="str">
        <f t="shared" si="16"/>
        <v>업적 - [ffc0cb][캐릭터][-] 장비아이템 합성 Step.15</v>
      </c>
      <c r="C317" s="17">
        <f t="shared" si="15"/>
        <v>51587</v>
      </c>
      <c r="D317" s="29" t="s">
        <v>413</v>
      </c>
      <c r="E317" s="38" t="s">
        <v>985</v>
      </c>
      <c r="F317" s="29" t="s">
        <v>413</v>
      </c>
    </row>
    <row r="318" spans="1:6" x14ac:dyDescent="0.3">
      <c r="A318" s="28" t="b">
        <v>1</v>
      </c>
      <c r="B318" s="29" t="str">
        <f t="shared" si="16"/>
        <v>업적 - [ffc0cb][캐릭터][-] 장비아이템 합성 Step.16</v>
      </c>
      <c r="C318" s="17">
        <f t="shared" si="15"/>
        <v>51588</v>
      </c>
      <c r="D318" s="29" t="s">
        <v>414</v>
      </c>
      <c r="E318" s="38" t="s">
        <v>986</v>
      </c>
      <c r="F318" s="29" t="s">
        <v>414</v>
      </c>
    </row>
    <row r="319" spans="1:6" x14ac:dyDescent="0.3">
      <c r="A319" s="28" t="b">
        <v>1</v>
      </c>
      <c r="B319" s="29" t="str">
        <f t="shared" si="16"/>
        <v>업적 - [ffc0cb][캐릭터][-] 장비아이템 합성 Step.17</v>
      </c>
      <c r="C319" s="17">
        <f t="shared" si="15"/>
        <v>51589</v>
      </c>
      <c r="D319" s="29" t="s">
        <v>415</v>
      </c>
      <c r="E319" s="38" t="s">
        <v>987</v>
      </c>
      <c r="F319" s="29" t="s">
        <v>415</v>
      </c>
    </row>
    <row r="320" spans="1:6" x14ac:dyDescent="0.3">
      <c r="A320" s="28" t="b">
        <v>1</v>
      </c>
      <c r="B320" s="29" t="str">
        <f t="shared" si="16"/>
        <v>업적 - [ffc0cb][캐릭터][-] 장비아이템 합성 Step.18</v>
      </c>
      <c r="C320" s="17">
        <f t="shared" si="15"/>
        <v>51590</v>
      </c>
      <c r="D320" s="29" t="s">
        <v>416</v>
      </c>
      <c r="E320" s="38" t="s">
        <v>988</v>
      </c>
      <c r="F320" s="29" t="s">
        <v>416</v>
      </c>
    </row>
    <row r="321" spans="1:6" x14ac:dyDescent="0.3">
      <c r="A321" s="28" t="b">
        <v>1</v>
      </c>
      <c r="B321" s="29" t="str">
        <f t="shared" si="16"/>
        <v>업적 - [ffc0cb][캐릭터][-] 장비아이템 합성 Step.19</v>
      </c>
      <c r="C321" s="17">
        <f t="shared" si="15"/>
        <v>51591</v>
      </c>
      <c r="D321" s="29" t="s">
        <v>417</v>
      </c>
      <c r="E321" s="38" t="s">
        <v>989</v>
      </c>
      <c r="F321" s="29" t="s">
        <v>417</v>
      </c>
    </row>
    <row r="322" spans="1:6" x14ac:dyDescent="0.3">
      <c r="A322" s="28" t="b">
        <v>1</v>
      </c>
      <c r="B322" s="29" t="str">
        <f t="shared" si="16"/>
        <v>업적 - [ffc0cb][캐릭터][-] 장비아이템 합성 Step.20</v>
      </c>
      <c r="C322" s="17">
        <f t="shared" si="15"/>
        <v>51592</v>
      </c>
      <c r="D322" s="29" t="s">
        <v>418</v>
      </c>
      <c r="E322" s="38" t="s">
        <v>990</v>
      </c>
      <c r="F322" s="29" t="s">
        <v>418</v>
      </c>
    </row>
    <row r="323" spans="1:6" x14ac:dyDescent="0.3">
      <c r="A323" s="28" t="b">
        <v>1</v>
      </c>
      <c r="B323" s="29" t="str">
        <f t="shared" si="16"/>
        <v>업적 - [ffc0cb][캐릭터][-] 장비아이템 합성 Step.21</v>
      </c>
      <c r="C323" s="17">
        <f t="shared" si="15"/>
        <v>51593</v>
      </c>
      <c r="D323" s="29" t="s">
        <v>419</v>
      </c>
      <c r="E323" s="38" t="s">
        <v>991</v>
      </c>
      <c r="F323" s="29" t="s">
        <v>419</v>
      </c>
    </row>
    <row r="324" spans="1:6" x14ac:dyDescent="0.3">
      <c r="A324" s="28" t="b">
        <v>1</v>
      </c>
      <c r="B324" s="29" t="str">
        <f t="shared" si="16"/>
        <v>업적 - [ffc0cb][캐릭터][-] 장비아이템 합성 Step.22</v>
      </c>
      <c r="C324" s="17">
        <f t="shared" si="15"/>
        <v>51594</v>
      </c>
      <c r="D324" s="29" t="s">
        <v>420</v>
      </c>
      <c r="E324" s="38" t="s">
        <v>992</v>
      </c>
      <c r="F324" s="29" t="s">
        <v>420</v>
      </c>
    </row>
    <row r="325" spans="1:6" x14ac:dyDescent="0.3">
      <c r="A325" s="28" t="b">
        <v>1</v>
      </c>
      <c r="B325" s="29" t="str">
        <f t="shared" si="16"/>
        <v>업적 - [ffc0cb][캐릭터][-] 장비아이템 합성 Step.23</v>
      </c>
      <c r="C325" s="17">
        <f t="shared" si="15"/>
        <v>51595</v>
      </c>
      <c r="D325" s="29" t="s">
        <v>421</v>
      </c>
      <c r="E325" s="38" t="s">
        <v>993</v>
      </c>
      <c r="F325" s="29" t="s">
        <v>421</v>
      </c>
    </row>
    <row r="326" spans="1:6" x14ac:dyDescent="0.3">
      <c r="A326" s="28" t="b">
        <v>1</v>
      </c>
      <c r="B326" s="29" t="str">
        <f t="shared" si="16"/>
        <v>업적 - [ffc0cb][캐릭터][-] 장비아이템 합성 Step.24</v>
      </c>
      <c r="C326" s="17">
        <f t="shared" si="15"/>
        <v>51596</v>
      </c>
      <c r="D326" s="29" t="s">
        <v>422</v>
      </c>
      <c r="E326" s="38" t="s">
        <v>994</v>
      </c>
      <c r="F326" s="29" t="s">
        <v>422</v>
      </c>
    </row>
    <row r="327" spans="1:6" x14ac:dyDescent="0.3">
      <c r="A327" s="32" t="b">
        <v>1</v>
      </c>
      <c r="B327" s="33" t="str">
        <f t="shared" si="16"/>
        <v>업적 - [ffc0cb][캐릭터][-] 장비아이템 승급 Step.1</v>
      </c>
      <c r="C327" s="16">
        <f t="shared" si="15"/>
        <v>51597</v>
      </c>
      <c r="D327" s="33" t="s">
        <v>423</v>
      </c>
      <c r="E327" s="40" t="s">
        <v>995</v>
      </c>
      <c r="F327" s="33" t="s">
        <v>423</v>
      </c>
    </row>
    <row r="328" spans="1:6" x14ac:dyDescent="0.3">
      <c r="A328" s="32" t="b">
        <v>1</v>
      </c>
      <c r="B328" s="33" t="str">
        <f t="shared" si="16"/>
        <v>업적 - [ffc0cb][캐릭터][-] 장비아이템 승급 Step.2</v>
      </c>
      <c r="C328" s="14">
        <f t="shared" si="15"/>
        <v>51598</v>
      </c>
      <c r="D328" s="33" t="s">
        <v>424</v>
      </c>
      <c r="E328" s="40" t="s">
        <v>996</v>
      </c>
      <c r="F328" s="33" t="s">
        <v>424</v>
      </c>
    </row>
    <row r="329" spans="1:6" x14ac:dyDescent="0.3">
      <c r="A329" s="32" t="b">
        <v>1</v>
      </c>
      <c r="B329" s="33" t="str">
        <f t="shared" si="16"/>
        <v>업적 - [ffc0cb][캐릭터][-] 장비아이템 승급 Step.3</v>
      </c>
      <c r="C329" s="14">
        <f t="shared" si="15"/>
        <v>51599</v>
      </c>
      <c r="D329" s="33" t="s">
        <v>425</v>
      </c>
      <c r="E329" s="40" t="s">
        <v>997</v>
      </c>
      <c r="F329" s="33" t="s">
        <v>425</v>
      </c>
    </row>
    <row r="330" spans="1:6" x14ac:dyDescent="0.3">
      <c r="A330" s="32" t="b">
        <v>1</v>
      </c>
      <c r="B330" s="33" t="str">
        <f t="shared" si="16"/>
        <v>업적 - [ffc0cb][캐릭터][-] 장비아이템 승급 Step.4</v>
      </c>
      <c r="C330" s="14">
        <f t="shared" si="15"/>
        <v>51600</v>
      </c>
      <c r="D330" s="33" t="s">
        <v>426</v>
      </c>
      <c r="E330" s="40" t="s">
        <v>998</v>
      </c>
      <c r="F330" s="33" t="s">
        <v>426</v>
      </c>
    </row>
    <row r="331" spans="1:6" x14ac:dyDescent="0.3">
      <c r="A331" s="32" t="b">
        <v>1</v>
      </c>
      <c r="B331" s="33" t="str">
        <f t="shared" si="16"/>
        <v>업적 - [ffc0cb][캐릭터][-] 장비아이템 승급 Step.5</v>
      </c>
      <c r="C331" s="14">
        <f t="shared" si="15"/>
        <v>51601</v>
      </c>
      <c r="D331" s="33" t="s">
        <v>427</v>
      </c>
      <c r="E331" s="40" t="s">
        <v>999</v>
      </c>
      <c r="F331" s="33" t="s">
        <v>427</v>
      </c>
    </row>
    <row r="332" spans="1:6" x14ac:dyDescent="0.3">
      <c r="A332" s="32" t="b">
        <v>1</v>
      </c>
      <c r="B332" s="33" t="str">
        <f t="shared" si="16"/>
        <v>업적 - [ffc0cb][캐릭터][-] 장비아이템 승급 Step.6</v>
      </c>
      <c r="C332" s="14">
        <f t="shared" si="15"/>
        <v>51602</v>
      </c>
      <c r="D332" s="33" t="s">
        <v>428</v>
      </c>
      <c r="E332" s="40" t="s">
        <v>1000</v>
      </c>
      <c r="F332" s="33" t="s">
        <v>428</v>
      </c>
    </row>
    <row r="333" spans="1:6" x14ac:dyDescent="0.3">
      <c r="A333" s="32" t="b">
        <v>1</v>
      </c>
      <c r="B333" s="33" t="str">
        <f t="shared" si="16"/>
        <v>업적 - [ffc0cb][캐릭터][-] 장비아이템 승급 Step.7</v>
      </c>
      <c r="C333" s="14">
        <f t="shared" si="15"/>
        <v>51603</v>
      </c>
      <c r="D333" s="33" t="s">
        <v>429</v>
      </c>
      <c r="E333" s="40" t="s">
        <v>1001</v>
      </c>
      <c r="F333" s="33" t="s">
        <v>429</v>
      </c>
    </row>
    <row r="334" spans="1:6" x14ac:dyDescent="0.3">
      <c r="A334" s="32" t="b">
        <v>1</v>
      </c>
      <c r="B334" s="33" t="str">
        <f t="shared" si="16"/>
        <v>업적 - [ffc0cb][캐릭터][-] 장비아이템 승급 Step.8</v>
      </c>
      <c r="C334" s="14">
        <f t="shared" si="15"/>
        <v>51604</v>
      </c>
      <c r="D334" s="33" t="s">
        <v>430</v>
      </c>
      <c r="E334" s="40" t="s">
        <v>1002</v>
      </c>
      <c r="F334" s="33" t="s">
        <v>430</v>
      </c>
    </row>
    <row r="335" spans="1:6" x14ac:dyDescent="0.3">
      <c r="A335" s="32" t="b">
        <v>1</v>
      </c>
      <c r="B335" s="33" t="str">
        <f t="shared" si="16"/>
        <v>업적 - [ffc0cb][캐릭터][-] 장비아이템 승급 Step.9</v>
      </c>
      <c r="C335" s="14">
        <f t="shared" si="15"/>
        <v>51605</v>
      </c>
      <c r="D335" s="33" t="s">
        <v>431</v>
      </c>
      <c r="E335" s="40" t="s">
        <v>1003</v>
      </c>
      <c r="F335" s="33" t="s">
        <v>431</v>
      </c>
    </row>
    <row r="336" spans="1:6" x14ac:dyDescent="0.3">
      <c r="A336" s="32" t="b">
        <v>1</v>
      </c>
      <c r="B336" s="33" t="str">
        <f t="shared" si="16"/>
        <v>업적 - [ffc0cb][캐릭터][-] 장비아이템 승급 Step.10</v>
      </c>
      <c r="C336" s="14">
        <f t="shared" si="15"/>
        <v>51606</v>
      </c>
      <c r="D336" s="33" t="s">
        <v>432</v>
      </c>
      <c r="E336" s="40" t="s">
        <v>1004</v>
      </c>
      <c r="F336" s="33" t="s">
        <v>432</v>
      </c>
    </row>
    <row r="337" spans="1:6" x14ac:dyDescent="0.3">
      <c r="A337" s="32" t="b">
        <v>1</v>
      </c>
      <c r="B337" s="33" t="str">
        <f t="shared" si="16"/>
        <v>업적 - [ffc0cb][캐릭터][-] 장비아이템 승급 Step.11</v>
      </c>
      <c r="C337" s="14">
        <f t="shared" si="15"/>
        <v>51607</v>
      </c>
      <c r="D337" s="33" t="s">
        <v>433</v>
      </c>
      <c r="E337" s="40" t="s">
        <v>1005</v>
      </c>
      <c r="F337" s="33" t="s">
        <v>433</v>
      </c>
    </row>
    <row r="338" spans="1:6" x14ac:dyDescent="0.3">
      <c r="A338" s="32" t="b">
        <v>1</v>
      </c>
      <c r="B338" s="33" t="str">
        <f t="shared" si="16"/>
        <v>업적 - [ffc0cb][캐릭터][-] 장비아이템 승급 Step.12</v>
      </c>
      <c r="C338" s="14">
        <f t="shared" si="15"/>
        <v>51608</v>
      </c>
      <c r="D338" s="33" t="s">
        <v>434</v>
      </c>
      <c r="E338" s="40" t="s">
        <v>1006</v>
      </c>
      <c r="F338" s="33" t="s">
        <v>434</v>
      </c>
    </row>
    <row r="339" spans="1:6" x14ac:dyDescent="0.3">
      <c r="A339" s="32" t="b">
        <v>1</v>
      </c>
      <c r="B339" s="33" t="str">
        <f t="shared" si="16"/>
        <v>업적 - [ffc0cb][캐릭터][-] 장비아이템 승급 Step.13</v>
      </c>
      <c r="C339" s="14">
        <f t="shared" si="15"/>
        <v>51609</v>
      </c>
      <c r="D339" s="33" t="s">
        <v>435</v>
      </c>
      <c r="E339" s="40" t="s">
        <v>1007</v>
      </c>
      <c r="F339" s="33" t="s">
        <v>435</v>
      </c>
    </row>
    <row r="340" spans="1:6" x14ac:dyDescent="0.3">
      <c r="A340" s="32" t="b">
        <v>1</v>
      </c>
      <c r="B340" s="33" t="str">
        <f t="shared" si="16"/>
        <v>업적 - [ffc0cb][캐릭터][-] 장비아이템 승급 Step.14</v>
      </c>
      <c r="C340" s="14">
        <f t="shared" si="15"/>
        <v>51610</v>
      </c>
      <c r="D340" s="33" t="s">
        <v>436</v>
      </c>
      <c r="E340" s="40" t="s">
        <v>1008</v>
      </c>
      <c r="F340" s="33" t="s">
        <v>436</v>
      </c>
    </row>
    <row r="341" spans="1:6" x14ac:dyDescent="0.3">
      <c r="A341" s="32" t="b">
        <v>1</v>
      </c>
      <c r="B341" s="33" t="str">
        <f t="shared" si="16"/>
        <v>업적 - [ffc0cb][캐릭터][-] 장비아이템 승급 Step.15</v>
      </c>
      <c r="C341" s="14">
        <f t="shared" si="15"/>
        <v>51611</v>
      </c>
      <c r="D341" s="33" t="s">
        <v>437</v>
      </c>
      <c r="E341" s="40" t="s">
        <v>1009</v>
      </c>
      <c r="F341" s="33" t="s">
        <v>437</v>
      </c>
    </row>
    <row r="342" spans="1:6" x14ac:dyDescent="0.3">
      <c r="A342" s="32" t="b">
        <v>1</v>
      </c>
      <c r="B342" s="33" t="str">
        <f t="shared" si="16"/>
        <v>업적 - [ffc0cb][캐릭터][-] 장비아이템 승급 Step.16</v>
      </c>
      <c r="C342" s="14">
        <f t="shared" si="15"/>
        <v>51612</v>
      </c>
      <c r="D342" s="33" t="s">
        <v>438</v>
      </c>
      <c r="E342" s="40" t="s">
        <v>1010</v>
      </c>
      <c r="F342" s="33" t="s">
        <v>438</v>
      </c>
    </row>
    <row r="343" spans="1:6" x14ac:dyDescent="0.3">
      <c r="A343" s="32" t="b">
        <v>1</v>
      </c>
      <c r="B343" s="33" t="str">
        <f t="shared" si="16"/>
        <v>업적 - [ffc0cb][캐릭터][-] 장비아이템 승급 Step.17</v>
      </c>
      <c r="C343" s="14">
        <f t="shared" si="15"/>
        <v>51613</v>
      </c>
      <c r="D343" s="33" t="s">
        <v>439</v>
      </c>
      <c r="E343" s="40" t="s">
        <v>1011</v>
      </c>
      <c r="F343" s="33" t="s">
        <v>439</v>
      </c>
    </row>
    <row r="344" spans="1:6" x14ac:dyDescent="0.3">
      <c r="A344" s="28" t="b">
        <v>1</v>
      </c>
      <c r="B344" s="29" t="str">
        <f t="shared" si="16"/>
        <v>업적 - [ffc0cb][캐릭터][-] 영웅 장비아이템 획득 Step.1</v>
      </c>
      <c r="C344" s="16">
        <f t="shared" si="15"/>
        <v>51614</v>
      </c>
      <c r="D344" s="29" t="s">
        <v>440</v>
      </c>
      <c r="E344" s="38" t="s">
        <v>1012</v>
      </c>
      <c r="F344" s="29" t="s">
        <v>440</v>
      </c>
    </row>
    <row r="345" spans="1:6" x14ac:dyDescent="0.3">
      <c r="A345" s="28" t="b">
        <v>1</v>
      </c>
      <c r="B345" s="29" t="str">
        <f t="shared" si="16"/>
        <v>업적 - [ffc0cb][캐릭터][-] 영웅 장비아이템 획득 Step.2</v>
      </c>
      <c r="C345" s="17">
        <f t="shared" si="15"/>
        <v>51615</v>
      </c>
      <c r="D345" s="29" t="s">
        <v>441</v>
      </c>
      <c r="E345" s="38" t="s">
        <v>1013</v>
      </c>
      <c r="F345" s="29" t="s">
        <v>441</v>
      </c>
    </row>
    <row r="346" spans="1:6" x14ac:dyDescent="0.3">
      <c r="A346" s="28" t="b">
        <v>1</v>
      </c>
      <c r="B346" s="29" t="str">
        <f t="shared" si="16"/>
        <v>업적 - [ffc0cb][캐릭터][-] 영웅 장비아이템 획득 Step.3</v>
      </c>
      <c r="C346" s="17">
        <f t="shared" si="15"/>
        <v>51616</v>
      </c>
      <c r="D346" s="29" t="s">
        <v>442</v>
      </c>
      <c r="E346" s="38" t="s">
        <v>1014</v>
      </c>
      <c r="F346" s="29" t="s">
        <v>442</v>
      </c>
    </row>
    <row r="347" spans="1:6" x14ac:dyDescent="0.3">
      <c r="A347" s="28" t="b">
        <v>1</v>
      </c>
      <c r="B347" s="29" t="str">
        <f t="shared" si="16"/>
        <v>업적 - [ffc0cb][캐릭터][-] 영웅 장비아이템 획득 Step.4</v>
      </c>
      <c r="C347" s="17">
        <f t="shared" si="15"/>
        <v>51617</v>
      </c>
      <c r="D347" s="29" t="s">
        <v>443</v>
      </c>
      <c r="E347" s="38" t="s">
        <v>1015</v>
      </c>
      <c r="F347" s="29" t="s">
        <v>443</v>
      </c>
    </row>
    <row r="348" spans="1:6" x14ac:dyDescent="0.3">
      <c r="A348" s="28" t="b">
        <v>1</v>
      </c>
      <c r="B348" s="29" t="str">
        <f t="shared" si="16"/>
        <v>업적 - [ffc0cb][캐릭터][-] 영웅 장비아이템 획득 Step.5</v>
      </c>
      <c r="C348" s="17">
        <f t="shared" si="15"/>
        <v>51618</v>
      </c>
      <c r="D348" s="29" t="s">
        <v>444</v>
      </c>
      <c r="E348" s="38" t="s">
        <v>1016</v>
      </c>
      <c r="F348" s="29" t="s">
        <v>444</v>
      </c>
    </row>
    <row r="349" spans="1:6" x14ac:dyDescent="0.3">
      <c r="A349" s="28" t="b">
        <v>1</v>
      </c>
      <c r="B349" s="29" t="str">
        <f t="shared" si="16"/>
        <v>업적 - [ffc0cb][캐릭터][-] 영웅 장비아이템 획득 Step.6</v>
      </c>
      <c r="C349" s="17">
        <f t="shared" si="15"/>
        <v>51619</v>
      </c>
      <c r="D349" s="29" t="s">
        <v>445</v>
      </c>
      <c r="E349" s="38" t="s">
        <v>1017</v>
      </c>
      <c r="F349" s="29" t="s">
        <v>445</v>
      </c>
    </row>
    <row r="350" spans="1:6" x14ac:dyDescent="0.3">
      <c r="A350" s="28" t="b">
        <v>1</v>
      </c>
      <c r="B350" s="29" t="str">
        <f t="shared" si="16"/>
        <v>업적 - [ffc0cb][캐릭터][-] 영웅 장비아이템 획득 Step.7</v>
      </c>
      <c r="C350" s="17">
        <f t="shared" si="15"/>
        <v>51620</v>
      </c>
      <c r="D350" s="29" t="s">
        <v>446</v>
      </c>
      <c r="E350" s="38" t="s">
        <v>1018</v>
      </c>
      <c r="F350" s="29" t="s">
        <v>446</v>
      </c>
    </row>
    <row r="351" spans="1:6" x14ac:dyDescent="0.3">
      <c r="A351" s="28" t="b">
        <v>1</v>
      </c>
      <c r="B351" s="29" t="str">
        <f t="shared" si="16"/>
        <v>업적 - [ffc0cb][캐릭터][-] 영웅 장비아이템 획득 Step.8</v>
      </c>
      <c r="C351" s="17">
        <f t="shared" si="15"/>
        <v>51621</v>
      </c>
      <c r="D351" s="29" t="s">
        <v>447</v>
      </c>
      <c r="E351" s="38" t="s">
        <v>1019</v>
      </c>
      <c r="F351" s="29" t="s">
        <v>447</v>
      </c>
    </row>
    <row r="352" spans="1:6" x14ac:dyDescent="0.3">
      <c r="A352" s="28" t="b">
        <v>1</v>
      </c>
      <c r="B352" s="29" t="str">
        <f t="shared" si="16"/>
        <v>업적 - [ffc0cb][캐릭터][-] 영웅 장비아이템 획득 Step.9</v>
      </c>
      <c r="C352" s="17">
        <f t="shared" ref="C352:C415" si="17">C351+1</f>
        <v>51622</v>
      </c>
      <c r="D352" s="29" t="s">
        <v>448</v>
      </c>
      <c r="E352" s="38" t="s">
        <v>1020</v>
      </c>
      <c r="F352" s="29" t="s">
        <v>448</v>
      </c>
    </row>
    <row r="353" spans="1:6" x14ac:dyDescent="0.3">
      <c r="A353" s="28" t="b">
        <v>1</v>
      </c>
      <c r="B353" s="29" t="str">
        <f t="shared" si="16"/>
        <v>업적 - [ffc0cb][캐릭터][-] 영웅 장비아이템 획득 Step.10</v>
      </c>
      <c r="C353" s="17">
        <f t="shared" si="17"/>
        <v>51623</v>
      </c>
      <c r="D353" s="29" t="s">
        <v>449</v>
      </c>
      <c r="E353" s="38" t="s">
        <v>1021</v>
      </c>
      <c r="F353" s="29" t="s">
        <v>449</v>
      </c>
    </row>
    <row r="354" spans="1:6" x14ac:dyDescent="0.3">
      <c r="A354" s="28" t="b">
        <v>1</v>
      </c>
      <c r="B354" s="29" t="str">
        <f t="shared" si="16"/>
        <v>업적 - [ffc0cb][캐릭터][-] 영웅 장비아이템 획득 Step.11</v>
      </c>
      <c r="C354" s="17">
        <f t="shared" si="17"/>
        <v>51624</v>
      </c>
      <c r="D354" s="29" t="s">
        <v>450</v>
      </c>
      <c r="E354" s="38" t="s">
        <v>1022</v>
      </c>
      <c r="F354" s="29" t="s">
        <v>450</v>
      </c>
    </row>
    <row r="355" spans="1:6" x14ac:dyDescent="0.3">
      <c r="A355" s="28" t="b">
        <v>1</v>
      </c>
      <c r="B355" s="29" t="str">
        <f t="shared" si="16"/>
        <v>업적 - [ffc0cb][캐릭터][-] 영웅 장비아이템 획득 Step.12</v>
      </c>
      <c r="C355" s="17">
        <f t="shared" si="17"/>
        <v>51625</v>
      </c>
      <c r="D355" s="29" t="s">
        <v>451</v>
      </c>
      <c r="E355" s="38" t="s">
        <v>1023</v>
      </c>
      <c r="F355" s="29" t="s">
        <v>451</v>
      </c>
    </row>
    <row r="356" spans="1:6" x14ac:dyDescent="0.3">
      <c r="A356" s="28" t="b">
        <v>1</v>
      </c>
      <c r="B356" s="29" t="str">
        <f t="shared" si="16"/>
        <v>업적 - [ffc0cb][캐릭터][-] 영웅 장비아이템 획득 Step.13</v>
      </c>
      <c r="C356" s="17">
        <f t="shared" si="17"/>
        <v>51626</v>
      </c>
      <c r="D356" s="29" t="s">
        <v>452</v>
      </c>
      <c r="E356" s="38" t="s">
        <v>1024</v>
      </c>
      <c r="F356" s="29" t="s">
        <v>452</v>
      </c>
    </row>
    <row r="357" spans="1:6" x14ac:dyDescent="0.3">
      <c r="A357" s="28" t="b">
        <v>1</v>
      </c>
      <c r="B357" s="29" t="str">
        <f t="shared" si="16"/>
        <v>업적 - [ffc0cb][캐릭터][-] 영웅 장비아이템 획득 Step.14</v>
      </c>
      <c r="C357" s="17">
        <f t="shared" si="17"/>
        <v>51627</v>
      </c>
      <c r="D357" s="29" t="s">
        <v>453</v>
      </c>
      <c r="E357" s="38" t="s">
        <v>1025</v>
      </c>
      <c r="F357" s="29" t="s">
        <v>453</v>
      </c>
    </row>
    <row r="358" spans="1:6" x14ac:dyDescent="0.3">
      <c r="A358" s="28" t="b">
        <v>1</v>
      </c>
      <c r="B358" s="29" t="str">
        <f t="shared" si="16"/>
        <v>업적 - [ffc0cb][캐릭터][-] 영웅 장비아이템 획득 Step.15</v>
      </c>
      <c r="C358" s="17">
        <f t="shared" si="17"/>
        <v>51628</v>
      </c>
      <c r="D358" s="29" t="s">
        <v>454</v>
      </c>
      <c r="E358" s="38" t="s">
        <v>1026</v>
      </c>
      <c r="F358" s="29" t="s">
        <v>454</v>
      </c>
    </row>
    <row r="359" spans="1:6" x14ac:dyDescent="0.3">
      <c r="A359" s="28" t="b">
        <v>1</v>
      </c>
      <c r="B359" s="29" t="str">
        <f t="shared" ref="B359:B422" si="18">"업적 - " &amp;D359</f>
        <v>업적 - [ffc0cb][캐릭터][-] 영웅 장비아이템 획득 Step.16</v>
      </c>
      <c r="C359" s="17">
        <f t="shared" si="17"/>
        <v>51629</v>
      </c>
      <c r="D359" s="29" t="s">
        <v>455</v>
      </c>
      <c r="E359" s="38" t="s">
        <v>1027</v>
      </c>
      <c r="F359" s="29" t="s">
        <v>455</v>
      </c>
    </row>
    <row r="360" spans="1:6" x14ac:dyDescent="0.3">
      <c r="A360" s="28" t="b">
        <v>1</v>
      </c>
      <c r="B360" s="29" t="str">
        <f t="shared" si="18"/>
        <v>업적 - [ffc0cb][캐릭터][-] 영웅 장비아이템 획득 Step.17</v>
      </c>
      <c r="C360" s="17">
        <f t="shared" si="17"/>
        <v>51630</v>
      </c>
      <c r="D360" s="29" t="s">
        <v>456</v>
      </c>
      <c r="E360" s="38" t="s">
        <v>1028</v>
      </c>
      <c r="F360" s="29" t="s">
        <v>456</v>
      </c>
    </row>
    <row r="361" spans="1:6" x14ac:dyDescent="0.3">
      <c r="A361" s="28" t="b">
        <v>1</v>
      </c>
      <c r="B361" s="29" t="str">
        <f t="shared" si="18"/>
        <v>업적 - [ffc0cb][캐릭터][-] 영웅 장비아이템 획득 Step.18</v>
      </c>
      <c r="C361" s="17">
        <f t="shared" si="17"/>
        <v>51631</v>
      </c>
      <c r="D361" s="29" t="s">
        <v>457</v>
      </c>
      <c r="E361" s="38" t="s">
        <v>1029</v>
      </c>
      <c r="F361" s="29" t="s">
        <v>457</v>
      </c>
    </row>
    <row r="362" spans="1:6" x14ac:dyDescent="0.3">
      <c r="A362" s="28" t="b">
        <v>1</v>
      </c>
      <c r="B362" s="29" t="str">
        <f t="shared" si="18"/>
        <v>업적 - [ffc0cb][캐릭터][-] 영웅 장비아이템 획득 Step.19</v>
      </c>
      <c r="C362" s="17">
        <f t="shared" si="17"/>
        <v>51632</v>
      </c>
      <c r="D362" s="29" t="s">
        <v>458</v>
      </c>
      <c r="E362" s="38" t="s">
        <v>1030</v>
      </c>
      <c r="F362" s="29" t="s">
        <v>458</v>
      </c>
    </row>
    <row r="363" spans="1:6" x14ac:dyDescent="0.3">
      <c r="A363" s="28" t="b">
        <v>1</v>
      </c>
      <c r="B363" s="29" t="str">
        <f t="shared" si="18"/>
        <v>업적 - [ffc0cb][캐릭터][-] 영웅 장비아이템 획득 Step.20</v>
      </c>
      <c r="C363" s="17">
        <f t="shared" si="17"/>
        <v>51633</v>
      </c>
      <c r="D363" s="29" t="s">
        <v>459</v>
      </c>
      <c r="E363" s="38" t="s">
        <v>1031</v>
      </c>
      <c r="F363" s="29" t="s">
        <v>459</v>
      </c>
    </row>
    <row r="364" spans="1:6" x14ac:dyDescent="0.3">
      <c r="A364" s="28" t="b">
        <v>1</v>
      </c>
      <c r="B364" s="29" t="str">
        <f t="shared" si="18"/>
        <v>업적 - [ffc0cb][캐릭터][-] 영웅 장비아이템 획득 Step.21</v>
      </c>
      <c r="C364" s="17">
        <f t="shared" si="17"/>
        <v>51634</v>
      </c>
      <c r="D364" s="29" t="s">
        <v>460</v>
      </c>
      <c r="E364" s="38" t="s">
        <v>1032</v>
      </c>
      <c r="F364" s="29" t="s">
        <v>460</v>
      </c>
    </row>
    <row r="365" spans="1:6" x14ac:dyDescent="0.3">
      <c r="A365" s="28" t="b">
        <v>1</v>
      </c>
      <c r="B365" s="29" t="str">
        <f t="shared" si="18"/>
        <v>업적 - [ffc0cb][캐릭터][-] 영웅 장비아이템 획득 Step.22</v>
      </c>
      <c r="C365" s="17">
        <f t="shared" si="17"/>
        <v>51635</v>
      </c>
      <c r="D365" s="29" t="s">
        <v>461</v>
      </c>
      <c r="E365" s="38" t="s">
        <v>1033</v>
      </c>
      <c r="F365" s="29" t="s">
        <v>461</v>
      </c>
    </row>
    <row r="366" spans="1:6" x14ac:dyDescent="0.3">
      <c r="A366" s="28" t="b">
        <v>1</v>
      </c>
      <c r="B366" s="29" t="str">
        <f t="shared" si="18"/>
        <v>업적 - [ffc0cb][캐릭터][-] 영웅 장비아이템 획득 Step.23</v>
      </c>
      <c r="C366" s="17">
        <f t="shared" si="17"/>
        <v>51636</v>
      </c>
      <c r="D366" s="29" t="s">
        <v>462</v>
      </c>
      <c r="E366" s="38" t="s">
        <v>1034</v>
      </c>
      <c r="F366" s="29" t="s">
        <v>462</v>
      </c>
    </row>
    <row r="367" spans="1:6" x14ac:dyDescent="0.3">
      <c r="A367" s="28" t="b">
        <v>1</v>
      </c>
      <c r="B367" s="29" t="str">
        <f t="shared" si="18"/>
        <v>업적 - [ffc0cb][캐릭터][-] 영웅 장비아이템 획득 Step.24</v>
      </c>
      <c r="C367" s="17">
        <f t="shared" si="17"/>
        <v>51637</v>
      </c>
      <c r="D367" s="29" t="s">
        <v>463</v>
      </c>
      <c r="E367" s="38" t="s">
        <v>1035</v>
      </c>
      <c r="F367" s="29" t="s">
        <v>463</v>
      </c>
    </row>
    <row r="368" spans="1:6" x14ac:dyDescent="0.3">
      <c r="A368" s="32" t="b">
        <v>1</v>
      </c>
      <c r="B368" s="33" t="str">
        <f t="shared" si="18"/>
        <v>업적 - [ffc0cb][캐릭터][-] 전설 장비아이템 획득 Step.1</v>
      </c>
      <c r="C368" s="16">
        <f t="shared" si="17"/>
        <v>51638</v>
      </c>
      <c r="D368" s="33" t="s">
        <v>464</v>
      </c>
      <c r="E368" s="40" t="s">
        <v>1036</v>
      </c>
      <c r="F368" s="33" t="s">
        <v>464</v>
      </c>
    </row>
    <row r="369" spans="1:6" x14ac:dyDescent="0.3">
      <c r="A369" s="32" t="b">
        <v>1</v>
      </c>
      <c r="B369" s="33" t="str">
        <f t="shared" si="18"/>
        <v>업적 - [ffc0cb][캐릭터][-] 전설 장비아이템 획득 Step.2</v>
      </c>
      <c r="C369" s="14">
        <f t="shared" si="17"/>
        <v>51639</v>
      </c>
      <c r="D369" s="33" t="s">
        <v>465</v>
      </c>
      <c r="E369" s="40" t="s">
        <v>1037</v>
      </c>
      <c r="F369" s="33" t="s">
        <v>465</v>
      </c>
    </row>
    <row r="370" spans="1:6" x14ac:dyDescent="0.3">
      <c r="A370" s="32" t="b">
        <v>1</v>
      </c>
      <c r="B370" s="33" t="str">
        <f t="shared" si="18"/>
        <v>업적 - [ffc0cb][캐릭터][-] 전설 장비아이템 획득 Step.3</v>
      </c>
      <c r="C370" s="14">
        <f t="shared" si="17"/>
        <v>51640</v>
      </c>
      <c r="D370" s="33" t="s">
        <v>466</v>
      </c>
      <c r="E370" s="40" t="s">
        <v>1038</v>
      </c>
      <c r="F370" s="33" t="s">
        <v>466</v>
      </c>
    </row>
    <row r="371" spans="1:6" x14ac:dyDescent="0.3">
      <c r="A371" s="32" t="b">
        <v>1</v>
      </c>
      <c r="B371" s="33" t="str">
        <f t="shared" si="18"/>
        <v>업적 - [ffc0cb][캐릭터][-] 전설 장비아이템 획득 Step.4</v>
      </c>
      <c r="C371" s="14">
        <f t="shared" si="17"/>
        <v>51641</v>
      </c>
      <c r="D371" s="33" t="s">
        <v>467</v>
      </c>
      <c r="E371" s="40" t="s">
        <v>1039</v>
      </c>
      <c r="F371" s="33" t="s">
        <v>467</v>
      </c>
    </row>
    <row r="372" spans="1:6" x14ac:dyDescent="0.3">
      <c r="A372" s="32" t="b">
        <v>1</v>
      </c>
      <c r="B372" s="33" t="str">
        <f t="shared" si="18"/>
        <v>업적 - [ffc0cb][캐릭터][-] 전설 장비아이템 획득 Step.5</v>
      </c>
      <c r="C372" s="14">
        <f t="shared" si="17"/>
        <v>51642</v>
      </c>
      <c r="D372" s="33" t="s">
        <v>468</v>
      </c>
      <c r="E372" s="40" t="s">
        <v>1040</v>
      </c>
      <c r="F372" s="33" t="s">
        <v>468</v>
      </c>
    </row>
    <row r="373" spans="1:6" x14ac:dyDescent="0.3">
      <c r="A373" s="32" t="b">
        <v>1</v>
      </c>
      <c r="B373" s="33" t="str">
        <f t="shared" si="18"/>
        <v>업적 - [ffc0cb][캐릭터][-] 전설 장비아이템 획득 Step.6</v>
      </c>
      <c r="C373" s="14">
        <f t="shared" si="17"/>
        <v>51643</v>
      </c>
      <c r="D373" s="33" t="s">
        <v>469</v>
      </c>
      <c r="E373" s="40" t="s">
        <v>1041</v>
      </c>
      <c r="F373" s="33" t="s">
        <v>469</v>
      </c>
    </row>
    <row r="374" spans="1:6" x14ac:dyDescent="0.3">
      <c r="A374" s="32" t="b">
        <v>1</v>
      </c>
      <c r="B374" s="33" t="str">
        <f t="shared" si="18"/>
        <v>업적 - [ffc0cb][캐릭터][-] 전설 장비아이템 획득 Step.7</v>
      </c>
      <c r="C374" s="14">
        <f t="shared" si="17"/>
        <v>51644</v>
      </c>
      <c r="D374" s="33" t="s">
        <v>470</v>
      </c>
      <c r="E374" s="40" t="s">
        <v>1042</v>
      </c>
      <c r="F374" s="33" t="s">
        <v>470</v>
      </c>
    </row>
    <row r="375" spans="1:6" x14ac:dyDescent="0.3">
      <c r="A375" s="32" t="b">
        <v>1</v>
      </c>
      <c r="B375" s="33" t="str">
        <f t="shared" si="18"/>
        <v>업적 - [ffc0cb][캐릭터][-] 전설 장비아이템 획득 Step.8</v>
      </c>
      <c r="C375" s="14">
        <f t="shared" si="17"/>
        <v>51645</v>
      </c>
      <c r="D375" s="33" t="s">
        <v>471</v>
      </c>
      <c r="E375" s="40" t="s">
        <v>1043</v>
      </c>
      <c r="F375" s="33" t="s">
        <v>471</v>
      </c>
    </row>
    <row r="376" spans="1:6" x14ac:dyDescent="0.3">
      <c r="A376" s="32" t="b">
        <v>1</v>
      </c>
      <c r="B376" s="33" t="str">
        <f t="shared" si="18"/>
        <v>업적 - [ffc0cb][캐릭터][-] 전설 장비아이템 획득 Step.9</v>
      </c>
      <c r="C376" s="14">
        <f t="shared" si="17"/>
        <v>51646</v>
      </c>
      <c r="D376" s="33" t="s">
        <v>472</v>
      </c>
      <c r="E376" s="40" t="s">
        <v>1044</v>
      </c>
      <c r="F376" s="33" t="s">
        <v>472</v>
      </c>
    </row>
    <row r="377" spans="1:6" x14ac:dyDescent="0.3">
      <c r="A377" s="32" t="b">
        <v>1</v>
      </c>
      <c r="B377" s="33" t="str">
        <f t="shared" si="18"/>
        <v>업적 - [ffc0cb][캐릭터][-] 전설 장비아이템 획득 Step.10</v>
      </c>
      <c r="C377" s="14">
        <f t="shared" si="17"/>
        <v>51647</v>
      </c>
      <c r="D377" s="33" t="s">
        <v>473</v>
      </c>
      <c r="E377" s="40" t="s">
        <v>1045</v>
      </c>
      <c r="F377" s="33" t="s">
        <v>473</v>
      </c>
    </row>
    <row r="378" spans="1:6" x14ac:dyDescent="0.3">
      <c r="A378" s="32" t="b">
        <v>1</v>
      </c>
      <c r="B378" s="33" t="str">
        <f t="shared" si="18"/>
        <v>업적 - [ffc0cb][캐릭터][-] 전설 장비아이템 획득 Step.11</v>
      </c>
      <c r="C378" s="14">
        <f t="shared" si="17"/>
        <v>51648</v>
      </c>
      <c r="D378" s="33" t="s">
        <v>474</v>
      </c>
      <c r="E378" s="40" t="s">
        <v>1046</v>
      </c>
      <c r="F378" s="33" t="s">
        <v>474</v>
      </c>
    </row>
    <row r="379" spans="1:6" x14ac:dyDescent="0.3">
      <c r="A379" s="32" t="b">
        <v>1</v>
      </c>
      <c r="B379" s="33" t="str">
        <f t="shared" si="18"/>
        <v>업적 - [ffc0cb][캐릭터][-] 전설 장비아이템 획득 Step.12</v>
      </c>
      <c r="C379" s="14">
        <f t="shared" si="17"/>
        <v>51649</v>
      </c>
      <c r="D379" s="33" t="s">
        <v>475</v>
      </c>
      <c r="E379" s="40" t="s">
        <v>1047</v>
      </c>
      <c r="F379" s="33" t="s">
        <v>475</v>
      </c>
    </row>
    <row r="380" spans="1:6" x14ac:dyDescent="0.3">
      <c r="A380" s="32" t="b">
        <v>1</v>
      </c>
      <c r="B380" s="33" t="str">
        <f t="shared" si="18"/>
        <v>업적 - [ffc0cb][캐릭터][-] 전설 장비아이템 획득 Step.13</v>
      </c>
      <c r="C380" s="14">
        <f t="shared" si="17"/>
        <v>51650</v>
      </c>
      <c r="D380" s="33" t="s">
        <v>476</v>
      </c>
      <c r="E380" s="40" t="s">
        <v>1048</v>
      </c>
      <c r="F380" s="33" t="s">
        <v>476</v>
      </c>
    </row>
    <row r="381" spans="1:6" x14ac:dyDescent="0.3">
      <c r="A381" s="32" t="b">
        <v>1</v>
      </c>
      <c r="B381" s="33" t="str">
        <f t="shared" si="18"/>
        <v>업적 - [ffc0cb][캐릭터][-] 전설 장비아이템 획득 Step.14</v>
      </c>
      <c r="C381" s="14">
        <f t="shared" si="17"/>
        <v>51651</v>
      </c>
      <c r="D381" s="33" t="s">
        <v>477</v>
      </c>
      <c r="E381" s="40" t="s">
        <v>1049</v>
      </c>
      <c r="F381" s="33" t="s">
        <v>477</v>
      </c>
    </row>
    <row r="382" spans="1:6" x14ac:dyDescent="0.3">
      <c r="A382" s="32" t="b">
        <v>1</v>
      </c>
      <c r="B382" s="33" t="str">
        <f t="shared" si="18"/>
        <v>업적 - [ffc0cb][캐릭터][-] 전설 장비아이템 획득 Step.15</v>
      </c>
      <c r="C382" s="14">
        <f t="shared" si="17"/>
        <v>51652</v>
      </c>
      <c r="D382" s="33" t="s">
        <v>478</v>
      </c>
      <c r="E382" s="40" t="s">
        <v>1050</v>
      </c>
      <c r="F382" s="33" t="s">
        <v>478</v>
      </c>
    </row>
    <row r="383" spans="1:6" x14ac:dyDescent="0.3">
      <c r="A383" s="32" t="b">
        <v>1</v>
      </c>
      <c r="B383" s="33" t="str">
        <f t="shared" si="18"/>
        <v>업적 - [ffc0cb][캐릭터][-] 전설 장비아이템 획득 Step.16</v>
      </c>
      <c r="C383" s="14">
        <f t="shared" si="17"/>
        <v>51653</v>
      </c>
      <c r="D383" s="33" t="s">
        <v>479</v>
      </c>
      <c r="E383" s="40" t="s">
        <v>1051</v>
      </c>
      <c r="F383" s="33" t="s">
        <v>479</v>
      </c>
    </row>
    <row r="384" spans="1:6" x14ac:dyDescent="0.3">
      <c r="A384" s="32" t="b">
        <v>1</v>
      </c>
      <c r="B384" s="33" t="str">
        <f t="shared" si="18"/>
        <v>업적 - [ffc0cb][캐릭터][-] 전설 장비아이템 획득 Step.17</v>
      </c>
      <c r="C384" s="14">
        <f t="shared" si="17"/>
        <v>51654</v>
      </c>
      <c r="D384" s="33" t="s">
        <v>480</v>
      </c>
      <c r="E384" s="40" t="s">
        <v>1052</v>
      </c>
      <c r="F384" s="33" t="s">
        <v>480</v>
      </c>
    </row>
    <row r="385" spans="1:6" x14ac:dyDescent="0.3">
      <c r="A385" s="32" t="b">
        <v>1</v>
      </c>
      <c r="B385" s="33" t="str">
        <f t="shared" si="18"/>
        <v>업적 - [ffc0cb][캐릭터][-] 전설 장비아이템 획득 Step.18</v>
      </c>
      <c r="C385" s="14">
        <f t="shared" si="17"/>
        <v>51655</v>
      </c>
      <c r="D385" s="33" t="s">
        <v>481</v>
      </c>
      <c r="E385" s="40" t="s">
        <v>1053</v>
      </c>
      <c r="F385" s="33" t="s">
        <v>481</v>
      </c>
    </row>
    <row r="386" spans="1:6" x14ac:dyDescent="0.3">
      <c r="A386" s="32" t="b">
        <v>1</v>
      </c>
      <c r="B386" s="33" t="str">
        <f t="shared" si="18"/>
        <v>업적 - [ffc0cb][캐릭터][-] 전설 장비아이템 획득 Step.19</v>
      </c>
      <c r="C386" s="14">
        <f t="shared" si="17"/>
        <v>51656</v>
      </c>
      <c r="D386" s="33" t="s">
        <v>482</v>
      </c>
      <c r="E386" s="40" t="s">
        <v>1054</v>
      </c>
      <c r="F386" s="33" t="s">
        <v>482</v>
      </c>
    </row>
    <row r="387" spans="1:6" x14ac:dyDescent="0.3">
      <c r="A387" s="32" t="b">
        <v>1</v>
      </c>
      <c r="B387" s="33" t="str">
        <f t="shared" si="18"/>
        <v>업적 - [ffc0cb][캐릭터][-] 전설 장비아이템 획득 Step.20</v>
      </c>
      <c r="C387" s="14">
        <f t="shared" si="17"/>
        <v>51657</v>
      </c>
      <c r="D387" s="33" t="s">
        <v>483</v>
      </c>
      <c r="E387" s="40" t="s">
        <v>1055</v>
      </c>
      <c r="F387" s="33" t="s">
        <v>483</v>
      </c>
    </row>
    <row r="388" spans="1:6" x14ac:dyDescent="0.3">
      <c r="A388" s="32" t="b">
        <v>1</v>
      </c>
      <c r="B388" s="33" t="str">
        <f t="shared" si="18"/>
        <v>업적 - [ffc0cb][캐릭터][-] 전설 장비아이템 획득 Step.21</v>
      </c>
      <c r="C388" s="14">
        <f t="shared" si="17"/>
        <v>51658</v>
      </c>
      <c r="D388" s="33" t="s">
        <v>484</v>
      </c>
      <c r="E388" s="40" t="s">
        <v>1056</v>
      </c>
      <c r="F388" s="33" t="s">
        <v>484</v>
      </c>
    </row>
    <row r="389" spans="1:6" x14ac:dyDescent="0.3">
      <c r="A389" s="32" t="b">
        <v>1</v>
      </c>
      <c r="B389" s="33" t="str">
        <f t="shared" si="18"/>
        <v>업적 - [ffc0cb][캐릭터][-] 전설 장비아이템 획득 Step.22</v>
      </c>
      <c r="C389" s="14">
        <f t="shared" si="17"/>
        <v>51659</v>
      </c>
      <c r="D389" s="33" t="s">
        <v>485</v>
      </c>
      <c r="E389" s="40" t="s">
        <v>1057</v>
      </c>
      <c r="F389" s="33" t="s">
        <v>485</v>
      </c>
    </row>
    <row r="390" spans="1:6" x14ac:dyDescent="0.3">
      <c r="A390" s="32" t="b">
        <v>1</v>
      </c>
      <c r="B390" s="33" t="str">
        <f t="shared" si="18"/>
        <v>업적 - [ffc0cb][캐릭터][-] 전설 장비아이템 획득 Step.23</v>
      </c>
      <c r="C390" s="14">
        <f t="shared" si="17"/>
        <v>51660</v>
      </c>
      <c r="D390" s="33" t="s">
        <v>486</v>
      </c>
      <c r="E390" s="40" t="s">
        <v>1058</v>
      </c>
      <c r="F390" s="33" t="s">
        <v>486</v>
      </c>
    </row>
    <row r="391" spans="1:6" x14ac:dyDescent="0.3">
      <c r="A391" s="32" t="b">
        <v>1</v>
      </c>
      <c r="B391" s="33" t="str">
        <f t="shared" si="18"/>
        <v>업적 - [ffc0cb][캐릭터][-] 전설 장비아이템 획득 Step.24</v>
      </c>
      <c r="C391" s="14">
        <f t="shared" si="17"/>
        <v>51661</v>
      </c>
      <c r="D391" s="33" t="s">
        <v>487</v>
      </c>
      <c r="E391" s="40" t="s">
        <v>1059</v>
      </c>
      <c r="F391" s="33" t="s">
        <v>487</v>
      </c>
    </row>
    <row r="392" spans="1:6" x14ac:dyDescent="0.3">
      <c r="A392" s="28" t="b">
        <v>1</v>
      </c>
      <c r="B392" s="29" t="str">
        <f t="shared" si="18"/>
        <v>업적 - [ffc0cb][캐릭터][-] 불멸 장비아이템 획득 Step.1</v>
      </c>
      <c r="C392" s="16">
        <f t="shared" si="17"/>
        <v>51662</v>
      </c>
      <c r="D392" s="29" t="s">
        <v>488</v>
      </c>
      <c r="E392" s="38" t="s">
        <v>1036</v>
      </c>
      <c r="F392" s="29" t="s">
        <v>488</v>
      </c>
    </row>
    <row r="393" spans="1:6" x14ac:dyDescent="0.3">
      <c r="A393" s="28" t="b">
        <v>1</v>
      </c>
      <c r="B393" s="29" t="str">
        <f t="shared" si="18"/>
        <v>업적 - [ffc0cb][캐릭터][-] 불멸 장비아이템 획득 Step.2</v>
      </c>
      <c r="C393" s="17">
        <f t="shared" si="17"/>
        <v>51663</v>
      </c>
      <c r="D393" s="29" t="s">
        <v>489</v>
      </c>
      <c r="E393" s="38" t="s">
        <v>1037</v>
      </c>
      <c r="F393" s="29" t="s">
        <v>489</v>
      </c>
    </row>
    <row r="394" spans="1:6" x14ac:dyDescent="0.3">
      <c r="A394" s="28" t="b">
        <v>1</v>
      </c>
      <c r="B394" s="29" t="str">
        <f t="shared" si="18"/>
        <v>업적 - [ffc0cb][캐릭터][-] 불멸 장비아이템 획득 Step.3</v>
      </c>
      <c r="C394" s="17">
        <f t="shared" si="17"/>
        <v>51664</v>
      </c>
      <c r="D394" s="29" t="s">
        <v>490</v>
      </c>
      <c r="E394" s="38" t="s">
        <v>1038</v>
      </c>
      <c r="F394" s="29" t="s">
        <v>490</v>
      </c>
    </row>
    <row r="395" spans="1:6" x14ac:dyDescent="0.3">
      <c r="A395" s="28" t="b">
        <v>1</v>
      </c>
      <c r="B395" s="29" t="str">
        <f t="shared" si="18"/>
        <v>업적 - [ffc0cb][캐릭터][-] 불멸 장비아이템 획득 Step.4</v>
      </c>
      <c r="C395" s="17">
        <f t="shared" si="17"/>
        <v>51665</v>
      </c>
      <c r="D395" s="29" t="s">
        <v>491</v>
      </c>
      <c r="E395" s="38" t="s">
        <v>1039</v>
      </c>
      <c r="F395" s="29" t="s">
        <v>491</v>
      </c>
    </row>
    <row r="396" spans="1:6" x14ac:dyDescent="0.3">
      <c r="A396" s="28" t="b">
        <v>1</v>
      </c>
      <c r="B396" s="29" t="str">
        <f t="shared" si="18"/>
        <v>업적 - [ffc0cb][캐릭터][-] 불멸 장비아이템 획득 Step.5</v>
      </c>
      <c r="C396" s="17">
        <f t="shared" si="17"/>
        <v>51666</v>
      </c>
      <c r="D396" s="29" t="s">
        <v>492</v>
      </c>
      <c r="E396" s="38" t="s">
        <v>1040</v>
      </c>
      <c r="F396" s="29" t="s">
        <v>492</v>
      </c>
    </row>
    <row r="397" spans="1:6" x14ac:dyDescent="0.3">
      <c r="A397" s="28" t="b">
        <v>1</v>
      </c>
      <c r="B397" s="29" t="str">
        <f t="shared" si="18"/>
        <v>업적 - [ffc0cb][캐릭터][-] 불멸 장비아이템 획득 Step.6</v>
      </c>
      <c r="C397" s="17">
        <f t="shared" si="17"/>
        <v>51667</v>
      </c>
      <c r="D397" s="29" t="s">
        <v>493</v>
      </c>
      <c r="E397" s="38" t="s">
        <v>1041</v>
      </c>
      <c r="F397" s="29" t="s">
        <v>493</v>
      </c>
    </row>
    <row r="398" spans="1:6" x14ac:dyDescent="0.3">
      <c r="A398" s="28" t="b">
        <v>1</v>
      </c>
      <c r="B398" s="29" t="str">
        <f t="shared" si="18"/>
        <v>업적 - [ffc0cb][캐릭터][-] 불멸 장비아이템 획득 Step.7</v>
      </c>
      <c r="C398" s="17">
        <f t="shared" si="17"/>
        <v>51668</v>
      </c>
      <c r="D398" s="29" t="s">
        <v>494</v>
      </c>
      <c r="E398" s="38" t="s">
        <v>1042</v>
      </c>
      <c r="F398" s="29" t="s">
        <v>494</v>
      </c>
    </row>
    <row r="399" spans="1:6" x14ac:dyDescent="0.3">
      <c r="A399" s="28" t="b">
        <v>1</v>
      </c>
      <c r="B399" s="29" t="str">
        <f t="shared" si="18"/>
        <v>업적 - [ffc0cb][캐릭터][-] 불멸 장비아이템 획득 Step.8</v>
      </c>
      <c r="C399" s="17">
        <f t="shared" si="17"/>
        <v>51669</v>
      </c>
      <c r="D399" s="29" t="s">
        <v>495</v>
      </c>
      <c r="E399" s="38" t="s">
        <v>1043</v>
      </c>
      <c r="F399" s="29" t="s">
        <v>495</v>
      </c>
    </row>
    <row r="400" spans="1:6" x14ac:dyDescent="0.3">
      <c r="A400" s="28" t="b">
        <v>1</v>
      </c>
      <c r="B400" s="29" t="str">
        <f t="shared" si="18"/>
        <v>업적 - [ffc0cb][캐릭터][-] 불멸 장비아이템 획득 Step.9</v>
      </c>
      <c r="C400" s="17">
        <f t="shared" si="17"/>
        <v>51670</v>
      </c>
      <c r="D400" s="29" t="s">
        <v>496</v>
      </c>
      <c r="E400" s="38" t="s">
        <v>1044</v>
      </c>
      <c r="F400" s="29" t="s">
        <v>496</v>
      </c>
    </row>
    <row r="401" spans="1:6" x14ac:dyDescent="0.3">
      <c r="A401" s="28" t="b">
        <v>1</v>
      </c>
      <c r="B401" s="29" t="str">
        <f t="shared" si="18"/>
        <v>업적 - [ffc0cb][캐릭터][-] 불멸 장비아이템 획득 Step.10</v>
      </c>
      <c r="C401" s="17">
        <f t="shared" si="17"/>
        <v>51671</v>
      </c>
      <c r="D401" s="29" t="s">
        <v>497</v>
      </c>
      <c r="E401" s="38" t="s">
        <v>1045</v>
      </c>
      <c r="F401" s="29" t="s">
        <v>497</v>
      </c>
    </row>
    <row r="402" spans="1:6" x14ac:dyDescent="0.3">
      <c r="A402" s="28" t="b">
        <v>1</v>
      </c>
      <c r="B402" s="29" t="str">
        <f t="shared" si="18"/>
        <v>업적 - [ffc0cb][캐릭터][-] 불멸 장비아이템 획득 Step.11</v>
      </c>
      <c r="C402" s="17">
        <f t="shared" si="17"/>
        <v>51672</v>
      </c>
      <c r="D402" s="29" t="s">
        <v>498</v>
      </c>
      <c r="E402" s="38" t="s">
        <v>1046</v>
      </c>
      <c r="F402" s="29" t="s">
        <v>498</v>
      </c>
    </row>
    <row r="403" spans="1:6" x14ac:dyDescent="0.3">
      <c r="A403" s="28" t="b">
        <v>1</v>
      </c>
      <c r="B403" s="29" t="str">
        <f t="shared" si="18"/>
        <v>업적 - [ffc0cb][캐릭터][-] 불멸 장비아이템 획득 Step.12</v>
      </c>
      <c r="C403" s="17">
        <f t="shared" si="17"/>
        <v>51673</v>
      </c>
      <c r="D403" s="29" t="s">
        <v>499</v>
      </c>
      <c r="E403" s="38" t="s">
        <v>1047</v>
      </c>
      <c r="F403" s="29" t="s">
        <v>499</v>
      </c>
    </row>
    <row r="404" spans="1:6" x14ac:dyDescent="0.3">
      <c r="A404" s="28" t="b">
        <v>1</v>
      </c>
      <c r="B404" s="29" t="str">
        <f t="shared" si="18"/>
        <v>업적 - [ffc0cb][캐릭터][-] 불멸 장비아이템 획득 Step.13</v>
      </c>
      <c r="C404" s="17">
        <f t="shared" si="17"/>
        <v>51674</v>
      </c>
      <c r="D404" s="29" t="s">
        <v>500</v>
      </c>
      <c r="E404" s="38" t="s">
        <v>1048</v>
      </c>
      <c r="F404" s="29" t="s">
        <v>500</v>
      </c>
    </row>
    <row r="405" spans="1:6" x14ac:dyDescent="0.3">
      <c r="A405" s="28" t="b">
        <v>1</v>
      </c>
      <c r="B405" s="29" t="str">
        <f t="shared" si="18"/>
        <v>업적 - [ffc0cb][캐릭터][-] 불멸 장비아이템 획득 Step.14</v>
      </c>
      <c r="C405" s="17">
        <f t="shared" si="17"/>
        <v>51675</v>
      </c>
      <c r="D405" s="29" t="s">
        <v>501</v>
      </c>
      <c r="E405" s="38" t="s">
        <v>1049</v>
      </c>
      <c r="F405" s="29" t="s">
        <v>501</v>
      </c>
    </row>
    <row r="406" spans="1:6" x14ac:dyDescent="0.3">
      <c r="A406" s="32" t="b">
        <v>1</v>
      </c>
      <c r="B406" s="33" t="str">
        <f t="shared" si="18"/>
        <v>업적 - [ffc0cb][캐릭터][-] 장비아이템 랜덤옵션변경 Step.1</v>
      </c>
      <c r="C406" s="16">
        <f t="shared" si="17"/>
        <v>51676</v>
      </c>
      <c r="D406" s="33" t="s">
        <v>502</v>
      </c>
      <c r="E406" s="40" t="s">
        <v>1060</v>
      </c>
      <c r="F406" s="33" t="s">
        <v>502</v>
      </c>
    </row>
    <row r="407" spans="1:6" x14ac:dyDescent="0.3">
      <c r="A407" s="32" t="b">
        <v>1</v>
      </c>
      <c r="B407" s="33" t="str">
        <f t="shared" si="18"/>
        <v>업적 - [ffc0cb][캐릭터][-] 장비아이템 랜덤옵션변경 Step.2</v>
      </c>
      <c r="C407" s="14">
        <f t="shared" si="17"/>
        <v>51677</v>
      </c>
      <c r="D407" s="33" t="s">
        <v>503</v>
      </c>
      <c r="E407" s="40" t="s">
        <v>1061</v>
      </c>
      <c r="F407" s="33" t="s">
        <v>503</v>
      </c>
    </row>
    <row r="408" spans="1:6" x14ac:dyDescent="0.3">
      <c r="A408" s="32" t="b">
        <v>1</v>
      </c>
      <c r="B408" s="33" t="str">
        <f t="shared" si="18"/>
        <v>업적 - [ffc0cb][캐릭터][-] 장비아이템 랜덤옵션변경 Step.3</v>
      </c>
      <c r="C408" s="14">
        <f t="shared" si="17"/>
        <v>51678</v>
      </c>
      <c r="D408" s="33" t="s">
        <v>504</v>
      </c>
      <c r="E408" s="40" t="s">
        <v>1062</v>
      </c>
      <c r="F408" s="33" t="s">
        <v>504</v>
      </c>
    </row>
    <row r="409" spans="1:6" x14ac:dyDescent="0.3">
      <c r="A409" s="32" t="b">
        <v>1</v>
      </c>
      <c r="B409" s="33" t="str">
        <f t="shared" si="18"/>
        <v>업적 - [ffc0cb][캐릭터][-] 장비아이템 랜덤옵션변경 Step.4</v>
      </c>
      <c r="C409" s="14">
        <f t="shared" si="17"/>
        <v>51679</v>
      </c>
      <c r="D409" s="33" t="s">
        <v>505</v>
      </c>
      <c r="E409" s="40" t="s">
        <v>1063</v>
      </c>
      <c r="F409" s="33" t="s">
        <v>505</v>
      </c>
    </row>
    <row r="410" spans="1:6" x14ac:dyDescent="0.3">
      <c r="A410" s="32" t="b">
        <v>1</v>
      </c>
      <c r="B410" s="33" t="str">
        <f t="shared" si="18"/>
        <v>업적 - [ffc0cb][캐릭터][-] 장비아이템 랜덤옵션변경 Step.5</v>
      </c>
      <c r="C410" s="14">
        <f t="shared" si="17"/>
        <v>51680</v>
      </c>
      <c r="D410" s="33" t="s">
        <v>506</v>
      </c>
      <c r="E410" s="40" t="s">
        <v>1064</v>
      </c>
      <c r="F410" s="33" t="s">
        <v>506</v>
      </c>
    </row>
    <row r="411" spans="1:6" x14ac:dyDescent="0.3">
      <c r="A411" s="32" t="b">
        <v>1</v>
      </c>
      <c r="B411" s="33" t="str">
        <f t="shared" si="18"/>
        <v>업적 - [ffc0cb][캐릭터][-] 장비아이템 랜덤옵션변경 Step.6</v>
      </c>
      <c r="C411" s="14">
        <f t="shared" si="17"/>
        <v>51681</v>
      </c>
      <c r="D411" s="33" t="s">
        <v>507</v>
      </c>
      <c r="E411" s="40" t="s">
        <v>1065</v>
      </c>
      <c r="F411" s="33" t="s">
        <v>507</v>
      </c>
    </row>
    <row r="412" spans="1:6" x14ac:dyDescent="0.3">
      <c r="A412" s="32" t="b">
        <v>1</v>
      </c>
      <c r="B412" s="33" t="str">
        <f t="shared" si="18"/>
        <v>업적 - [ffc0cb][캐릭터][-] 장비아이템 랜덤옵션변경 Step.7</v>
      </c>
      <c r="C412" s="14">
        <f t="shared" si="17"/>
        <v>51682</v>
      </c>
      <c r="D412" s="33" t="s">
        <v>508</v>
      </c>
      <c r="E412" s="40" t="s">
        <v>1066</v>
      </c>
      <c r="F412" s="33" t="s">
        <v>508</v>
      </c>
    </row>
    <row r="413" spans="1:6" x14ac:dyDescent="0.3">
      <c r="A413" s="32" t="b">
        <v>1</v>
      </c>
      <c r="B413" s="33" t="str">
        <f t="shared" si="18"/>
        <v>업적 - [ffc0cb][캐릭터][-] 장비아이템 랜덤옵션변경 Step.8</v>
      </c>
      <c r="C413" s="14">
        <f t="shared" si="17"/>
        <v>51683</v>
      </c>
      <c r="D413" s="33" t="s">
        <v>509</v>
      </c>
      <c r="E413" s="40" t="s">
        <v>1067</v>
      </c>
      <c r="F413" s="33" t="s">
        <v>509</v>
      </c>
    </row>
    <row r="414" spans="1:6" x14ac:dyDescent="0.3">
      <c r="A414" s="32" t="b">
        <v>1</v>
      </c>
      <c r="B414" s="33" t="str">
        <f t="shared" si="18"/>
        <v>업적 - [ffc0cb][캐릭터][-] 장비아이템 랜덤옵션변경 Step.9</v>
      </c>
      <c r="C414" s="14">
        <f t="shared" si="17"/>
        <v>51684</v>
      </c>
      <c r="D414" s="33" t="s">
        <v>510</v>
      </c>
      <c r="E414" s="40" t="s">
        <v>1068</v>
      </c>
      <c r="F414" s="33" t="s">
        <v>510</v>
      </c>
    </row>
    <row r="415" spans="1:6" x14ac:dyDescent="0.3">
      <c r="A415" s="32" t="b">
        <v>1</v>
      </c>
      <c r="B415" s="33" t="str">
        <f t="shared" si="18"/>
        <v>업적 - [ffc0cb][캐릭터][-] 장비아이템 랜덤옵션변경 Step.10</v>
      </c>
      <c r="C415" s="14">
        <f t="shared" si="17"/>
        <v>51685</v>
      </c>
      <c r="D415" s="33" t="s">
        <v>511</v>
      </c>
      <c r="E415" s="40" t="s">
        <v>1069</v>
      </c>
      <c r="F415" s="33" t="s">
        <v>511</v>
      </c>
    </row>
    <row r="416" spans="1:6" x14ac:dyDescent="0.3">
      <c r="A416" s="32" t="b">
        <v>1</v>
      </c>
      <c r="B416" s="33" t="str">
        <f t="shared" si="18"/>
        <v>업적 - [ffc0cb][캐릭터][-] 장비아이템 랜덤옵션변경 Step.11</v>
      </c>
      <c r="C416" s="14">
        <f t="shared" ref="C416:C444" si="19">C415+1</f>
        <v>51686</v>
      </c>
      <c r="D416" s="33" t="s">
        <v>512</v>
      </c>
      <c r="E416" s="40" t="s">
        <v>1070</v>
      </c>
      <c r="F416" s="33" t="s">
        <v>512</v>
      </c>
    </row>
    <row r="417" spans="1:6" x14ac:dyDescent="0.3">
      <c r="A417" s="32" t="b">
        <v>1</v>
      </c>
      <c r="B417" s="33" t="str">
        <f t="shared" si="18"/>
        <v>업적 - [ffc0cb][캐릭터][-] 장비아이템 랜덤옵션변경 Step.12</v>
      </c>
      <c r="C417" s="14">
        <f t="shared" si="19"/>
        <v>51687</v>
      </c>
      <c r="D417" s="33" t="s">
        <v>513</v>
      </c>
      <c r="E417" s="40" t="s">
        <v>1071</v>
      </c>
      <c r="F417" s="33" t="s">
        <v>513</v>
      </c>
    </row>
    <row r="418" spans="1:6" x14ac:dyDescent="0.3">
      <c r="A418" s="32" t="b">
        <v>1</v>
      </c>
      <c r="B418" s="33" t="str">
        <f t="shared" si="18"/>
        <v>업적 - [ffc0cb][캐릭터][-] 장비아이템 랜덤옵션변경 Step.13</v>
      </c>
      <c r="C418" s="14">
        <f t="shared" si="19"/>
        <v>51688</v>
      </c>
      <c r="D418" s="33" t="s">
        <v>514</v>
      </c>
      <c r="E418" s="40" t="s">
        <v>1072</v>
      </c>
      <c r="F418" s="33" t="s">
        <v>514</v>
      </c>
    </row>
    <row r="419" spans="1:6" x14ac:dyDescent="0.3">
      <c r="A419" s="32" t="b">
        <v>1</v>
      </c>
      <c r="B419" s="33" t="str">
        <f t="shared" si="18"/>
        <v>업적 - [ffc0cb][캐릭터][-] 장비아이템 랜덤옵션변경 Step.14</v>
      </c>
      <c r="C419" s="14">
        <f t="shared" si="19"/>
        <v>51689</v>
      </c>
      <c r="D419" s="33" t="s">
        <v>515</v>
      </c>
      <c r="E419" s="40" t="s">
        <v>1073</v>
      </c>
      <c r="F419" s="33" t="s">
        <v>515</v>
      </c>
    </row>
    <row r="420" spans="1:6" x14ac:dyDescent="0.3">
      <c r="A420" s="32" t="b">
        <v>1</v>
      </c>
      <c r="B420" s="33" t="str">
        <f t="shared" si="18"/>
        <v>업적 - [ffc0cb][캐릭터][-] 장비아이템 랜덤옵션변경 Step.15</v>
      </c>
      <c r="C420" s="14">
        <f t="shared" si="19"/>
        <v>51690</v>
      </c>
      <c r="D420" s="33" t="s">
        <v>516</v>
      </c>
      <c r="E420" s="40" t="s">
        <v>1074</v>
      </c>
      <c r="F420" s="33" t="s">
        <v>516</v>
      </c>
    </row>
    <row r="421" spans="1:6" x14ac:dyDescent="0.3">
      <c r="A421" s="32" t="b">
        <v>1</v>
      </c>
      <c r="B421" s="33" t="str">
        <f t="shared" si="18"/>
        <v>업적 - [ffc0cb][캐릭터][-] 장비아이템 랜덤옵션변경 Step.16</v>
      </c>
      <c r="C421" s="14">
        <f t="shared" si="19"/>
        <v>51691</v>
      </c>
      <c r="D421" s="33" t="s">
        <v>517</v>
      </c>
      <c r="E421" s="40" t="s">
        <v>1075</v>
      </c>
      <c r="F421" s="33" t="s">
        <v>517</v>
      </c>
    </row>
    <row r="422" spans="1:6" x14ac:dyDescent="0.3">
      <c r="A422" s="32" t="b">
        <v>1</v>
      </c>
      <c r="B422" s="33" t="str">
        <f t="shared" si="18"/>
        <v>업적 - [ffc0cb][캐릭터][-] 장비아이템 랜덤옵션변경 Step.17</v>
      </c>
      <c r="C422" s="14">
        <f t="shared" si="19"/>
        <v>51692</v>
      </c>
      <c r="D422" s="33" t="s">
        <v>518</v>
      </c>
      <c r="E422" s="40" t="s">
        <v>1076</v>
      </c>
      <c r="F422" s="33" t="s">
        <v>518</v>
      </c>
    </row>
    <row r="423" spans="1:6" x14ac:dyDescent="0.3">
      <c r="A423" s="32" t="b">
        <v>1</v>
      </c>
      <c r="B423" s="33" t="str">
        <f t="shared" ref="B423:B444" si="20">"업적 - " &amp;D423</f>
        <v>업적 - [ffc0cb][캐릭터][-] 장비아이템 랜덤옵션변경 Step.18</v>
      </c>
      <c r="C423" s="14">
        <f t="shared" si="19"/>
        <v>51693</v>
      </c>
      <c r="D423" s="33" t="s">
        <v>519</v>
      </c>
      <c r="E423" s="40" t="s">
        <v>1077</v>
      </c>
      <c r="F423" s="33" t="s">
        <v>519</v>
      </c>
    </row>
    <row r="424" spans="1:6" x14ac:dyDescent="0.3">
      <c r="A424" s="32" t="b">
        <v>1</v>
      </c>
      <c r="B424" s="33" t="str">
        <f t="shared" si="20"/>
        <v>업적 - [ffc0cb][캐릭터][-] 장비아이템 랜덤옵션변경 Step.19</v>
      </c>
      <c r="C424" s="14">
        <f t="shared" si="19"/>
        <v>51694</v>
      </c>
      <c r="D424" s="33" t="s">
        <v>520</v>
      </c>
      <c r="E424" s="40" t="s">
        <v>1078</v>
      </c>
      <c r="F424" s="33" t="s">
        <v>520</v>
      </c>
    </row>
    <row r="425" spans="1:6" x14ac:dyDescent="0.3">
      <c r="A425" s="32" t="b">
        <v>1</v>
      </c>
      <c r="B425" s="33" t="str">
        <f t="shared" si="20"/>
        <v>업적 - [ffc0cb][캐릭터][-] 장비아이템 랜덤옵션변경 Step.20</v>
      </c>
      <c r="C425" s="14">
        <f t="shared" si="19"/>
        <v>51695</v>
      </c>
      <c r="D425" s="33" t="s">
        <v>521</v>
      </c>
      <c r="E425" s="40" t="s">
        <v>1079</v>
      </c>
      <c r="F425" s="33" t="s">
        <v>521</v>
      </c>
    </row>
    <row r="426" spans="1:6" x14ac:dyDescent="0.3">
      <c r="A426" s="32" t="b">
        <v>1</v>
      </c>
      <c r="B426" s="33" t="str">
        <f t="shared" si="20"/>
        <v>업적 - [ffc0cb][캐릭터][-] 장비아이템 랜덤옵션변경 Step.21</v>
      </c>
      <c r="C426" s="14">
        <f t="shared" si="19"/>
        <v>51696</v>
      </c>
      <c r="D426" s="33" t="s">
        <v>522</v>
      </c>
      <c r="E426" s="40" t="s">
        <v>1080</v>
      </c>
      <c r="F426" s="33" t="s">
        <v>522</v>
      </c>
    </row>
    <row r="427" spans="1:6" x14ac:dyDescent="0.3">
      <c r="A427" s="32" t="b">
        <v>1</v>
      </c>
      <c r="B427" s="33" t="str">
        <f t="shared" si="20"/>
        <v>업적 - [ffc0cb][캐릭터][-] 장비아이템 랜덤옵션변경 Step.22</v>
      </c>
      <c r="C427" s="14">
        <f t="shared" si="19"/>
        <v>51697</v>
      </c>
      <c r="D427" s="33" t="s">
        <v>523</v>
      </c>
      <c r="E427" s="40" t="s">
        <v>1081</v>
      </c>
      <c r="F427" s="33" t="s">
        <v>523</v>
      </c>
    </row>
    <row r="428" spans="1:6" x14ac:dyDescent="0.3">
      <c r="A428" s="32" t="b">
        <v>1</v>
      </c>
      <c r="B428" s="33" t="str">
        <f t="shared" si="20"/>
        <v>업적 - [ffc0cb][캐릭터][-] 장비아이템 랜덤옵션변경 Step.23</v>
      </c>
      <c r="C428" s="14">
        <f t="shared" si="19"/>
        <v>51698</v>
      </c>
      <c r="D428" s="33" t="s">
        <v>524</v>
      </c>
      <c r="E428" s="40" t="s">
        <v>1082</v>
      </c>
      <c r="F428" s="33" t="s">
        <v>524</v>
      </c>
    </row>
    <row r="429" spans="1:6" x14ac:dyDescent="0.3">
      <c r="A429" s="32" t="b">
        <v>1</v>
      </c>
      <c r="B429" s="33" t="str">
        <f t="shared" si="20"/>
        <v>업적 - [ffc0cb][캐릭터][-] 장비아이템 랜덤옵션변경 Step.24</v>
      </c>
      <c r="C429" s="14">
        <f t="shared" si="19"/>
        <v>51699</v>
      </c>
      <c r="D429" s="33" t="s">
        <v>525</v>
      </c>
      <c r="E429" s="40" t="s">
        <v>1083</v>
      </c>
      <c r="F429" s="33" t="s">
        <v>525</v>
      </c>
    </row>
    <row r="430" spans="1:6" x14ac:dyDescent="0.3">
      <c r="A430" s="32" t="b">
        <v>1</v>
      </c>
      <c r="B430" s="33" t="str">
        <f t="shared" si="20"/>
        <v>업적 - [ffc0cb][캐릭터][-] 장비아이템 랜덤옵션변경 Step.25</v>
      </c>
      <c r="C430" s="14">
        <f t="shared" si="19"/>
        <v>51700</v>
      </c>
      <c r="D430" s="33" t="s">
        <v>526</v>
      </c>
      <c r="E430" s="40" t="s">
        <v>1084</v>
      </c>
      <c r="F430" s="33" t="s">
        <v>526</v>
      </c>
    </row>
    <row r="431" spans="1:6" x14ac:dyDescent="0.3">
      <c r="A431" s="32" t="b">
        <v>1</v>
      </c>
      <c r="B431" s="33" t="str">
        <f t="shared" si="20"/>
        <v>업적 - [ffc0cb][캐릭터][-] 장비아이템 랜덤옵션변경 Step.26</v>
      </c>
      <c r="C431" s="14">
        <f t="shared" si="19"/>
        <v>51701</v>
      </c>
      <c r="D431" s="33" t="s">
        <v>527</v>
      </c>
      <c r="E431" s="40" t="s">
        <v>1085</v>
      </c>
      <c r="F431" s="33" t="s">
        <v>527</v>
      </c>
    </row>
    <row r="432" spans="1:6" x14ac:dyDescent="0.3">
      <c r="A432" s="32" t="b">
        <v>1</v>
      </c>
      <c r="B432" s="33" t="str">
        <f t="shared" si="20"/>
        <v>업적 - [ffc0cb][캐릭터][-] 장비아이템 랜덤옵션변경 Step.27</v>
      </c>
      <c r="C432" s="14">
        <f t="shared" si="19"/>
        <v>51702</v>
      </c>
      <c r="D432" s="33" t="s">
        <v>528</v>
      </c>
      <c r="E432" s="40" t="s">
        <v>1086</v>
      </c>
      <c r="F432" s="33" t="s">
        <v>528</v>
      </c>
    </row>
    <row r="433" spans="1:6" x14ac:dyDescent="0.3">
      <c r="A433" s="32" t="b">
        <v>1</v>
      </c>
      <c r="B433" s="33" t="str">
        <f t="shared" si="20"/>
        <v>업적 - [ffc0cb][캐릭터][-] 장비아이템 랜덤옵션변경 Step.28</v>
      </c>
      <c r="C433" s="14">
        <f t="shared" si="19"/>
        <v>51703</v>
      </c>
      <c r="D433" s="33" t="s">
        <v>529</v>
      </c>
      <c r="E433" s="40" t="s">
        <v>1087</v>
      </c>
      <c r="F433" s="33" t="s">
        <v>529</v>
      </c>
    </row>
    <row r="434" spans="1:6" x14ac:dyDescent="0.3">
      <c r="A434" s="32" t="b">
        <v>1</v>
      </c>
      <c r="B434" s="33" t="str">
        <f t="shared" si="20"/>
        <v>업적 - [ffc0cb][캐릭터][-] 장비아이템 랜덤옵션변경 Step.29</v>
      </c>
      <c r="C434" s="14">
        <f t="shared" si="19"/>
        <v>51704</v>
      </c>
      <c r="D434" s="33" t="s">
        <v>530</v>
      </c>
      <c r="E434" s="40" t="s">
        <v>1088</v>
      </c>
      <c r="F434" s="33" t="s">
        <v>530</v>
      </c>
    </row>
    <row r="435" spans="1:6" x14ac:dyDescent="0.3">
      <c r="A435" s="32" t="b">
        <v>1</v>
      </c>
      <c r="B435" s="33" t="str">
        <f t="shared" si="20"/>
        <v>업적 - [ffc0cb][캐릭터][-] 장비아이템 랜덤옵션변경 Step.30</v>
      </c>
      <c r="C435" s="14">
        <f t="shared" si="19"/>
        <v>51705</v>
      </c>
      <c r="D435" s="33" t="s">
        <v>531</v>
      </c>
      <c r="E435" s="40" t="s">
        <v>1089</v>
      </c>
      <c r="F435" s="33" t="s">
        <v>531</v>
      </c>
    </row>
    <row r="436" spans="1:6" x14ac:dyDescent="0.3">
      <c r="A436" s="32" t="b">
        <v>1</v>
      </c>
      <c r="B436" s="33" t="str">
        <f t="shared" si="20"/>
        <v>업적 - [ffc0cb][캐릭터][-] 장비아이템 랜덤옵션변경 Step.31</v>
      </c>
      <c r="C436" s="14">
        <f t="shared" si="19"/>
        <v>51706</v>
      </c>
      <c r="D436" s="33" t="s">
        <v>532</v>
      </c>
      <c r="E436" s="40" t="s">
        <v>1090</v>
      </c>
      <c r="F436" s="33" t="s">
        <v>532</v>
      </c>
    </row>
    <row r="437" spans="1:6" x14ac:dyDescent="0.3">
      <c r="A437" s="32" t="b">
        <v>1</v>
      </c>
      <c r="B437" s="33" t="str">
        <f t="shared" si="20"/>
        <v>업적 - [ffc0cb][캐릭터][-] 장비아이템 랜덤옵션변경 Step.32</v>
      </c>
      <c r="C437" s="14">
        <f t="shared" si="19"/>
        <v>51707</v>
      </c>
      <c r="D437" s="33" t="s">
        <v>533</v>
      </c>
      <c r="E437" s="40" t="s">
        <v>1091</v>
      </c>
      <c r="F437" s="33" t="s">
        <v>533</v>
      </c>
    </row>
    <row r="438" spans="1:6" x14ac:dyDescent="0.3">
      <c r="A438" s="32" t="b">
        <v>1</v>
      </c>
      <c r="B438" s="33" t="str">
        <f t="shared" si="20"/>
        <v>업적 - [ffc0cb][캐릭터][-] 장비아이템 랜덤옵션변경 Step.33</v>
      </c>
      <c r="C438" s="14">
        <f t="shared" si="19"/>
        <v>51708</v>
      </c>
      <c r="D438" s="33" t="s">
        <v>534</v>
      </c>
      <c r="E438" s="40" t="s">
        <v>1092</v>
      </c>
      <c r="F438" s="33" t="s">
        <v>534</v>
      </c>
    </row>
    <row r="439" spans="1:6" x14ac:dyDescent="0.3">
      <c r="A439" s="32" t="b">
        <v>1</v>
      </c>
      <c r="B439" s="33" t="str">
        <f t="shared" si="20"/>
        <v>업적 - [ffc0cb][캐릭터][-] 장비아이템 랜덤옵션변경 Step.34</v>
      </c>
      <c r="C439" s="14">
        <f t="shared" si="19"/>
        <v>51709</v>
      </c>
      <c r="D439" s="33" t="s">
        <v>535</v>
      </c>
      <c r="E439" s="40" t="s">
        <v>1093</v>
      </c>
      <c r="F439" s="33" t="s">
        <v>535</v>
      </c>
    </row>
    <row r="440" spans="1:6" x14ac:dyDescent="0.3">
      <c r="A440" s="32" t="b">
        <v>1</v>
      </c>
      <c r="B440" s="33" t="str">
        <f t="shared" si="20"/>
        <v>업적 - [ffc0cb][캐릭터][-] 장비아이템 랜덤옵션변경 Step.35</v>
      </c>
      <c r="C440" s="14">
        <f t="shared" si="19"/>
        <v>51710</v>
      </c>
      <c r="D440" s="33" t="s">
        <v>536</v>
      </c>
      <c r="E440" s="40" t="s">
        <v>1094</v>
      </c>
      <c r="F440" s="33" t="s">
        <v>536</v>
      </c>
    </row>
    <row r="441" spans="1:6" x14ac:dyDescent="0.3">
      <c r="A441" s="32" t="b">
        <v>1</v>
      </c>
      <c r="B441" s="33" t="str">
        <f t="shared" si="20"/>
        <v>업적 - [ffc0cb][캐릭터][-] 장비아이템 랜덤옵션변경 Step.36</v>
      </c>
      <c r="C441" s="14">
        <f t="shared" si="19"/>
        <v>51711</v>
      </c>
      <c r="D441" s="33" t="s">
        <v>537</v>
      </c>
      <c r="E441" s="40" t="s">
        <v>1095</v>
      </c>
      <c r="F441" s="33" t="s">
        <v>537</v>
      </c>
    </row>
    <row r="442" spans="1:6" x14ac:dyDescent="0.3">
      <c r="A442" s="32" t="b">
        <v>1</v>
      </c>
      <c r="B442" s="33" t="str">
        <f t="shared" si="20"/>
        <v>업적 - [ffc0cb][캐릭터][-] 장비아이템 랜덤옵션변경 Step.37</v>
      </c>
      <c r="C442" s="14">
        <f t="shared" si="19"/>
        <v>51712</v>
      </c>
      <c r="D442" s="33" t="s">
        <v>538</v>
      </c>
      <c r="E442" s="40" t="s">
        <v>1096</v>
      </c>
      <c r="F442" s="33" t="s">
        <v>538</v>
      </c>
    </row>
    <row r="443" spans="1:6" x14ac:dyDescent="0.3">
      <c r="A443" s="32" t="b">
        <v>1</v>
      </c>
      <c r="B443" s="33" t="str">
        <f t="shared" si="20"/>
        <v>업적 - [ffc0cb][캐릭터][-] 장비아이템 랜덤옵션변경 Step.38</v>
      </c>
      <c r="C443" s="14">
        <f t="shared" si="19"/>
        <v>51713</v>
      </c>
      <c r="D443" s="33" t="s">
        <v>539</v>
      </c>
      <c r="E443" s="40" t="s">
        <v>1097</v>
      </c>
      <c r="F443" s="33" t="s">
        <v>539</v>
      </c>
    </row>
    <row r="444" spans="1:6" x14ac:dyDescent="0.3">
      <c r="A444" s="32" t="b">
        <v>1</v>
      </c>
      <c r="B444" s="33" t="str">
        <f t="shared" si="20"/>
        <v>업적 - [ffc0cb][캐릭터][-] 장비아이템 랜덤옵션변경 Step.39</v>
      </c>
      <c r="C444" s="14">
        <f t="shared" si="19"/>
        <v>51714</v>
      </c>
      <c r="D444" s="33" t="s">
        <v>540</v>
      </c>
      <c r="E444" s="40" t="s">
        <v>1098</v>
      </c>
      <c r="F444" s="33" t="s">
        <v>540</v>
      </c>
    </row>
  </sheetData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workbookViewId="0">
      <selection activeCell="E15" sqref="E15"/>
    </sheetView>
  </sheetViews>
  <sheetFormatPr defaultRowHeight="16.5" x14ac:dyDescent="0.3"/>
  <cols>
    <col min="1" max="1" width="19.375" bestFit="1" customWidth="1"/>
    <col min="2" max="2" width="45.125" bestFit="1" customWidth="1"/>
    <col min="3" max="3" width="8.625" bestFit="1" customWidth="1"/>
    <col min="4" max="4" width="39" bestFit="1" customWidth="1"/>
    <col min="5" max="5" width="40.125" bestFit="1" customWidth="1"/>
    <col min="6" max="6" width="39" bestFit="1" customWidth="1"/>
  </cols>
  <sheetData>
    <row r="1" spans="1:8" x14ac:dyDescent="0.3">
      <c r="A1" s="3" t="s">
        <v>59</v>
      </c>
      <c r="B1" s="4" t="s">
        <v>60</v>
      </c>
      <c r="C1" s="1"/>
      <c r="D1" s="1"/>
      <c r="E1" s="5"/>
      <c r="F1" s="5"/>
    </row>
    <row r="2" spans="1:8" x14ac:dyDescent="0.3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</row>
    <row r="3" spans="1:8" x14ac:dyDescent="0.3">
      <c r="A3" s="9" t="s">
        <v>3</v>
      </c>
      <c r="B3" s="9" t="s">
        <v>3</v>
      </c>
      <c r="C3" s="9" t="s">
        <v>61</v>
      </c>
      <c r="D3" s="9" t="s">
        <v>61</v>
      </c>
      <c r="E3" s="9" t="s">
        <v>61</v>
      </c>
      <c r="F3" s="9" t="s">
        <v>61</v>
      </c>
    </row>
    <row r="4" spans="1:8" x14ac:dyDescent="0.3">
      <c r="A4" s="22" t="s">
        <v>5</v>
      </c>
      <c r="B4" s="22" t="s">
        <v>6</v>
      </c>
      <c r="C4" s="22" t="s">
        <v>7</v>
      </c>
      <c r="D4" s="22" t="s">
        <v>6</v>
      </c>
      <c r="E4" s="22" t="s">
        <v>6</v>
      </c>
      <c r="F4" s="22" t="s">
        <v>6</v>
      </c>
    </row>
    <row r="5" spans="1:8" x14ac:dyDescent="0.3">
      <c r="A5" s="23" t="s">
        <v>9</v>
      </c>
      <c r="B5" s="23" t="s">
        <v>10</v>
      </c>
      <c r="C5" s="24" t="s">
        <v>62</v>
      </c>
      <c r="D5" s="23" t="s">
        <v>63</v>
      </c>
      <c r="E5" s="23" t="s">
        <v>64</v>
      </c>
      <c r="F5" s="23" t="s">
        <v>65</v>
      </c>
      <c r="H5" s="13" t="s">
        <v>28</v>
      </c>
    </row>
    <row r="6" spans="1:8" x14ac:dyDescent="0.3">
      <c r="A6" s="25" t="b">
        <v>1</v>
      </c>
      <c r="B6" s="26" t="str">
        <f>"일일설명 - " &amp;D6</f>
        <v>일일설명 - 모든 일일미션을 완료하세요</v>
      </c>
      <c r="C6" s="36">
        <v>52001</v>
      </c>
      <c r="D6" s="26" t="s">
        <v>79</v>
      </c>
      <c r="E6" s="26" t="s">
        <v>166</v>
      </c>
      <c r="F6" s="26" t="str">
        <f>D6</f>
        <v>모든 일일미션을 완료하세요</v>
      </c>
      <c r="H6" s="27">
        <f>Mission!H6</f>
        <v>6</v>
      </c>
    </row>
    <row r="7" spans="1:8" x14ac:dyDescent="0.3">
      <c r="A7" s="25" t="b">
        <v>1</v>
      </c>
      <c r="B7" s="26" t="str">
        <f>"일일설명 - " &amp;D7</f>
        <v>일일설명 - 일반던전을 5회 완료하세요</v>
      </c>
      <c r="C7" s="27">
        <f>C6+1</f>
        <v>52002</v>
      </c>
      <c r="D7" s="19" t="str">
        <f>"일반던전을 " &amp; H7 &amp; "회 완료하세요"</f>
        <v>일반던전을 5회 완료하세요</v>
      </c>
      <c r="E7" s="26" t="str">
        <f>"Clear dungeon " &amp; H7 &amp; " times"</f>
        <v>Clear dungeon 5 times</v>
      </c>
      <c r="F7" s="19" t="str">
        <f t="shared" ref="F7:F40" si="0">D7</f>
        <v>일반던전을 5회 완료하세요</v>
      </c>
      <c r="H7" s="27">
        <f>Mission!H7</f>
        <v>5</v>
      </c>
    </row>
    <row r="8" spans="1:8" x14ac:dyDescent="0.3">
      <c r="A8" s="25" t="b">
        <v>1</v>
      </c>
      <c r="B8" s="26" t="str">
        <f t="shared" ref="B8:B12" si="1">"일일설명 - " &amp;D8</f>
        <v>일일설명 - 정예던전을 3회 완료하세요</v>
      </c>
      <c r="C8" s="27">
        <f t="shared" ref="C8:C12" si="2">C7+1</f>
        <v>52003</v>
      </c>
      <c r="D8" s="19" t="str">
        <f>"정예던전을 " &amp; H8 &amp; "회 완료하세요"</f>
        <v>정예던전을 3회 완료하세요</v>
      </c>
      <c r="E8" s="26" t="str">
        <f xml:space="preserve"> "Clear elite dungeon " &amp; H8 &amp; " times"</f>
        <v>Clear elite dungeon 3 times</v>
      </c>
      <c r="F8" s="19" t="str">
        <f t="shared" si="0"/>
        <v>정예던전을 3회 완료하세요</v>
      </c>
      <c r="H8" s="27">
        <f>Mission!H8</f>
        <v>3</v>
      </c>
    </row>
    <row r="9" spans="1:8" x14ac:dyDescent="0.3">
      <c r="A9" s="25" t="b">
        <v>1</v>
      </c>
      <c r="B9" s="26" t="str">
        <f t="shared" si="1"/>
        <v>일일설명 - 요일던전을 2회 완료하세요</v>
      </c>
      <c r="C9" s="27">
        <f t="shared" si="2"/>
        <v>52004</v>
      </c>
      <c r="D9" s="19" t="str">
        <f>"요일던전을 " &amp; H9 &amp; "회 완료하세요"</f>
        <v>요일던전을 2회 완료하세요</v>
      </c>
      <c r="E9" s="26" t="str">
        <f xml:space="preserve"> "Clear weekly dungeon " &amp; H9 &amp; " times"</f>
        <v>Clear weekly dungeon 2 times</v>
      </c>
      <c r="F9" s="19" t="str">
        <f t="shared" si="0"/>
        <v>요일던전을 2회 완료하세요</v>
      </c>
      <c r="H9" s="27">
        <f>Mission!H9</f>
        <v>2</v>
      </c>
    </row>
    <row r="10" spans="1:8" x14ac:dyDescent="0.3">
      <c r="A10" s="25" t="b">
        <v>1</v>
      </c>
      <c r="B10" s="26" t="str">
        <f t="shared" si="1"/>
        <v>일일설명 - 균열던전을 3회 참가하세요</v>
      </c>
      <c r="C10" s="27">
        <f t="shared" si="2"/>
        <v>52005</v>
      </c>
      <c r="D10" s="19" t="str">
        <f>"균열던전을 " &amp; H10 &amp; "회 참가하세요"</f>
        <v>균열던전을 3회 참가하세요</v>
      </c>
      <c r="E10" s="26" t="str">
        <f xml:space="preserve"> "Participate rift " &amp; H10 &amp; " times"</f>
        <v>Participate rift 3 times</v>
      </c>
      <c r="F10" s="19" t="str">
        <f t="shared" si="0"/>
        <v>균열던전을 3회 참가하세요</v>
      </c>
      <c r="H10" s="27">
        <f>Mission!H10</f>
        <v>3</v>
      </c>
    </row>
    <row r="11" spans="1:8" x14ac:dyDescent="0.3">
      <c r="A11" s="25" t="b">
        <v>1</v>
      </c>
      <c r="B11" s="26" t="str">
        <f t="shared" si="1"/>
        <v>일일설명 - 결투장을 5회 참가하세요</v>
      </c>
      <c r="C11" s="27">
        <f t="shared" si="2"/>
        <v>52006</v>
      </c>
      <c r="D11" s="19" t="str">
        <f>"결투장을 " &amp; H11 &amp; "회 참가하세요"</f>
        <v>결투장을 5회 참가하세요</v>
      </c>
      <c r="E11" s="26" t="str">
        <f xml:space="preserve"> "Participate arena " &amp; H11 &amp; " times"</f>
        <v>Participate arena 5 times</v>
      </c>
      <c r="F11" s="19" t="str">
        <f t="shared" si="0"/>
        <v>결투장을 5회 참가하세요</v>
      </c>
      <c r="H11" s="27">
        <f>Mission!H11</f>
        <v>5</v>
      </c>
    </row>
    <row r="12" spans="1:8" x14ac:dyDescent="0.3">
      <c r="A12" s="25" t="b">
        <v>1</v>
      </c>
      <c r="B12" s="26" t="str">
        <f t="shared" si="1"/>
        <v>일일설명 - 장비아이템을 50개 획득하세요</v>
      </c>
      <c r="C12" s="27">
        <f t="shared" si="2"/>
        <v>52007</v>
      </c>
      <c r="D12" s="19" t="str">
        <f>"장비아이템을 " &amp; H12 &amp; "개 획득하세요"</f>
        <v>장비아이템을 50개 획득하세요</v>
      </c>
      <c r="E12" s="26" t="str">
        <f xml:space="preserve"> "Obtain " &amp; H12 &amp; " gear items"</f>
        <v>Obtain 50 gear items</v>
      </c>
      <c r="F12" s="19" t="str">
        <f t="shared" si="0"/>
        <v>장비아이템을 50개 획득하세요</v>
      </c>
      <c r="H12" s="27">
        <f>Mission!H12</f>
        <v>50</v>
      </c>
    </row>
    <row r="13" spans="1:8" x14ac:dyDescent="0.3">
      <c r="A13" s="28" t="b">
        <v>1</v>
      </c>
      <c r="B13" s="29" t="str">
        <f>"주간설명 - " &amp;D13</f>
        <v>주간설명 - 모든 주간미션을 완료하세요</v>
      </c>
      <c r="C13" s="36">
        <v>52101</v>
      </c>
      <c r="D13" s="29" t="s">
        <v>66</v>
      </c>
      <c r="E13" s="29" t="s">
        <v>167</v>
      </c>
      <c r="F13" s="29" t="str">
        <f t="shared" si="0"/>
        <v>모든 주간미션을 완료하세요</v>
      </c>
      <c r="H13" s="28">
        <f>Mission!H13</f>
        <v>7</v>
      </c>
    </row>
    <row r="14" spans="1:8" x14ac:dyDescent="0.3">
      <c r="A14" s="28" t="b">
        <v>1</v>
      </c>
      <c r="B14" s="29" t="str">
        <f t="shared" ref="B14:B21" si="3">"주간설명 - " &amp;D14</f>
        <v>주간설명 - 모든 일일미션 완료를 4회 완료하세요</v>
      </c>
      <c r="C14" s="28">
        <f>C13+1</f>
        <v>52102</v>
      </c>
      <c r="D14" s="29" t="str">
        <f>"모든 일일미션 완료를 " &amp; H14 &amp; "회 완료하세요"</f>
        <v>모든 일일미션 완료를 4회 완료하세요</v>
      </c>
      <c r="E14" s="29" t="str">
        <f xml:space="preserve"> "Clear all daily mission " &amp; H14 &amp; " times"</f>
        <v>Clear all daily mission 4 times</v>
      </c>
      <c r="F14" s="29" t="str">
        <f t="shared" si="0"/>
        <v>모든 일일미션 완료를 4회 완료하세요</v>
      </c>
      <c r="H14" s="28">
        <f>Mission!H14</f>
        <v>4</v>
      </c>
    </row>
    <row r="15" spans="1:8" x14ac:dyDescent="0.3">
      <c r="A15" s="28" t="b">
        <v>1</v>
      </c>
      <c r="B15" s="29" t="str">
        <f t="shared" si="3"/>
        <v>주간설명 - 수호석 업그레이드를 10회 시도하세요</v>
      </c>
      <c r="C15" s="28">
        <f t="shared" ref="C15:C21" si="4">C14+1</f>
        <v>52103</v>
      </c>
      <c r="D15" s="29" t="str">
        <f>"수호석 업그레이드를 " &amp; H15 &amp; "회 시도하세요"</f>
        <v>수호석 업그레이드를 10회 시도하세요</v>
      </c>
      <c r="E15" s="108" t="s">
        <v>1127</v>
      </c>
      <c r="F15" s="29" t="str">
        <f t="shared" si="0"/>
        <v>수호석 업그레이드를 10회 시도하세요</v>
      </c>
      <c r="H15" s="28">
        <f>Mission!H15</f>
        <v>10</v>
      </c>
    </row>
    <row r="16" spans="1:8" x14ac:dyDescent="0.3">
      <c r="A16" s="28" t="b">
        <v>1</v>
      </c>
      <c r="B16" s="29" t="str">
        <f t="shared" si="3"/>
        <v>주간설명 - 결투장에서 20회 승리하세요</v>
      </c>
      <c r="C16" s="28">
        <f t="shared" si="4"/>
        <v>52104</v>
      </c>
      <c r="D16" s="29" t="str">
        <f>"결투장에서 " &amp; H16 &amp; "회 승리하세요"</f>
        <v>결투장에서 20회 승리하세요</v>
      </c>
      <c r="E16" s="29" t="str">
        <f xml:space="preserve"> "Win the arena fight " &amp; H16 &amp; " times"</f>
        <v>Win the arena fight 20 times</v>
      </c>
      <c r="F16" s="29" t="str">
        <f t="shared" si="0"/>
        <v>결투장에서 20회 승리하세요</v>
      </c>
      <c r="H16" s="28">
        <f>Mission!H16</f>
        <v>20</v>
      </c>
    </row>
    <row r="17" spans="1:8" x14ac:dyDescent="0.3">
      <c r="A17" s="28" t="b">
        <v>1</v>
      </c>
      <c r="B17" s="29" t="str">
        <f t="shared" si="3"/>
        <v>주간설명 - 수호레이드를 10회 참가하세요</v>
      </c>
      <c r="C17" s="28">
        <f t="shared" si="4"/>
        <v>52105</v>
      </c>
      <c r="D17" s="29" t="str">
        <f>"수호레이드를 " &amp; H17 &amp; "회 참가하세요"</f>
        <v>수호레이드를 10회 참가하세요</v>
      </c>
      <c r="E17" s="29" t="str">
        <f xml:space="preserve"> "Participate guardian raid " &amp; H17 &amp; " times"</f>
        <v>Participate guardian raid 10 times</v>
      </c>
      <c r="F17" s="29" t="str">
        <f t="shared" si="0"/>
        <v>수호레이드를 10회 참가하세요</v>
      </c>
      <c r="H17" s="28">
        <f>Mission!H17</f>
        <v>10</v>
      </c>
    </row>
    <row r="18" spans="1:8" x14ac:dyDescent="0.3">
      <c r="A18" s="28" t="b">
        <v>1</v>
      </c>
      <c r="B18" s="29" t="str">
        <f t="shared" si="3"/>
        <v>주간설명 - 균열석을 30개 획득하세요</v>
      </c>
      <c r="C18" s="28">
        <f t="shared" si="4"/>
        <v>52106</v>
      </c>
      <c r="D18" s="29" t="str">
        <f>"균열석을 " &amp; H18 &amp; "개 획득하세요"</f>
        <v>균열석을 30개 획득하세요</v>
      </c>
      <c r="E18" s="29" t="str">
        <f xml:space="preserve"> "Obtain " &amp; H18 &amp; " rift stones"</f>
        <v>Obtain 30 rift stones</v>
      </c>
      <c r="F18" s="29" t="str">
        <f t="shared" si="0"/>
        <v>균열석을 30개 획득하세요</v>
      </c>
      <c r="H18" s="28">
        <f>Mission!H18</f>
        <v>30</v>
      </c>
    </row>
    <row r="19" spans="1:8" x14ac:dyDescent="0.3">
      <c r="A19" s="28" t="b">
        <v>1</v>
      </c>
      <c r="B19" s="29" t="str">
        <f t="shared" si="3"/>
        <v>주간설명 - 장비아이템을 300개 획득하세요</v>
      </c>
      <c r="C19" s="28">
        <f t="shared" si="4"/>
        <v>52107</v>
      </c>
      <c r="D19" s="29" t="str">
        <f>"장비아이템을 " &amp; H19 &amp; "개 획득하세요"</f>
        <v>장비아이템을 300개 획득하세요</v>
      </c>
      <c r="E19" s="29" t="str">
        <f xml:space="preserve"> "Obtain " &amp; H19 &amp; " gear items"</f>
        <v>Obtain 300 gear items</v>
      </c>
      <c r="F19" s="29" t="str">
        <f t="shared" si="0"/>
        <v>장비아이템을 300개 획득하세요</v>
      </c>
      <c r="H19" s="28">
        <f>Mission!H19</f>
        <v>300</v>
      </c>
    </row>
    <row r="20" spans="1:8" x14ac:dyDescent="0.3">
      <c r="A20" s="28" t="b">
        <v>1</v>
      </c>
      <c r="B20" s="29" t="str">
        <f t="shared" si="3"/>
        <v>주간설명 - 장비아이템을 30회 강화하세요</v>
      </c>
      <c r="C20" s="28">
        <f t="shared" si="4"/>
        <v>52108</v>
      </c>
      <c r="D20" s="29" t="str">
        <f>"장비아이템을 " &amp; H20 &amp; "회 강화하세요"</f>
        <v>장비아이템을 30회 강화하세요</v>
      </c>
      <c r="E20" s="29" t="str">
        <f xml:space="preserve"> "Upgrade gear item " &amp; H20 &amp; " times"</f>
        <v>Upgrade gear item 30 times</v>
      </c>
      <c r="F20" s="29" t="str">
        <f t="shared" si="0"/>
        <v>장비아이템을 30회 강화하세요</v>
      </c>
      <c r="H20" s="28">
        <f>Mission!H20</f>
        <v>30</v>
      </c>
    </row>
    <row r="21" spans="1:8" x14ac:dyDescent="0.3">
      <c r="A21" s="28" t="b">
        <v>1</v>
      </c>
      <c r="B21" s="29" t="str">
        <f t="shared" si="3"/>
        <v>주간설명 - 장비아이템을 300회 분해하세요</v>
      </c>
      <c r="C21" s="28">
        <f t="shared" si="4"/>
        <v>52109</v>
      </c>
      <c r="D21" s="29" t="str">
        <f>"장비아이템을 " &amp; H21 &amp; "회 분해하세요"</f>
        <v>장비아이템을 300회 분해하세요</v>
      </c>
      <c r="E21" s="29" t="str">
        <f xml:space="preserve"> "Dismantle gear item " &amp; H21 &amp; " times"</f>
        <v>Dismantle gear item 300 times</v>
      </c>
      <c r="F21" s="29" t="str">
        <f t="shared" si="0"/>
        <v>장비아이템을 300회 분해하세요</v>
      </c>
      <c r="H21" s="28">
        <f>Mission!H21</f>
        <v>300</v>
      </c>
    </row>
    <row r="22" spans="1:8" x14ac:dyDescent="0.3">
      <c r="A22" s="30" t="b">
        <v>1</v>
      </c>
      <c r="B22" s="31" t="str">
        <f>"월간설명 - " &amp;D22</f>
        <v>월간설명 - 모든 주간미션 완료를 3회 완료하세요</v>
      </c>
      <c r="C22" s="36">
        <v>52201</v>
      </c>
      <c r="D22" s="31" t="str">
        <f>"모든 주간미션 완료를 " &amp; H22 &amp; "회 완료하세요"</f>
        <v>모든 주간미션 완료를 3회 완료하세요</v>
      </c>
      <c r="E22" s="31" t="s">
        <v>168</v>
      </c>
      <c r="F22" s="31" t="str">
        <f t="shared" si="0"/>
        <v>모든 주간미션 완료를 3회 완료하세요</v>
      </c>
      <c r="H22" s="30">
        <f>Mission!H22</f>
        <v>3</v>
      </c>
    </row>
    <row r="23" spans="1:8" x14ac:dyDescent="0.3">
      <c r="A23" s="30" t="b">
        <v>1</v>
      </c>
      <c r="B23" s="31" t="str">
        <f t="shared" ref="B23:B30" si="5">"월간설명 - " &amp;D23</f>
        <v>월간설명 - 일반던전을 500회 완료하세요</v>
      </c>
      <c r="C23" s="30">
        <f>C22+1</f>
        <v>52202</v>
      </c>
      <c r="D23" s="31" t="str">
        <f>"일반던전을 " &amp; H23 &amp; "회 완료하세요"</f>
        <v>일반던전을 500회 완료하세요</v>
      </c>
      <c r="E23" s="31" t="str">
        <f>"Clear dungeon " &amp; H23 &amp; " times"</f>
        <v>Clear dungeon 500 times</v>
      </c>
      <c r="F23" s="31" t="str">
        <f t="shared" si="0"/>
        <v>일반던전을 500회 완료하세요</v>
      </c>
      <c r="H23" s="30">
        <f>Mission!H23</f>
        <v>500</v>
      </c>
    </row>
    <row r="24" spans="1:8" x14ac:dyDescent="0.3">
      <c r="A24" s="30" t="b">
        <v>1</v>
      </c>
      <c r="B24" s="31" t="str">
        <f t="shared" si="5"/>
        <v>월간설명 - 정예던전을 300회 완료하세요</v>
      </c>
      <c r="C24" s="30">
        <f t="shared" ref="C24:C30" si="6">C23+1</f>
        <v>52203</v>
      </c>
      <c r="D24" s="31" t="str">
        <f>"정예던전을 " &amp; H24 &amp; "회 완료하세요"</f>
        <v>정예던전을 300회 완료하세요</v>
      </c>
      <c r="E24" s="31" t="str">
        <f>"Clear elite dungeon " &amp; H24 &amp; " times"</f>
        <v>Clear elite dungeon 300 times</v>
      </c>
      <c r="F24" s="31" t="str">
        <f t="shared" si="0"/>
        <v>정예던전을 300회 완료하세요</v>
      </c>
      <c r="H24" s="30">
        <f>Mission!H24</f>
        <v>300</v>
      </c>
    </row>
    <row r="25" spans="1:8" x14ac:dyDescent="0.3">
      <c r="A25" s="30" t="b">
        <v>1</v>
      </c>
      <c r="B25" s="31" t="str">
        <f t="shared" si="5"/>
        <v>월간설명 - 요일던전을 50회 완료하세요</v>
      </c>
      <c r="C25" s="30">
        <f t="shared" si="6"/>
        <v>52204</v>
      </c>
      <c r="D25" s="31" t="str">
        <f>"요일던전을 " &amp; H25 &amp; "회 완료하세요"</f>
        <v>요일던전을 50회 완료하세요</v>
      </c>
      <c r="E25" s="31" t="str">
        <f>"Clear weekly dungeon " &amp; H25 &amp; " times"</f>
        <v>Clear weekly dungeon 50 times</v>
      </c>
      <c r="F25" s="31" t="str">
        <f t="shared" si="0"/>
        <v>요일던전을 50회 완료하세요</v>
      </c>
      <c r="H25" s="30">
        <f>Mission!H25</f>
        <v>50</v>
      </c>
    </row>
    <row r="26" spans="1:8" x14ac:dyDescent="0.3">
      <c r="A26" s="30" t="b">
        <v>1</v>
      </c>
      <c r="B26" s="31" t="str">
        <f t="shared" si="5"/>
        <v>월간설명 - 균열던전을 100회 참가하세요</v>
      </c>
      <c r="C26" s="30">
        <f t="shared" si="6"/>
        <v>52205</v>
      </c>
      <c r="D26" s="31" t="str">
        <f>"균열던전을 " &amp; H26 &amp; "회 참가하세요"</f>
        <v>균열던전을 100회 참가하세요</v>
      </c>
      <c r="E26" s="31" t="str">
        <f>"Participate rift " &amp; H26 &amp; " times"</f>
        <v>Participate rift 100 times</v>
      </c>
      <c r="F26" s="31" t="str">
        <f t="shared" si="0"/>
        <v>균열던전을 100회 참가하세요</v>
      </c>
      <c r="H26" s="30">
        <f>Mission!H26</f>
        <v>100</v>
      </c>
    </row>
    <row r="27" spans="1:8" x14ac:dyDescent="0.3">
      <c r="A27" s="30" t="b">
        <v>1</v>
      </c>
      <c r="B27" s="31" t="str">
        <f t="shared" si="5"/>
        <v>월간설명 - 초월던전을 200회 참가하세요</v>
      </c>
      <c r="C27" s="30">
        <f t="shared" si="6"/>
        <v>52206</v>
      </c>
      <c r="D27" s="31" t="str">
        <f>"초월던전을 " &amp; H27 &amp; "회 참가하세요"</f>
        <v>초월던전을 200회 참가하세요</v>
      </c>
      <c r="E27" s="31" t="str">
        <f>"Participate infinite dungeon " &amp; H27 &amp; " times"</f>
        <v>Participate infinite dungeon 200 times</v>
      </c>
      <c r="F27" s="31" t="str">
        <f t="shared" si="0"/>
        <v>초월던전을 200회 참가하세요</v>
      </c>
      <c r="H27" s="30">
        <f>Mission!H27</f>
        <v>200</v>
      </c>
    </row>
    <row r="28" spans="1:8" x14ac:dyDescent="0.3">
      <c r="A28" s="30" t="b">
        <v>1</v>
      </c>
      <c r="B28" s="31" t="str">
        <f t="shared" si="5"/>
        <v>월간설명 - 결투장을 200회 참가하세요</v>
      </c>
      <c r="C28" s="30">
        <f t="shared" si="6"/>
        <v>52207</v>
      </c>
      <c r="D28" s="31" t="str">
        <f>"결투장을 " &amp; H28 &amp; "회 참가하세요"</f>
        <v>결투장을 200회 참가하세요</v>
      </c>
      <c r="E28" s="31" t="str">
        <f>"Participate arena " &amp; H28 &amp; " times"</f>
        <v>Participate arena 200 times</v>
      </c>
      <c r="F28" s="31" t="str">
        <f t="shared" si="0"/>
        <v>결투장을 200회 참가하세요</v>
      </c>
      <c r="H28" s="30">
        <f>Mission!H28</f>
        <v>200</v>
      </c>
    </row>
    <row r="29" spans="1:8" x14ac:dyDescent="0.3">
      <c r="A29" s="30" t="b">
        <v>1</v>
      </c>
      <c r="B29" s="31" t="str">
        <f t="shared" si="5"/>
        <v>월간설명 - 룬스톤을 1000개 획득하세요</v>
      </c>
      <c r="C29" s="30">
        <f t="shared" si="6"/>
        <v>52208</v>
      </c>
      <c r="D29" s="31" t="str">
        <f>"룬스톤을 " &amp; H29 &amp; "개 획득하세요"</f>
        <v>룬스톤을 1000개 획득하세요</v>
      </c>
      <c r="E29" s="31" t="str">
        <f>"Obtain " &amp; H29 &amp; " runestones"</f>
        <v>Obtain 1000 runestones</v>
      </c>
      <c r="F29" s="31" t="str">
        <f t="shared" si="0"/>
        <v>룬스톤을 1000개 획득하세요</v>
      </c>
      <c r="H29" s="30">
        <f>Mission!H29</f>
        <v>1000</v>
      </c>
    </row>
    <row r="30" spans="1:8" x14ac:dyDescent="0.3">
      <c r="A30" s="30" t="b">
        <v>1</v>
      </c>
      <c r="B30" s="31" t="str">
        <f t="shared" si="5"/>
        <v>월간설명 - 균열석을 200개 획득하세요</v>
      </c>
      <c r="C30" s="30">
        <f t="shared" si="6"/>
        <v>52209</v>
      </c>
      <c r="D30" s="31" t="str">
        <f>"균열석을 " &amp; H30 &amp; "개 획득하세요"</f>
        <v>균열석을 200개 획득하세요</v>
      </c>
      <c r="E30" s="31" t="str">
        <f>"Obtain " &amp; H30 &amp; " rift stones"</f>
        <v>Obtain 200 rift stones</v>
      </c>
      <c r="F30" s="31" t="str">
        <f t="shared" si="0"/>
        <v>균열석을 200개 획득하세요</v>
      </c>
      <c r="H30" s="30">
        <f>Mission!H30</f>
        <v>200</v>
      </c>
    </row>
    <row r="31" spans="1:8" x14ac:dyDescent="0.3">
      <c r="A31" s="103" t="b">
        <v>1</v>
      </c>
      <c r="B31" s="104" t="str">
        <f>"업적설명 - " &amp;D31</f>
        <v>업적설명 - 캐릭터 레벨을 Lv.5까지 성장시키세요</v>
      </c>
      <c r="C31" s="39">
        <v>52301</v>
      </c>
      <c r="D31" s="104" t="str">
        <f>"캐릭터 레벨을 Lv." &amp; H31 &amp; "까지 성장시키세요"</f>
        <v>캐릭터 레벨을 Lv.5까지 성장시키세요</v>
      </c>
      <c r="E31" s="108" t="s">
        <v>1117</v>
      </c>
      <c r="F31" s="104" t="str">
        <f t="shared" si="0"/>
        <v>캐릭터 레벨을 Lv.5까지 성장시키세요</v>
      </c>
      <c r="H31" s="103">
        <f>Achievement!J6</f>
        <v>5</v>
      </c>
    </row>
    <row r="32" spans="1:8" x14ac:dyDescent="0.3">
      <c r="A32" s="103" t="b">
        <v>1</v>
      </c>
      <c r="B32" s="104" t="str">
        <f t="shared" ref="B32:B92" si="7">"업적설명 - " &amp;D32</f>
        <v>업적설명 - 캐릭터 레벨을 Lv.10까지 성장시키세요</v>
      </c>
      <c r="C32" s="46">
        <f t="shared" ref="C32:C95" si="8">C31+1</f>
        <v>52302</v>
      </c>
      <c r="D32" s="104" t="str">
        <f t="shared" ref="D32:D40" si="9">"캐릭터 레벨을 Lv." &amp; H32 &amp; "까지 성장시키세요"</f>
        <v>캐릭터 레벨을 Lv.10까지 성장시키세요</v>
      </c>
      <c r="E32" s="108" t="s">
        <v>1118</v>
      </c>
      <c r="F32" s="104" t="str">
        <f t="shared" si="0"/>
        <v>캐릭터 레벨을 Lv.10까지 성장시키세요</v>
      </c>
      <c r="H32" s="103">
        <f>Achievement!J7</f>
        <v>10</v>
      </c>
    </row>
    <row r="33" spans="1:8" x14ac:dyDescent="0.3">
      <c r="A33" s="103" t="b">
        <v>1</v>
      </c>
      <c r="B33" s="104" t="str">
        <f t="shared" si="7"/>
        <v>업적설명 - 캐릭터 레벨을 Lv.15까지 성장시키세요</v>
      </c>
      <c r="C33" s="46">
        <f t="shared" si="8"/>
        <v>52303</v>
      </c>
      <c r="D33" s="104" t="str">
        <f t="shared" si="9"/>
        <v>캐릭터 레벨을 Lv.15까지 성장시키세요</v>
      </c>
      <c r="E33" s="108" t="s">
        <v>1119</v>
      </c>
      <c r="F33" s="104" t="str">
        <f t="shared" si="0"/>
        <v>캐릭터 레벨을 Lv.15까지 성장시키세요</v>
      </c>
      <c r="H33" s="103">
        <f>Achievement!J8</f>
        <v>15</v>
      </c>
    </row>
    <row r="34" spans="1:8" x14ac:dyDescent="0.3">
      <c r="A34" s="103" t="b">
        <v>1</v>
      </c>
      <c r="B34" s="104" t="str">
        <f t="shared" si="7"/>
        <v>업적설명 - 캐릭터 레벨을 Lv.20까지 성장시키세요</v>
      </c>
      <c r="C34" s="46">
        <f t="shared" si="8"/>
        <v>52304</v>
      </c>
      <c r="D34" s="104" t="str">
        <f t="shared" si="9"/>
        <v>캐릭터 레벨을 Lv.20까지 성장시키세요</v>
      </c>
      <c r="E34" s="108" t="s">
        <v>1120</v>
      </c>
      <c r="F34" s="104" t="str">
        <f t="shared" si="0"/>
        <v>캐릭터 레벨을 Lv.20까지 성장시키세요</v>
      </c>
      <c r="H34" s="103">
        <f>Achievement!J9</f>
        <v>20</v>
      </c>
    </row>
    <row r="35" spans="1:8" x14ac:dyDescent="0.3">
      <c r="A35" s="103" t="b">
        <v>1</v>
      </c>
      <c r="B35" s="104" t="str">
        <f t="shared" si="7"/>
        <v>업적설명 - 캐릭터 레벨을 Lv.25까지 성장시키세요</v>
      </c>
      <c r="C35" s="46">
        <f t="shared" si="8"/>
        <v>52305</v>
      </c>
      <c r="D35" s="104" t="str">
        <f t="shared" si="9"/>
        <v>캐릭터 레벨을 Lv.25까지 성장시키세요</v>
      </c>
      <c r="E35" s="108" t="s">
        <v>1121</v>
      </c>
      <c r="F35" s="104" t="str">
        <f t="shared" si="0"/>
        <v>캐릭터 레벨을 Lv.25까지 성장시키세요</v>
      </c>
      <c r="H35" s="103">
        <f>Achievement!J10</f>
        <v>25</v>
      </c>
    </row>
    <row r="36" spans="1:8" x14ac:dyDescent="0.3">
      <c r="A36" s="103" t="b">
        <v>1</v>
      </c>
      <c r="B36" s="104" t="str">
        <f t="shared" si="7"/>
        <v>업적설명 - 캐릭터 레벨을 Lv.30까지 성장시키세요</v>
      </c>
      <c r="C36" s="46">
        <f t="shared" si="8"/>
        <v>52306</v>
      </c>
      <c r="D36" s="104" t="str">
        <f t="shared" si="9"/>
        <v>캐릭터 레벨을 Lv.30까지 성장시키세요</v>
      </c>
      <c r="E36" s="108" t="s">
        <v>1122</v>
      </c>
      <c r="F36" s="104" t="str">
        <f t="shared" si="0"/>
        <v>캐릭터 레벨을 Lv.30까지 성장시키세요</v>
      </c>
      <c r="H36" s="103">
        <f>Achievement!J11</f>
        <v>30</v>
      </c>
    </row>
    <row r="37" spans="1:8" x14ac:dyDescent="0.3">
      <c r="A37" s="103" t="b">
        <v>1</v>
      </c>
      <c r="B37" s="104" t="str">
        <f t="shared" si="7"/>
        <v>업적설명 - 캐릭터 레벨을 Lv.35까지 성장시키세요</v>
      </c>
      <c r="C37" s="46">
        <f t="shared" si="8"/>
        <v>52307</v>
      </c>
      <c r="D37" s="104" t="str">
        <f t="shared" si="9"/>
        <v>캐릭터 레벨을 Lv.35까지 성장시키세요</v>
      </c>
      <c r="E37" s="108" t="s">
        <v>1123</v>
      </c>
      <c r="F37" s="104" t="str">
        <f t="shared" si="0"/>
        <v>캐릭터 레벨을 Lv.35까지 성장시키세요</v>
      </c>
      <c r="H37" s="103">
        <f>Achievement!J12</f>
        <v>35</v>
      </c>
    </row>
    <row r="38" spans="1:8" x14ac:dyDescent="0.3">
      <c r="A38" s="103" t="b">
        <v>1</v>
      </c>
      <c r="B38" s="104" t="str">
        <f t="shared" si="7"/>
        <v>업적설명 - 캐릭터 레벨을 Lv.40까지 성장시키세요</v>
      </c>
      <c r="C38" s="46">
        <f t="shared" si="8"/>
        <v>52308</v>
      </c>
      <c r="D38" s="104" t="str">
        <f t="shared" si="9"/>
        <v>캐릭터 레벨을 Lv.40까지 성장시키세요</v>
      </c>
      <c r="E38" s="108" t="s">
        <v>1124</v>
      </c>
      <c r="F38" s="104" t="str">
        <f t="shared" si="0"/>
        <v>캐릭터 레벨을 Lv.40까지 성장시키세요</v>
      </c>
      <c r="H38" s="103">
        <f>Achievement!J13</f>
        <v>40</v>
      </c>
    </row>
    <row r="39" spans="1:8" x14ac:dyDescent="0.3">
      <c r="A39" s="103" t="b">
        <v>1</v>
      </c>
      <c r="B39" s="104" t="str">
        <f t="shared" si="7"/>
        <v>업적설명 - 캐릭터 레벨을 Lv.45까지 성장시키세요</v>
      </c>
      <c r="C39" s="46">
        <f t="shared" si="8"/>
        <v>52309</v>
      </c>
      <c r="D39" s="104" t="str">
        <f t="shared" si="9"/>
        <v>캐릭터 레벨을 Lv.45까지 성장시키세요</v>
      </c>
      <c r="E39" s="108" t="s">
        <v>1125</v>
      </c>
      <c r="F39" s="104" t="str">
        <f t="shared" si="0"/>
        <v>캐릭터 레벨을 Lv.45까지 성장시키세요</v>
      </c>
      <c r="H39" s="103">
        <f>Achievement!J14</f>
        <v>45</v>
      </c>
    </row>
    <row r="40" spans="1:8" x14ac:dyDescent="0.3">
      <c r="A40" s="103" t="b">
        <v>1</v>
      </c>
      <c r="B40" s="104" t="str">
        <f t="shared" si="7"/>
        <v>업적설명 - 캐릭터 레벨을 Lv.50까지 성장시키세요</v>
      </c>
      <c r="C40" s="46">
        <f t="shared" si="8"/>
        <v>52310</v>
      </c>
      <c r="D40" s="104" t="str">
        <f t="shared" si="9"/>
        <v>캐릭터 레벨을 Lv.50까지 성장시키세요</v>
      </c>
      <c r="E40" s="108" t="s">
        <v>1126</v>
      </c>
      <c r="F40" s="104" t="str">
        <f t="shared" si="0"/>
        <v>캐릭터 레벨을 Lv.50까지 성장시키세요</v>
      </c>
      <c r="H40" s="103">
        <f>Achievement!J15</f>
        <v>50</v>
      </c>
    </row>
    <row r="41" spans="1:8" x14ac:dyDescent="0.3">
      <c r="A41" s="28" t="b">
        <v>1</v>
      </c>
      <c r="B41" s="29" t="str">
        <f t="shared" si="7"/>
        <v>업적설명 - 수호자 레벨을 Lv.10까지 성장시키세요</v>
      </c>
      <c r="C41" s="16">
        <f t="shared" si="8"/>
        <v>52311</v>
      </c>
      <c r="D41" s="29" t="str">
        <f>"수호자 레벨을 Lv." &amp; H41 &amp; "까지 성장시키세요"</f>
        <v>수호자 레벨을 Lv.10까지 성장시키세요</v>
      </c>
      <c r="E41" s="29" t="str">
        <f xml:space="preserve"> "Level up Guardain to " &amp; H41 &amp; "Lv"</f>
        <v>Level up Guardain to 10Lv</v>
      </c>
      <c r="F41" s="29" t="str">
        <f t="shared" ref="F41:F94" si="10">D41</f>
        <v>수호자 레벨을 Lv.10까지 성장시키세요</v>
      </c>
      <c r="H41" s="28">
        <f>Achievement!J16</f>
        <v>10</v>
      </c>
    </row>
    <row r="42" spans="1:8" x14ac:dyDescent="0.3">
      <c r="A42" s="28" t="b">
        <v>1</v>
      </c>
      <c r="B42" s="29" t="str">
        <f t="shared" si="7"/>
        <v>업적설명 - 수호자 레벨을 Lv.20까지 성장시키세요</v>
      </c>
      <c r="C42" s="17">
        <f t="shared" si="8"/>
        <v>52312</v>
      </c>
      <c r="D42" s="29" t="str">
        <f t="shared" ref="D42:D84" si="11">"수호자 레벨을 Lv." &amp; H42 &amp; "까지 성장시키세요"</f>
        <v>수호자 레벨을 Lv.20까지 성장시키세요</v>
      </c>
      <c r="E42" s="29" t="str">
        <f t="shared" ref="E42:E84" si="12" xml:space="preserve"> "Level up Guardain to " &amp; H42 &amp; "Lv"</f>
        <v>Level up Guardain to 20Lv</v>
      </c>
      <c r="F42" s="29" t="str">
        <f t="shared" si="10"/>
        <v>수호자 레벨을 Lv.20까지 성장시키세요</v>
      </c>
      <c r="H42" s="28">
        <f>Achievement!J17</f>
        <v>20</v>
      </c>
    </row>
    <row r="43" spans="1:8" x14ac:dyDescent="0.3">
      <c r="A43" s="28" t="b">
        <v>1</v>
      </c>
      <c r="B43" s="29" t="str">
        <f t="shared" si="7"/>
        <v>업적설명 - 수호자 레벨을 Lv.30까지 성장시키세요</v>
      </c>
      <c r="C43" s="17">
        <f t="shared" si="8"/>
        <v>52313</v>
      </c>
      <c r="D43" s="29" t="str">
        <f t="shared" si="11"/>
        <v>수호자 레벨을 Lv.30까지 성장시키세요</v>
      </c>
      <c r="E43" s="29" t="str">
        <f t="shared" si="12"/>
        <v>Level up Guardain to 30Lv</v>
      </c>
      <c r="F43" s="29" t="str">
        <f t="shared" si="10"/>
        <v>수호자 레벨을 Lv.30까지 성장시키세요</v>
      </c>
      <c r="H43" s="28">
        <f>Achievement!J18</f>
        <v>30</v>
      </c>
    </row>
    <row r="44" spans="1:8" x14ac:dyDescent="0.3">
      <c r="A44" s="28" t="b">
        <v>1</v>
      </c>
      <c r="B44" s="29" t="str">
        <f t="shared" si="7"/>
        <v>업적설명 - 수호자 레벨을 Lv.50까지 성장시키세요</v>
      </c>
      <c r="C44" s="17">
        <f t="shared" si="8"/>
        <v>52314</v>
      </c>
      <c r="D44" s="29" t="str">
        <f t="shared" si="11"/>
        <v>수호자 레벨을 Lv.50까지 성장시키세요</v>
      </c>
      <c r="E44" s="29" t="str">
        <f t="shared" si="12"/>
        <v>Level up Guardain to 50Lv</v>
      </c>
      <c r="F44" s="29" t="str">
        <f t="shared" si="10"/>
        <v>수호자 레벨을 Lv.50까지 성장시키세요</v>
      </c>
      <c r="H44" s="28">
        <f>Achievement!J19</f>
        <v>50</v>
      </c>
    </row>
    <row r="45" spans="1:8" x14ac:dyDescent="0.3">
      <c r="A45" s="28" t="b">
        <v>1</v>
      </c>
      <c r="B45" s="29" t="str">
        <f t="shared" si="7"/>
        <v>업적설명 - 수호자 레벨을 Lv.75까지 성장시키세요</v>
      </c>
      <c r="C45" s="17">
        <f t="shared" si="8"/>
        <v>52315</v>
      </c>
      <c r="D45" s="29" t="str">
        <f t="shared" si="11"/>
        <v>수호자 레벨을 Lv.75까지 성장시키세요</v>
      </c>
      <c r="E45" s="29" t="str">
        <f t="shared" si="12"/>
        <v>Level up Guardain to 75Lv</v>
      </c>
      <c r="F45" s="29" t="str">
        <f t="shared" si="10"/>
        <v>수호자 레벨을 Lv.75까지 성장시키세요</v>
      </c>
      <c r="H45" s="28">
        <f>Achievement!J20</f>
        <v>75</v>
      </c>
    </row>
    <row r="46" spans="1:8" x14ac:dyDescent="0.3">
      <c r="A46" s="28" t="b">
        <v>1</v>
      </c>
      <c r="B46" s="29" t="str">
        <f t="shared" si="7"/>
        <v>업적설명 - 수호자 레벨을 Lv.100까지 성장시키세요</v>
      </c>
      <c r="C46" s="17">
        <f t="shared" si="8"/>
        <v>52316</v>
      </c>
      <c r="D46" s="29" t="str">
        <f t="shared" si="11"/>
        <v>수호자 레벨을 Lv.100까지 성장시키세요</v>
      </c>
      <c r="E46" s="29" t="str">
        <f t="shared" si="12"/>
        <v>Level up Guardain to 100Lv</v>
      </c>
      <c r="F46" s="29" t="str">
        <f t="shared" si="10"/>
        <v>수호자 레벨을 Lv.100까지 성장시키세요</v>
      </c>
      <c r="H46" s="28">
        <f>Achievement!J21</f>
        <v>100</v>
      </c>
    </row>
    <row r="47" spans="1:8" x14ac:dyDescent="0.3">
      <c r="A47" s="28" t="b">
        <v>1</v>
      </c>
      <c r="B47" s="29" t="str">
        <f t="shared" si="7"/>
        <v>업적설명 - 수호자 레벨을 Lv.150까지 성장시키세요</v>
      </c>
      <c r="C47" s="17">
        <f t="shared" si="8"/>
        <v>52317</v>
      </c>
      <c r="D47" s="29" t="str">
        <f t="shared" si="11"/>
        <v>수호자 레벨을 Lv.150까지 성장시키세요</v>
      </c>
      <c r="E47" s="29" t="str">
        <f t="shared" si="12"/>
        <v>Level up Guardain to 150Lv</v>
      </c>
      <c r="F47" s="29" t="str">
        <f t="shared" si="10"/>
        <v>수호자 레벨을 Lv.150까지 성장시키세요</v>
      </c>
      <c r="H47" s="28">
        <f>Achievement!J22</f>
        <v>150</v>
      </c>
    </row>
    <row r="48" spans="1:8" x14ac:dyDescent="0.3">
      <c r="A48" s="28" t="b">
        <v>1</v>
      </c>
      <c r="B48" s="29" t="str">
        <f t="shared" si="7"/>
        <v>업적설명 - 수호자 레벨을 Lv.200까지 성장시키세요</v>
      </c>
      <c r="C48" s="17">
        <f t="shared" si="8"/>
        <v>52318</v>
      </c>
      <c r="D48" s="29" t="str">
        <f t="shared" si="11"/>
        <v>수호자 레벨을 Lv.200까지 성장시키세요</v>
      </c>
      <c r="E48" s="29" t="str">
        <f t="shared" si="12"/>
        <v>Level up Guardain to 200Lv</v>
      </c>
      <c r="F48" s="29" t="str">
        <f t="shared" si="10"/>
        <v>수호자 레벨을 Lv.200까지 성장시키세요</v>
      </c>
      <c r="H48" s="28">
        <f>Achievement!J23</f>
        <v>200</v>
      </c>
    </row>
    <row r="49" spans="1:8" x14ac:dyDescent="0.3">
      <c r="A49" s="28" t="b">
        <v>1</v>
      </c>
      <c r="B49" s="29" t="str">
        <f t="shared" si="7"/>
        <v>업적설명 - 수호자 레벨을 Lv.250까지 성장시키세요</v>
      </c>
      <c r="C49" s="17">
        <f t="shared" si="8"/>
        <v>52319</v>
      </c>
      <c r="D49" s="29" t="str">
        <f t="shared" si="11"/>
        <v>수호자 레벨을 Lv.250까지 성장시키세요</v>
      </c>
      <c r="E49" s="29" t="str">
        <f t="shared" si="12"/>
        <v>Level up Guardain to 250Lv</v>
      </c>
      <c r="F49" s="29" t="str">
        <f t="shared" si="10"/>
        <v>수호자 레벨을 Lv.250까지 성장시키세요</v>
      </c>
      <c r="H49" s="28">
        <f>Achievement!J24</f>
        <v>250</v>
      </c>
    </row>
    <row r="50" spans="1:8" x14ac:dyDescent="0.3">
      <c r="A50" s="28" t="b">
        <v>1</v>
      </c>
      <c r="B50" s="29" t="str">
        <f t="shared" si="7"/>
        <v>업적설명 - 수호자 레벨을 Lv.300까지 성장시키세요</v>
      </c>
      <c r="C50" s="17">
        <f t="shared" si="8"/>
        <v>52320</v>
      </c>
      <c r="D50" s="29" t="str">
        <f t="shared" si="11"/>
        <v>수호자 레벨을 Lv.300까지 성장시키세요</v>
      </c>
      <c r="E50" s="29" t="str">
        <f t="shared" si="12"/>
        <v>Level up Guardain to 300Lv</v>
      </c>
      <c r="F50" s="29" t="str">
        <f t="shared" si="10"/>
        <v>수호자 레벨을 Lv.300까지 성장시키세요</v>
      </c>
      <c r="H50" s="28">
        <f>Achievement!J25</f>
        <v>300</v>
      </c>
    </row>
    <row r="51" spans="1:8" x14ac:dyDescent="0.3">
      <c r="A51" s="28" t="b">
        <v>1</v>
      </c>
      <c r="B51" s="29" t="str">
        <f t="shared" si="7"/>
        <v>업적설명 - 수호자 레벨을 Lv.350까지 성장시키세요</v>
      </c>
      <c r="C51" s="17">
        <f t="shared" si="8"/>
        <v>52321</v>
      </c>
      <c r="D51" s="29" t="str">
        <f t="shared" si="11"/>
        <v>수호자 레벨을 Lv.350까지 성장시키세요</v>
      </c>
      <c r="E51" s="29" t="str">
        <f t="shared" si="12"/>
        <v>Level up Guardain to 350Lv</v>
      </c>
      <c r="F51" s="29" t="str">
        <f t="shared" si="10"/>
        <v>수호자 레벨을 Lv.350까지 성장시키세요</v>
      </c>
      <c r="H51" s="28">
        <f>Achievement!J26</f>
        <v>350</v>
      </c>
    </row>
    <row r="52" spans="1:8" x14ac:dyDescent="0.3">
      <c r="A52" s="28" t="b">
        <v>1</v>
      </c>
      <c r="B52" s="29" t="str">
        <f t="shared" si="7"/>
        <v>업적설명 - 수호자 레벨을 Lv.400까지 성장시키세요</v>
      </c>
      <c r="C52" s="17">
        <f t="shared" si="8"/>
        <v>52322</v>
      </c>
      <c r="D52" s="29" t="str">
        <f t="shared" si="11"/>
        <v>수호자 레벨을 Lv.400까지 성장시키세요</v>
      </c>
      <c r="E52" s="29" t="str">
        <f t="shared" si="12"/>
        <v>Level up Guardain to 400Lv</v>
      </c>
      <c r="F52" s="29" t="str">
        <f t="shared" si="10"/>
        <v>수호자 레벨을 Lv.400까지 성장시키세요</v>
      </c>
      <c r="H52" s="28">
        <f>Achievement!J27</f>
        <v>400</v>
      </c>
    </row>
    <row r="53" spans="1:8" x14ac:dyDescent="0.3">
      <c r="A53" s="28" t="b">
        <v>1</v>
      </c>
      <c r="B53" s="29" t="str">
        <f t="shared" si="7"/>
        <v>업적설명 - 수호자 레벨을 Lv.450까지 성장시키세요</v>
      </c>
      <c r="C53" s="17">
        <f t="shared" si="8"/>
        <v>52323</v>
      </c>
      <c r="D53" s="29" t="str">
        <f t="shared" si="11"/>
        <v>수호자 레벨을 Lv.450까지 성장시키세요</v>
      </c>
      <c r="E53" s="29" t="str">
        <f t="shared" si="12"/>
        <v>Level up Guardain to 450Lv</v>
      </c>
      <c r="F53" s="29" t="str">
        <f t="shared" si="10"/>
        <v>수호자 레벨을 Lv.450까지 성장시키세요</v>
      </c>
      <c r="H53" s="28">
        <f>Achievement!J28</f>
        <v>450</v>
      </c>
    </row>
    <row r="54" spans="1:8" x14ac:dyDescent="0.3">
      <c r="A54" s="28" t="b">
        <v>1</v>
      </c>
      <c r="B54" s="29" t="str">
        <f t="shared" si="7"/>
        <v>업적설명 - 수호자 레벨을 Lv.500까지 성장시키세요</v>
      </c>
      <c r="C54" s="17">
        <f t="shared" si="8"/>
        <v>52324</v>
      </c>
      <c r="D54" s="29" t="str">
        <f t="shared" si="11"/>
        <v>수호자 레벨을 Lv.500까지 성장시키세요</v>
      </c>
      <c r="E54" s="29" t="str">
        <f t="shared" si="12"/>
        <v>Level up Guardain to 500Lv</v>
      </c>
      <c r="F54" s="29" t="str">
        <f t="shared" si="10"/>
        <v>수호자 레벨을 Lv.500까지 성장시키세요</v>
      </c>
      <c r="H54" s="28">
        <f>Achievement!J29</f>
        <v>500</v>
      </c>
    </row>
    <row r="55" spans="1:8" x14ac:dyDescent="0.3">
      <c r="A55" s="28" t="b">
        <v>1</v>
      </c>
      <c r="B55" s="29" t="str">
        <f t="shared" si="7"/>
        <v>업적설명 - 수호자 레벨을 Lv.550까지 성장시키세요</v>
      </c>
      <c r="C55" s="17">
        <f t="shared" si="8"/>
        <v>52325</v>
      </c>
      <c r="D55" s="29" t="str">
        <f t="shared" si="11"/>
        <v>수호자 레벨을 Lv.550까지 성장시키세요</v>
      </c>
      <c r="E55" s="29" t="str">
        <f t="shared" si="12"/>
        <v>Level up Guardain to 550Lv</v>
      </c>
      <c r="F55" s="29" t="str">
        <f t="shared" si="10"/>
        <v>수호자 레벨을 Lv.550까지 성장시키세요</v>
      </c>
      <c r="H55" s="28">
        <f>Achievement!J30</f>
        <v>550</v>
      </c>
    </row>
    <row r="56" spans="1:8" x14ac:dyDescent="0.3">
      <c r="A56" s="28" t="b">
        <v>1</v>
      </c>
      <c r="B56" s="29" t="str">
        <f t="shared" si="7"/>
        <v>업적설명 - 수호자 레벨을 Lv.600까지 성장시키세요</v>
      </c>
      <c r="C56" s="17">
        <f t="shared" si="8"/>
        <v>52326</v>
      </c>
      <c r="D56" s="29" t="str">
        <f t="shared" si="11"/>
        <v>수호자 레벨을 Lv.600까지 성장시키세요</v>
      </c>
      <c r="E56" s="29" t="str">
        <f t="shared" si="12"/>
        <v>Level up Guardain to 600Lv</v>
      </c>
      <c r="F56" s="29" t="str">
        <f t="shared" si="10"/>
        <v>수호자 레벨을 Lv.600까지 성장시키세요</v>
      </c>
      <c r="H56" s="28">
        <f>Achievement!J31</f>
        <v>600</v>
      </c>
    </row>
    <row r="57" spans="1:8" x14ac:dyDescent="0.3">
      <c r="A57" s="28" t="b">
        <v>1</v>
      </c>
      <c r="B57" s="29" t="str">
        <f t="shared" si="7"/>
        <v>업적설명 - 수호자 레벨을 Lv.650까지 성장시키세요</v>
      </c>
      <c r="C57" s="17">
        <f t="shared" si="8"/>
        <v>52327</v>
      </c>
      <c r="D57" s="29" t="str">
        <f t="shared" si="11"/>
        <v>수호자 레벨을 Lv.650까지 성장시키세요</v>
      </c>
      <c r="E57" s="29" t="str">
        <f t="shared" si="12"/>
        <v>Level up Guardain to 650Lv</v>
      </c>
      <c r="F57" s="29" t="str">
        <f t="shared" si="10"/>
        <v>수호자 레벨을 Lv.650까지 성장시키세요</v>
      </c>
      <c r="H57" s="28">
        <f>Achievement!J32</f>
        <v>650</v>
      </c>
    </row>
    <row r="58" spans="1:8" x14ac:dyDescent="0.3">
      <c r="A58" s="28" t="b">
        <v>1</v>
      </c>
      <c r="B58" s="29" t="str">
        <f t="shared" si="7"/>
        <v>업적설명 - 수호자 레벨을 Lv.700까지 성장시키세요</v>
      </c>
      <c r="C58" s="17">
        <f t="shared" si="8"/>
        <v>52328</v>
      </c>
      <c r="D58" s="29" t="str">
        <f t="shared" si="11"/>
        <v>수호자 레벨을 Lv.700까지 성장시키세요</v>
      </c>
      <c r="E58" s="29" t="str">
        <f t="shared" si="12"/>
        <v>Level up Guardain to 700Lv</v>
      </c>
      <c r="F58" s="29" t="str">
        <f t="shared" si="10"/>
        <v>수호자 레벨을 Lv.700까지 성장시키세요</v>
      </c>
      <c r="H58" s="28">
        <f>Achievement!J33</f>
        <v>700</v>
      </c>
    </row>
    <row r="59" spans="1:8" x14ac:dyDescent="0.3">
      <c r="A59" s="28" t="b">
        <v>1</v>
      </c>
      <c r="B59" s="29" t="str">
        <f t="shared" si="7"/>
        <v>업적설명 - 수호자 레벨을 Lv.750까지 성장시키세요</v>
      </c>
      <c r="C59" s="17">
        <f t="shared" si="8"/>
        <v>52329</v>
      </c>
      <c r="D59" s="29" t="str">
        <f t="shared" si="11"/>
        <v>수호자 레벨을 Lv.750까지 성장시키세요</v>
      </c>
      <c r="E59" s="29" t="str">
        <f t="shared" si="12"/>
        <v>Level up Guardain to 750Lv</v>
      </c>
      <c r="F59" s="29" t="str">
        <f t="shared" si="10"/>
        <v>수호자 레벨을 Lv.750까지 성장시키세요</v>
      </c>
      <c r="H59" s="28">
        <f>Achievement!J34</f>
        <v>750</v>
      </c>
    </row>
    <row r="60" spans="1:8" x14ac:dyDescent="0.3">
      <c r="A60" s="28" t="b">
        <v>1</v>
      </c>
      <c r="B60" s="29" t="str">
        <f t="shared" si="7"/>
        <v>업적설명 - 수호자 레벨을 Lv.800까지 성장시키세요</v>
      </c>
      <c r="C60" s="17">
        <f t="shared" si="8"/>
        <v>52330</v>
      </c>
      <c r="D60" s="29" t="str">
        <f t="shared" si="11"/>
        <v>수호자 레벨을 Lv.800까지 성장시키세요</v>
      </c>
      <c r="E60" s="29" t="str">
        <f t="shared" si="12"/>
        <v>Level up Guardain to 800Lv</v>
      </c>
      <c r="F60" s="29" t="str">
        <f t="shared" si="10"/>
        <v>수호자 레벨을 Lv.800까지 성장시키세요</v>
      </c>
      <c r="H60" s="28">
        <f>Achievement!J35</f>
        <v>800</v>
      </c>
    </row>
    <row r="61" spans="1:8" x14ac:dyDescent="0.3">
      <c r="A61" s="28" t="b">
        <v>1</v>
      </c>
      <c r="B61" s="29" t="str">
        <f t="shared" si="7"/>
        <v>업적설명 - 수호자 레벨을 Lv.850까지 성장시키세요</v>
      </c>
      <c r="C61" s="17">
        <f t="shared" si="8"/>
        <v>52331</v>
      </c>
      <c r="D61" s="29" t="str">
        <f t="shared" si="11"/>
        <v>수호자 레벨을 Lv.850까지 성장시키세요</v>
      </c>
      <c r="E61" s="29" t="str">
        <f t="shared" si="12"/>
        <v>Level up Guardain to 850Lv</v>
      </c>
      <c r="F61" s="29" t="str">
        <f t="shared" si="10"/>
        <v>수호자 레벨을 Lv.850까지 성장시키세요</v>
      </c>
      <c r="H61" s="28">
        <f>Achievement!J36</f>
        <v>850</v>
      </c>
    </row>
    <row r="62" spans="1:8" x14ac:dyDescent="0.3">
      <c r="A62" s="28" t="b">
        <v>1</v>
      </c>
      <c r="B62" s="29" t="str">
        <f t="shared" si="7"/>
        <v>업적설명 - 수호자 레벨을 Lv.900까지 성장시키세요</v>
      </c>
      <c r="C62" s="17">
        <f t="shared" si="8"/>
        <v>52332</v>
      </c>
      <c r="D62" s="29" t="str">
        <f t="shared" si="11"/>
        <v>수호자 레벨을 Lv.900까지 성장시키세요</v>
      </c>
      <c r="E62" s="29" t="str">
        <f t="shared" si="12"/>
        <v>Level up Guardain to 900Lv</v>
      </c>
      <c r="F62" s="29" t="str">
        <f t="shared" si="10"/>
        <v>수호자 레벨을 Lv.900까지 성장시키세요</v>
      </c>
      <c r="H62" s="28">
        <f>Achievement!J37</f>
        <v>900</v>
      </c>
    </row>
    <row r="63" spans="1:8" x14ac:dyDescent="0.3">
      <c r="A63" s="28" t="b">
        <v>1</v>
      </c>
      <c r="B63" s="29" t="str">
        <f t="shared" si="7"/>
        <v>업적설명 - 수호자 레벨을 Lv.950까지 성장시키세요</v>
      </c>
      <c r="C63" s="17">
        <f t="shared" si="8"/>
        <v>52333</v>
      </c>
      <c r="D63" s="29" t="str">
        <f t="shared" si="11"/>
        <v>수호자 레벨을 Lv.950까지 성장시키세요</v>
      </c>
      <c r="E63" s="29" t="str">
        <f t="shared" si="12"/>
        <v>Level up Guardain to 950Lv</v>
      </c>
      <c r="F63" s="29" t="str">
        <f t="shared" si="10"/>
        <v>수호자 레벨을 Lv.950까지 성장시키세요</v>
      </c>
      <c r="H63" s="28">
        <f>Achievement!J38</f>
        <v>950</v>
      </c>
    </row>
    <row r="64" spans="1:8" x14ac:dyDescent="0.3">
      <c r="A64" s="28" t="b">
        <v>1</v>
      </c>
      <c r="B64" s="29" t="str">
        <f t="shared" si="7"/>
        <v>업적설명 - 수호자 레벨을 Lv.1000까지 성장시키세요</v>
      </c>
      <c r="C64" s="17">
        <f t="shared" si="8"/>
        <v>52334</v>
      </c>
      <c r="D64" s="29" t="str">
        <f t="shared" si="11"/>
        <v>수호자 레벨을 Lv.1000까지 성장시키세요</v>
      </c>
      <c r="E64" s="29" t="str">
        <f t="shared" si="12"/>
        <v>Level up Guardain to 1000Lv</v>
      </c>
      <c r="F64" s="29" t="str">
        <f t="shared" si="10"/>
        <v>수호자 레벨을 Lv.1000까지 성장시키세요</v>
      </c>
      <c r="H64" s="28">
        <f>Achievement!J39</f>
        <v>1000</v>
      </c>
    </row>
    <row r="65" spans="1:8" x14ac:dyDescent="0.3">
      <c r="A65" s="28" t="b">
        <v>1</v>
      </c>
      <c r="B65" s="29" t="str">
        <f t="shared" si="7"/>
        <v>업적설명 - 수호자 레벨을 Lv.1050까지 성장시키세요</v>
      </c>
      <c r="C65" s="17">
        <f t="shared" si="8"/>
        <v>52335</v>
      </c>
      <c r="D65" s="29" t="str">
        <f t="shared" si="11"/>
        <v>수호자 레벨을 Lv.1050까지 성장시키세요</v>
      </c>
      <c r="E65" s="29" t="str">
        <f t="shared" si="12"/>
        <v>Level up Guardain to 1050Lv</v>
      </c>
      <c r="F65" s="29" t="str">
        <f t="shared" si="10"/>
        <v>수호자 레벨을 Lv.1050까지 성장시키세요</v>
      </c>
      <c r="H65" s="28">
        <f>Achievement!J40</f>
        <v>1050</v>
      </c>
    </row>
    <row r="66" spans="1:8" x14ac:dyDescent="0.3">
      <c r="A66" s="28" t="b">
        <v>1</v>
      </c>
      <c r="B66" s="29" t="str">
        <f t="shared" si="7"/>
        <v>업적설명 - 수호자 레벨을 Lv.1100까지 성장시키세요</v>
      </c>
      <c r="C66" s="17">
        <f t="shared" si="8"/>
        <v>52336</v>
      </c>
      <c r="D66" s="29" t="str">
        <f t="shared" si="11"/>
        <v>수호자 레벨을 Lv.1100까지 성장시키세요</v>
      </c>
      <c r="E66" s="29" t="str">
        <f t="shared" si="12"/>
        <v>Level up Guardain to 1100Lv</v>
      </c>
      <c r="F66" s="29" t="str">
        <f t="shared" si="10"/>
        <v>수호자 레벨을 Lv.1100까지 성장시키세요</v>
      </c>
      <c r="H66" s="28">
        <f>Achievement!J41</f>
        <v>1100</v>
      </c>
    </row>
    <row r="67" spans="1:8" x14ac:dyDescent="0.3">
      <c r="A67" s="28" t="b">
        <v>1</v>
      </c>
      <c r="B67" s="29" t="str">
        <f t="shared" si="7"/>
        <v>업적설명 - 수호자 레벨을 Lv.1150까지 성장시키세요</v>
      </c>
      <c r="C67" s="17">
        <f t="shared" si="8"/>
        <v>52337</v>
      </c>
      <c r="D67" s="29" t="str">
        <f t="shared" si="11"/>
        <v>수호자 레벨을 Lv.1150까지 성장시키세요</v>
      </c>
      <c r="E67" s="29" t="str">
        <f t="shared" si="12"/>
        <v>Level up Guardain to 1150Lv</v>
      </c>
      <c r="F67" s="29" t="str">
        <f t="shared" si="10"/>
        <v>수호자 레벨을 Lv.1150까지 성장시키세요</v>
      </c>
      <c r="H67" s="28">
        <f>Achievement!J42</f>
        <v>1150</v>
      </c>
    </row>
    <row r="68" spans="1:8" x14ac:dyDescent="0.3">
      <c r="A68" s="28" t="b">
        <v>1</v>
      </c>
      <c r="B68" s="29" t="str">
        <f t="shared" si="7"/>
        <v>업적설명 - 수호자 레벨을 Lv.1200까지 성장시키세요</v>
      </c>
      <c r="C68" s="17">
        <f t="shared" si="8"/>
        <v>52338</v>
      </c>
      <c r="D68" s="29" t="str">
        <f t="shared" si="11"/>
        <v>수호자 레벨을 Lv.1200까지 성장시키세요</v>
      </c>
      <c r="E68" s="29" t="str">
        <f t="shared" si="12"/>
        <v>Level up Guardain to 1200Lv</v>
      </c>
      <c r="F68" s="29" t="str">
        <f t="shared" si="10"/>
        <v>수호자 레벨을 Lv.1200까지 성장시키세요</v>
      </c>
      <c r="H68" s="28">
        <f>Achievement!J43</f>
        <v>1200</v>
      </c>
    </row>
    <row r="69" spans="1:8" x14ac:dyDescent="0.3">
      <c r="A69" s="28" t="b">
        <v>1</v>
      </c>
      <c r="B69" s="29" t="str">
        <f t="shared" si="7"/>
        <v>업적설명 - 수호자 레벨을 Lv.1250까지 성장시키세요</v>
      </c>
      <c r="C69" s="17">
        <f t="shared" si="8"/>
        <v>52339</v>
      </c>
      <c r="D69" s="29" t="str">
        <f t="shared" si="11"/>
        <v>수호자 레벨을 Lv.1250까지 성장시키세요</v>
      </c>
      <c r="E69" s="29" t="str">
        <f t="shared" si="12"/>
        <v>Level up Guardain to 1250Lv</v>
      </c>
      <c r="F69" s="29" t="str">
        <f t="shared" si="10"/>
        <v>수호자 레벨을 Lv.1250까지 성장시키세요</v>
      </c>
      <c r="H69" s="28">
        <f>Achievement!J44</f>
        <v>1250</v>
      </c>
    </row>
    <row r="70" spans="1:8" x14ac:dyDescent="0.3">
      <c r="A70" s="28" t="b">
        <v>1</v>
      </c>
      <c r="B70" s="29" t="str">
        <f t="shared" si="7"/>
        <v>업적설명 - 수호자 레벨을 Lv.1300까지 성장시키세요</v>
      </c>
      <c r="C70" s="17">
        <f t="shared" si="8"/>
        <v>52340</v>
      </c>
      <c r="D70" s="29" t="str">
        <f t="shared" si="11"/>
        <v>수호자 레벨을 Lv.1300까지 성장시키세요</v>
      </c>
      <c r="E70" s="29" t="str">
        <f t="shared" si="12"/>
        <v>Level up Guardain to 1300Lv</v>
      </c>
      <c r="F70" s="29" t="str">
        <f t="shared" si="10"/>
        <v>수호자 레벨을 Lv.1300까지 성장시키세요</v>
      </c>
      <c r="H70" s="28">
        <f>Achievement!J45</f>
        <v>1300</v>
      </c>
    </row>
    <row r="71" spans="1:8" x14ac:dyDescent="0.3">
      <c r="A71" s="28" t="b">
        <v>1</v>
      </c>
      <c r="B71" s="29" t="str">
        <f t="shared" si="7"/>
        <v>업적설명 - 수호자 레벨을 Lv.1350까지 성장시키세요</v>
      </c>
      <c r="C71" s="17">
        <f t="shared" si="8"/>
        <v>52341</v>
      </c>
      <c r="D71" s="29" t="str">
        <f t="shared" si="11"/>
        <v>수호자 레벨을 Lv.1350까지 성장시키세요</v>
      </c>
      <c r="E71" s="29" t="str">
        <f t="shared" si="12"/>
        <v>Level up Guardain to 1350Lv</v>
      </c>
      <c r="F71" s="29" t="str">
        <f t="shared" si="10"/>
        <v>수호자 레벨을 Lv.1350까지 성장시키세요</v>
      </c>
      <c r="H71" s="28">
        <f>Achievement!J46</f>
        <v>1350</v>
      </c>
    </row>
    <row r="72" spans="1:8" x14ac:dyDescent="0.3">
      <c r="A72" s="28" t="b">
        <v>1</v>
      </c>
      <c r="B72" s="29" t="str">
        <f t="shared" si="7"/>
        <v>업적설명 - 수호자 레벨을 Lv.1400까지 성장시키세요</v>
      </c>
      <c r="C72" s="17">
        <f t="shared" si="8"/>
        <v>52342</v>
      </c>
      <c r="D72" s="29" t="str">
        <f t="shared" si="11"/>
        <v>수호자 레벨을 Lv.1400까지 성장시키세요</v>
      </c>
      <c r="E72" s="29" t="str">
        <f t="shared" si="12"/>
        <v>Level up Guardain to 1400Lv</v>
      </c>
      <c r="F72" s="29" t="str">
        <f t="shared" si="10"/>
        <v>수호자 레벨을 Lv.1400까지 성장시키세요</v>
      </c>
      <c r="H72" s="28">
        <f>Achievement!J47</f>
        <v>1400</v>
      </c>
    </row>
    <row r="73" spans="1:8" x14ac:dyDescent="0.3">
      <c r="A73" s="28" t="b">
        <v>1</v>
      </c>
      <c r="B73" s="29" t="str">
        <f t="shared" si="7"/>
        <v>업적설명 - 수호자 레벨을 Lv.1450까지 성장시키세요</v>
      </c>
      <c r="C73" s="17">
        <f t="shared" si="8"/>
        <v>52343</v>
      </c>
      <c r="D73" s="29" t="str">
        <f t="shared" si="11"/>
        <v>수호자 레벨을 Lv.1450까지 성장시키세요</v>
      </c>
      <c r="E73" s="29" t="str">
        <f t="shared" si="12"/>
        <v>Level up Guardain to 1450Lv</v>
      </c>
      <c r="F73" s="29" t="str">
        <f t="shared" si="10"/>
        <v>수호자 레벨을 Lv.1450까지 성장시키세요</v>
      </c>
      <c r="H73" s="28">
        <f>Achievement!J48</f>
        <v>1450</v>
      </c>
    </row>
    <row r="74" spans="1:8" x14ac:dyDescent="0.3">
      <c r="A74" s="28" t="b">
        <v>1</v>
      </c>
      <c r="B74" s="29" t="str">
        <f t="shared" si="7"/>
        <v>업적설명 - 수호자 레벨을 Lv.1500까지 성장시키세요</v>
      </c>
      <c r="C74" s="17">
        <f t="shared" si="8"/>
        <v>52344</v>
      </c>
      <c r="D74" s="29" t="str">
        <f t="shared" si="11"/>
        <v>수호자 레벨을 Lv.1500까지 성장시키세요</v>
      </c>
      <c r="E74" s="29" t="str">
        <f t="shared" si="12"/>
        <v>Level up Guardain to 1500Lv</v>
      </c>
      <c r="F74" s="29" t="str">
        <f t="shared" si="10"/>
        <v>수호자 레벨을 Lv.1500까지 성장시키세요</v>
      </c>
      <c r="H74" s="28">
        <f>Achievement!J49</f>
        <v>1500</v>
      </c>
    </row>
    <row r="75" spans="1:8" x14ac:dyDescent="0.3">
      <c r="A75" s="28" t="b">
        <v>1</v>
      </c>
      <c r="B75" s="29" t="str">
        <f t="shared" si="7"/>
        <v>업적설명 - 수호자 레벨을 Lv.1550까지 성장시키세요</v>
      </c>
      <c r="C75" s="17">
        <f t="shared" si="8"/>
        <v>52345</v>
      </c>
      <c r="D75" s="29" t="str">
        <f t="shared" si="11"/>
        <v>수호자 레벨을 Lv.1550까지 성장시키세요</v>
      </c>
      <c r="E75" s="29" t="str">
        <f t="shared" si="12"/>
        <v>Level up Guardain to 1550Lv</v>
      </c>
      <c r="F75" s="29" t="str">
        <f t="shared" si="10"/>
        <v>수호자 레벨을 Lv.1550까지 성장시키세요</v>
      </c>
      <c r="H75" s="28">
        <f>Achievement!J50</f>
        <v>1550</v>
      </c>
    </row>
    <row r="76" spans="1:8" x14ac:dyDescent="0.3">
      <c r="A76" s="28" t="b">
        <v>1</v>
      </c>
      <c r="B76" s="29" t="str">
        <f t="shared" si="7"/>
        <v>업적설명 - 수호자 레벨을 Lv.1600까지 성장시키세요</v>
      </c>
      <c r="C76" s="17">
        <f t="shared" si="8"/>
        <v>52346</v>
      </c>
      <c r="D76" s="29" t="str">
        <f t="shared" si="11"/>
        <v>수호자 레벨을 Lv.1600까지 성장시키세요</v>
      </c>
      <c r="E76" s="29" t="str">
        <f t="shared" si="12"/>
        <v>Level up Guardain to 1600Lv</v>
      </c>
      <c r="F76" s="29" t="str">
        <f t="shared" si="10"/>
        <v>수호자 레벨을 Lv.1600까지 성장시키세요</v>
      </c>
      <c r="H76" s="28">
        <f>Achievement!J51</f>
        <v>1600</v>
      </c>
    </row>
    <row r="77" spans="1:8" x14ac:dyDescent="0.3">
      <c r="A77" s="28" t="b">
        <v>1</v>
      </c>
      <c r="B77" s="29" t="str">
        <f t="shared" si="7"/>
        <v>업적설명 - 수호자 레벨을 Lv.1650까지 성장시키세요</v>
      </c>
      <c r="C77" s="17">
        <f t="shared" si="8"/>
        <v>52347</v>
      </c>
      <c r="D77" s="29" t="str">
        <f t="shared" si="11"/>
        <v>수호자 레벨을 Lv.1650까지 성장시키세요</v>
      </c>
      <c r="E77" s="29" t="str">
        <f t="shared" si="12"/>
        <v>Level up Guardain to 1650Lv</v>
      </c>
      <c r="F77" s="29" t="str">
        <f t="shared" si="10"/>
        <v>수호자 레벨을 Lv.1650까지 성장시키세요</v>
      </c>
      <c r="H77" s="28">
        <f>Achievement!J52</f>
        <v>1650</v>
      </c>
    </row>
    <row r="78" spans="1:8" x14ac:dyDescent="0.3">
      <c r="A78" s="28" t="b">
        <v>1</v>
      </c>
      <c r="B78" s="29" t="str">
        <f t="shared" si="7"/>
        <v>업적설명 - 수호자 레벨을 Lv.1700까지 성장시키세요</v>
      </c>
      <c r="C78" s="17">
        <f t="shared" si="8"/>
        <v>52348</v>
      </c>
      <c r="D78" s="29" t="str">
        <f t="shared" si="11"/>
        <v>수호자 레벨을 Lv.1700까지 성장시키세요</v>
      </c>
      <c r="E78" s="29" t="str">
        <f t="shared" si="12"/>
        <v>Level up Guardain to 1700Lv</v>
      </c>
      <c r="F78" s="29" t="str">
        <f t="shared" si="10"/>
        <v>수호자 레벨을 Lv.1700까지 성장시키세요</v>
      </c>
      <c r="H78" s="28">
        <f>Achievement!J53</f>
        <v>1700</v>
      </c>
    </row>
    <row r="79" spans="1:8" x14ac:dyDescent="0.3">
      <c r="A79" s="28" t="b">
        <v>1</v>
      </c>
      <c r="B79" s="29" t="str">
        <f t="shared" si="7"/>
        <v>업적설명 - 수호자 레벨을 Lv.1750까지 성장시키세요</v>
      </c>
      <c r="C79" s="17">
        <f t="shared" si="8"/>
        <v>52349</v>
      </c>
      <c r="D79" s="29" t="str">
        <f t="shared" si="11"/>
        <v>수호자 레벨을 Lv.1750까지 성장시키세요</v>
      </c>
      <c r="E79" s="29" t="str">
        <f t="shared" si="12"/>
        <v>Level up Guardain to 1750Lv</v>
      </c>
      <c r="F79" s="29" t="str">
        <f t="shared" si="10"/>
        <v>수호자 레벨을 Lv.1750까지 성장시키세요</v>
      </c>
      <c r="H79" s="28">
        <f>Achievement!J54</f>
        <v>1750</v>
      </c>
    </row>
    <row r="80" spans="1:8" x14ac:dyDescent="0.3">
      <c r="A80" s="28" t="b">
        <v>1</v>
      </c>
      <c r="B80" s="29" t="str">
        <f t="shared" si="7"/>
        <v>업적설명 - 수호자 레벨을 Lv.1800까지 성장시키세요</v>
      </c>
      <c r="C80" s="17">
        <f t="shared" si="8"/>
        <v>52350</v>
      </c>
      <c r="D80" s="29" t="str">
        <f t="shared" si="11"/>
        <v>수호자 레벨을 Lv.1800까지 성장시키세요</v>
      </c>
      <c r="E80" s="29" t="str">
        <f t="shared" si="12"/>
        <v>Level up Guardain to 1800Lv</v>
      </c>
      <c r="F80" s="29" t="str">
        <f t="shared" si="10"/>
        <v>수호자 레벨을 Lv.1800까지 성장시키세요</v>
      </c>
      <c r="H80" s="28">
        <f>Achievement!J55</f>
        <v>1800</v>
      </c>
    </row>
    <row r="81" spans="1:8" x14ac:dyDescent="0.3">
      <c r="A81" s="28" t="b">
        <v>1</v>
      </c>
      <c r="B81" s="29" t="str">
        <f t="shared" si="7"/>
        <v>업적설명 - 수호자 레벨을 Lv.1850까지 성장시키세요</v>
      </c>
      <c r="C81" s="17">
        <f t="shared" si="8"/>
        <v>52351</v>
      </c>
      <c r="D81" s="29" t="str">
        <f t="shared" si="11"/>
        <v>수호자 레벨을 Lv.1850까지 성장시키세요</v>
      </c>
      <c r="E81" s="29" t="str">
        <f t="shared" si="12"/>
        <v>Level up Guardain to 1850Lv</v>
      </c>
      <c r="F81" s="29" t="str">
        <f t="shared" si="10"/>
        <v>수호자 레벨을 Lv.1850까지 성장시키세요</v>
      </c>
      <c r="H81" s="28">
        <f>Achievement!J56</f>
        <v>1850</v>
      </c>
    </row>
    <row r="82" spans="1:8" x14ac:dyDescent="0.3">
      <c r="A82" s="28" t="b">
        <v>1</v>
      </c>
      <c r="B82" s="29" t="str">
        <f t="shared" si="7"/>
        <v>업적설명 - 수호자 레벨을 Lv.1900까지 성장시키세요</v>
      </c>
      <c r="C82" s="17">
        <f t="shared" si="8"/>
        <v>52352</v>
      </c>
      <c r="D82" s="29" t="str">
        <f t="shared" si="11"/>
        <v>수호자 레벨을 Lv.1900까지 성장시키세요</v>
      </c>
      <c r="E82" s="29" t="str">
        <f t="shared" si="12"/>
        <v>Level up Guardain to 1900Lv</v>
      </c>
      <c r="F82" s="29" t="str">
        <f t="shared" si="10"/>
        <v>수호자 레벨을 Lv.1900까지 성장시키세요</v>
      </c>
      <c r="H82" s="28">
        <f>Achievement!J57</f>
        <v>1900</v>
      </c>
    </row>
    <row r="83" spans="1:8" x14ac:dyDescent="0.3">
      <c r="A83" s="28" t="b">
        <v>1</v>
      </c>
      <c r="B83" s="29" t="str">
        <f t="shared" si="7"/>
        <v>업적설명 - 수호자 레벨을 Lv.1950까지 성장시키세요</v>
      </c>
      <c r="C83" s="17">
        <f t="shared" si="8"/>
        <v>52353</v>
      </c>
      <c r="D83" s="29" t="str">
        <f t="shared" si="11"/>
        <v>수호자 레벨을 Lv.1950까지 성장시키세요</v>
      </c>
      <c r="E83" s="29" t="str">
        <f t="shared" si="12"/>
        <v>Level up Guardain to 1950Lv</v>
      </c>
      <c r="F83" s="29" t="str">
        <f t="shared" si="10"/>
        <v>수호자 레벨을 Lv.1950까지 성장시키세요</v>
      </c>
      <c r="H83" s="28">
        <f>Achievement!J58</f>
        <v>1950</v>
      </c>
    </row>
    <row r="84" spans="1:8" x14ac:dyDescent="0.3">
      <c r="A84" s="28" t="b">
        <v>1</v>
      </c>
      <c r="B84" s="29" t="str">
        <f t="shared" si="7"/>
        <v>업적설명 - 수호자 레벨을 Lv.2000까지 성장시키세요</v>
      </c>
      <c r="C84" s="17">
        <f t="shared" si="8"/>
        <v>52354</v>
      </c>
      <c r="D84" s="29" t="str">
        <f t="shared" si="11"/>
        <v>수호자 레벨을 Lv.2000까지 성장시키세요</v>
      </c>
      <c r="E84" s="29" t="str">
        <f t="shared" si="12"/>
        <v>Level up Guardain to 2000Lv</v>
      </c>
      <c r="F84" s="29" t="str">
        <f t="shared" si="10"/>
        <v>수호자 레벨을 Lv.2000까지 성장시키세요</v>
      </c>
      <c r="H84" s="28">
        <f>Achievement!J59</f>
        <v>2000</v>
      </c>
    </row>
    <row r="85" spans="1:8" x14ac:dyDescent="0.3">
      <c r="A85" s="32" t="b">
        <v>1</v>
      </c>
      <c r="B85" s="33" t="str">
        <f t="shared" si="7"/>
        <v>업적설명 - 캐릭터 스킬을 5회 강화하세요</v>
      </c>
      <c r="C85" s="16">
        <f t="shared" si="8"/>
        <v>52355</v>
      </c>
      <c r="D85" s="33" t="str">
        <f>"캐릭터 스킬을 " &amp; H85 &amp; "회 강화하세요"</f>
        <v>캐릭터 스킬을 5회 강화하세요</v>
      </c>
      <c r="E85" s="33" t="str">
        <f xml:space="preserve"> "Upgrade Charater skill " &amp; H85 &amp; " times"</f>
        <v>Upgrade Charater skill 5 times</v>
      </c>
      <c r="F85" s="33" t="str">
        <f t="shared" si="10"/>
        <v>캐릭터 스킬을 5회 강화하세요</v>
      </c>
      <c r="H85" s="32">
        <f>Achievement!J60</f>
        <v>5</v>
      </c>
    </row>
    <row r="86" spans="1:8" x14ac:dyDescent="0.3">
      <c r="A86" s="32" t="b">
        <v>1</v>
      </c>
      <c r="B86" s="33" t="str">
        <f t="shared" si="7"/>
        <v>업적설명 - 캐릭터 스킬을 10회 강화하세요</v>
      </c>
      <c r="C86" s="14">
        <f t="shared" si="8"/>
        <v>52356</v>
      </c>
      <c r="D86" s="33" t="str">
        <f t="shared" ref="D86:D92" si="13">"캐릭터 스킬을 " &amp; H86 &amp; "회 강화하세요"</f>
        <v>캐릭터 스킬을 10회 강화하세요</v>
      </c>
      <c r="E86" s="33" t="str">
        <f t="shared" ref="E86:E92" si="14" xml:space="preserve"> "Upgrade Charater skill " &amp; H86 &amp; " times"</f>
        <v>Upgrade Charater skill 10 times</v>
      </c>
      <c r="F86" s="33" t="str">
        <f t="shared" si="10"/>
        <v>캐릭터 스킬을 10회 강화하세요</v>
      </c>
      <c r="H86" s="32">
        <f>Achievement!J61</f>
        <v>10</v>
      </c>
    </row>
    <row r="87" spans="1:8" x14ac:dyDescent="0.3">
      <c r="A87" s="32" t="b">
        <v>1</v>
      </c>
      <c r="B87" s="33" t="str">
        <f t="shared" si="7"/>
        <v>업적설명 - 캐릭터 스킬을 15회 강화하세요</v>
      </c>
      <c r="C87" s="14">
        <f t="shared" si="8"/>
        <v>52357</v>
      </c>
      <c r="D87" s="33" t="str">
        <f t="shared" si="13"/>
        <v>캐릭터 스킬을 15회 강화하세요</v>
      </c>
      <c r="E87" s="33" t="str">
        <f t="shared" si="14"/>
        <v>Upgrade Charater skill 15 times</v>
      </c>
      <c r="F87" s="33" t="str">
        <f t="shared" si="10"/>
        <v>캐릭터 스킬을 15회 강화하세요</v>
      </c>
      <c r="H87" s="32">
        <f>Achievement!J62</f>
        <v>15</v>
      </c>
    </row>
    <row r="88" spans="1:8" x14ac:dyDescent="0.3">
      <c r="A88" s="32" t="b">
        <v>1</v>
      </c>
      <c r="B88" s="33" t="str">
        <f t="shared" si="7"/>
        <v>업적설명 - 캐릭터 스킬을 20회 강화하세요</v>
      </c>
      <c r="C88" s="14">
        <f t="shared" si="8"/>
        <v>52358</v>
      </c>
      <c r="D88" s="33" t="str">
        <f t="shared" si="13"/>
        <v>캐릭터 스킬을 20회 강화하세요</v>
      </c>
      <c r="E88" s="33" t="str">
        <f t="shared" si="14"/>
        <v>Upgrade Charater skill 20 times</v>
      </c>
      <c r="F88" s="33" t="str">
        <f t="shared" si="10"/>
        <v>캐릭터 스킬을 20회 강화하세요</v>
      </c>
      <c r="H88" s="32">
        <f>Achievement!J63</f>
        <v>20</v>
      </c>
    </row>
    <row r="89" spans="1:8" x14ac:dyDescent="0.3">
      <c r="A89" s="32" t="b">
        <v>1</v>
      </c>
      <c r="B89" s="33" t="str">
        <f t="shared" si="7"/>
        <v>업적설명 - 캐릭터 스킬을 30회 강화하세요</v>
      </c>
      <c r="C89" s="14">
        <f t="shared" si="8"/>
        <v>52359</v>
      </c>
      <c r="D89" s="33" t="str">
        <f t="shared" si="13"/>
        <v>캐릭터 스킬을 30회 강화하세요</v>
      </c>
      <c r="E89" s="33" t="str">
        <f t="shared" si="14"/>
        <v>Upgrade Charater skill 30 times</v>
      </c>
      <c r="F89" s="33" t="str">
        <f t="shared" si="10"/>
        <v>캐릭터 스킬을 30회 강화하세요</v>
      </c>
      <c r="H89" s="32">
        <f>Achievement!J64</f>
        <v>30</v>
      </c>
    </row>
    <row r="90" spans="1:8" x14ac:dyDescent="0.3">
      <c r="A90" s="32" t="b">
        <v>1</v>
      </c>
      <c r="B90" s="33" t="str">
        <f t="shared" si="7"/>
        <v>업적설명 - 캐릭터 스킬을 40회 강화하세요</v>
      </c>
      <c r="C90" s="14">
        <f t="shared" si="8"/>
        <v>52360</v>
      </c>
      <c r="D90" s="33" t="str">
        <f t="shared" si="13"/>
        <v>캐릭터 스킬을 40회 강화하세요</v>
      </c>
      <c r="E90" s="33" t="str">
        <f t="shared" si="14"/>
        <v>Upgrade Charater skill 40 times</v>
      </c>
      <c r="F90" s="33" t="str">
        <f t="shared" si="10"/>
        <v>캐릭터 스킬을 40회 강화하세요</v>
      </c>
      <c r="H90" s="32">
        <f>Achievement!J65</f>
        <v>40</v>
      </c>
    </row>
    <row r="91" spans="1:8" x14ac:dyDescent="0.3">
      <c r="A91" s="32" t="b">
        <v>1</v>
      </c>
      <c r="B91" s="33" t="str">
        <f t="shared" si="7"/>
        <v>업적설명 - 캐릭터 스킬을 50회 강화하세요</v>
      </c>
      <c r="C91" s="14">
        <f t="shared" si="8"/>
        <v>52361</v>
      </c>
      <c r="D91" s="33" t="str">
        <f t="shared" si="13"/>
        <v>캐릭터 스킬을 50회 강화하세요</v>
      </c>
      <c r="E91" s="33" t="str">
        <f t="shared" si="14"/>
        <v>Upgrade Charater skill 50 times</v>
      </c>
      <c r="F91" s="33" t="str">
        <f t="shared" si="10"/>
        <v>캐릭터 스킬을 50회 강화하세요</v>
      </c>
      <c r="H91" s="32">
        <f>Achievement!J66</f>
        <v>50</v>
      </c>
    </row>
    <row r="92" spans="1:8" x14ac:dyDescent="0.3">
      <c r="A92" s="32" t="b">
        <v>1</v>
      </c>
      <c r="B92" s="33" t="str">
        <f t="shared" si="7"/>
        <v>업적설명 - 캐릭터 스킬을 60회 강화하세요</v>
      </c>
      <c r="C92" s="14">
        <f t="shared" si="8"/>
        <v>52362</v>
      </c>
      <c r="D92" s="33" t="str">
        <f t="shared" si="13"/>
        <v>캐릭터 스킬을 60회 강화하세요</v>
      </c>
      <c r="E92" s="33" t="str">
        <f t="shared" si="14"/>
        <v>Upgrade Charater skill 60 times</v>
      </c>
      <c r="F92" s="33" t="str">
        <f t="shared" si="10"/>
        <v>캐릭터 스킬을 60회 강화하세요</v>
      </c>
      <c r="H92" s="32">
        <f>Achievement!J67</f>
        <v>60</v>
      </c>
    </row>
    <row r="93" spans="1:8" x14ac:dyDescent="0.3">
      <c r="A93" s="28" t="b">
        <v>1</v>
      </c>
      <c r="B93" s="29" t="str">
        <f t="shared" ref="B93:B109" si="15">"업적설명 - " &amp;D93</f>
        <v>업적설명 - 캐릭터 스킬을 1회 초기화하세요</v>
      </c>
      <c r="C93" s="16">
        <f t="shared" si="8"/>
        <v>52363</v>
      </c>
      <c r="D93" s="29" t="str">
        <f>"캐릭터 스킬을 " &amp; H93 &amp; "회 초기화하세요"</f>
        <v>캐릭터 스킬을 1회 초기화하세요</v>
      </c>
      <c r="E93" s="29" t="str">
        <f xml:space="preserve"> "Reset Character skill " &amp; H93 &amp; " time"</f>
        <v>Reset Character skill 1 time</v>
      </c>
      <c r="F93" s="29" t="str">
        <f t="shared" si="10"/>
        <v>캐릭터 스킬을 1회 초기화하세요</v>
      </c>
      <c r="H93" s="28">
        <f>Achievement!J68</f>
        <v>1</v>
      </c>
    </row>
    <row r="94" spans="1:8" x14ac:dyDescent="0.3">
      <c r="A94" s="28" t="b">
        <v>1</v>
      </c>
      <c r="B94" s="29" t="str">
        <f t="shared" si="15"/>
        <v>업적설명 - 캐릭터 스킬을 3회 초기화하세요</v>
      </c>
      <c r="C94" s="17">
        <f t="shared" si="8"/>
        <v>52364</v>
      </c>
      <c r="D94" s="29" t="str">
        <f t="shared" ref="D94" si="16">"캐릭터 스킬을 " &amp; H94 &amp; "회 초기화하세요"</f>
        <v>캐릭터 스킬을 3회 초기화하세요</v>
      </c>
      <c r="E94" s="29" t="str">
        <f xml:space="preserve"> "Reset Character skill " &amp; H94 &amp; " times"</f>
        <v>Reset Character skill 3 times</v>
      </c>
      <c r="F94" s="29" t="str">
        <f t="shared" si="10"/>
        <v>캐릭터 스킬을 3회 초기화하세요</v>
      </c>
      <c r="H94" s="28">
        <f>Achievement!J69</f>
        <v>3</v>
      </c>
    </row>
    <row r="95" spans="1:8" x14ac:dyDescent="0.3">
      <c r="A95" s="32" t="b">
        <v>1</v>
      </c>
      <c r="B95" s="33" t="str">
        <f t="shared" si="15"/>
        <v>업적설명 - 수호자 스킬을 10회 강화하세요</v>
      </c>
      <c r="C95" s="16">
        <f t="shared" si="8"/>
        <v>52365</v>
      </c>
      <c r="D95" s="33" t="str">
        <f>"수호자 스킬을 " &amp; H95 &amp; "회 강화하세요"</f>
        <v>수호자 스킬을 10회 강화하세요</v>
      </c>
      <c r="E95" s="33" t="str">
        <f xml:space="preserve"> "Upgrade guardian skill " &amp; H95 &amp; " times"</f>
        <v>Upgrade guardian skill 10 times</v>
      </c>
      <c r="F95" s="33" t="str">
        <f t="shared" ref="F95:F117" si="17">D95</f>
        <v>수호자 스킬을 10회 강화하세요</v>
      </c>
      <c r="H95" s="32">
        <f>Achievement!J70</f>
        <v>10</v>
      </c>
    </row>
    <row r="96" spans="1:8" x14ac:dyDescent="0.3">
      <c r="A96" s="32" t="b">
        <v>1</v>
      </c>
      <c r="B96" s="33" t="str">
        <f t="shared" si="15"/>
        <v>업적설명 - 수호자 스킬을 30회 강화하세요</v>
      </c>
      <c r="C96" s="14">
        <f t="shared" ref="C96:C159" si="18">C95+1</f>
        <v>52366</v>
      </c>
      <c r="D96" s="33" t="str">
        <f t="shared" ref="D96:D107" si="19">"수호자 스킬을 " &amp; H96 &amp; "회 강화하세요"</f>
        <v>수호자 스킬을 30회 강화하세요</v>
      </c>
      <c r="E96" s="33" t="str">
        <f t="shared" ref="E96:E107" si="20" xml:space="preserve"> "Upgrade guardian skill " &amp; H96 &amp; " times"</f>
        <v>Upgrade guardian skill 30 times</v>
      </c>
      <c r="F96" s="33" t="str">
        <f t="shared" si="17"/>
        <v>수호자 스킬을 30회 강화하세요</v>
      </c>
      <c r="H96" s="32">
        <f>Achievement!J71</f>
        <v>30</v>
      </c>
    </row>
    <row r="97" spans="1:8" x14ac:dyDescent="0.3">
      <c r="A97" s="32" t="b">
        <v>1</v>
      </c>
      <c r="B97" s="33" t="str">
        <f t="shared" si="15"/>
        <v>업적설명 - 수호자 스킬을 60회 강화하세요</v>
      </c>
      <c r="C97" s="14">
        <f t="shared" si="18"/>
        <v>52367</v>
      </c>
      <c r="D97" s="33" t="str">
        <f t="shared" si="19"/>
        <v>수호자 스킬을 60회 강화하세요</v>
      </c>
      <c r="E97" s="33" t="str">
        <f t="shared" si="20"/>
        <v>Upgrade guardian skill 60 times</v>
      </c>
      <c r="F97" s="33" t="str">
        <f t="shared" si="17"/>
        <v>수호자 스킬을 60회 강화하세요</v>
      </c>
      <c r="H97" s="32">
        <f>Achievement!J72</f>
        <v>60</v>
      </c>
    </row>
    <row r="98" spans="1:8" x14ac:dyDescent="0.3">
      <c r="A98" s="32" t="b">
        <v>1</v>
      </c>
      <c r="B98" s="33" t="str">
        <f t="shared" si="15"/>
        <v>업적설명 - 수호자 스킬을 100회 강화하세요</v>
      </c>
      <c r="C98" s="14">
        <f t="shared" si="18"/>
        <v>52368</v>
      </c>
      <c r="D98" s="33" t="str">
        <f t="shared" si="19"/>
        <v>수호자 스킬을 100회 강화하세요</v>
      </c>
      <c r="E98" s="33" t="str">
        <f t="shared" si="20"/>
        <v>Upgrade guardian skill 100 times</v>
      </c>
      <c r="F98" s="33" t="str">
        <f t="shared" si="17"/>
        <v>수호자 스킬을 100회 강화하세요</v>
      </c>
      <c r="H98" s="32">
        <f>Achievement!J73</f>
        <v>100</v>
      </c>
    </row>
    <row r="99" spans="1:8" x14ac:dyDescent="0.3">
      <c r="A99" s="32" t="b">
        <v>1</v>
      </c>
      <c r="B99" s="33" t="str">
        <f t="shared" si="15"/>
        <v>업적설명 - 수호자 스킬을 150회 강화하세요</v>
      </c>
      <c r="C99" s="14">
        <f t="shared" si="18"/>
        <v>52369</v>
      </c>
      <c r="D99" s="33" t="str">
        <f t="shared" si="19"/>
        <v>수호자 스킬을 150회 강화하세요</v>
      </c>
      <c r="E99" s="33" t="str">
        <f t="shared" si="20"/>
        <v>Upgrade guardian skill 150 times</v>
      </c>
      <c r="F99" s="33" t="str">
        <f t="shared" si="17"/>
        <v>수호자 스킬을 150회 강화하세요</v>
      </c>
      <c r="H99" s="32">
        <f>Achievement!J74</f>
        <v>150</v>
      </c>
    </row>
    <row r="100" spans="1:8" x14ac:dyDescent="0.3">
      <c r="A100" s="32" t="b">
        <v>1</v>
      </c>
      <c r="B100" s="33" t="str">
        <f t="shared" si="15"/>
        <v>업적설명 - 수호자 스킬을 200회 강화하세요</v>
      </c>
      <c r="C100" s="14">
        <f t="shared" si="18"/>
        <v>52370</v>
      </c>
      <c r="D100" s="33" t="str">
        <f t="shared" si="19"/>
        <v>수호자 스킬을 200회 강화하세요</v>
      </c>
      <c r="E100" s="33" t="str">
        <f t="shared" si="20"/>
        <v>Upgrade guardian skill 200 times</v>
      </c>
      <c r="F100" s="33" t="str">
        <f t="shared" si="17"/>
        <v>수호자 스킬을 200회 강화하세요</v>
      </c>
      <c r="H100" s="32">
        <f>Achievement!J75</f>
        <v>200</v>
      </c>
    </row>
    <row r="101" spans="1:8" x14ac:dyDescent="0.3">
      <c r="A101" s="32" t="b">
        <v>1</v>
      </c>
      <c r="B101" s="33" t="str">
        <f t="shared" si="15"/>
        <v>업적설명 - 수호자 스킬을 300회 강화하세요</v>
      </c>
      <c r="C101" s="14">
        <f t="shared" si="18"/>
        <v>52371</v>
      </c>
      <c r="D101" s="33" t="str">
        <f t="shared" si="19"/>
        <v>수호자 스킬을 300회 강화하세요</v>
      </c>
      <c r="E101" s="33" t="str">
        <f t="shared" si="20"/>
        <v>Upgrade guardian skill 300 times</v>
      </c>
      <c r="F101" s="33" t="str">
        <f t="shared" si="17"/>
        <v>수호자 스킬을 300회 강화하세요</v>
      </c>
      <c r="H101" s="32">
        <f>Achievement!J76</f>
        <v>300</v>
      </c>
    </row>
    <row r="102" spans="1:8" x14ac:dyDescent="0.3">
      <c r="A102" s="32" t="b">
        <v>1</v>
      </c>
      <c r="B102" s="33" t="str">
        <f t="shared" si="15"/>
        <v>업적설명 - 수호자 스킬을 400회 강화하세요</v>
      </c>
      <c r="C102" s="14">
        <f t="shared" si="18"/>
        <v>52372</v>
      </c>
      <c r="D102" s="33" t="str">
        <f t="shared" si="19"/>
        <v>수호자 스킬을 400회 강화하세요</v>
      </c>
      <c r="E102" s="33" t="str">
        <f t="shared" si="20"/>
        <v>Upgrade guardian skill 400 times</v>
      </c>
      <c r="F102" s="33" t="str">
        <f t="shared" si="17"/>
        <v>수호자 스킬을 400회 강화하세요</v>
      </c>
      <c r="H102" s="32">
        <f>Achievement!J77</f>
        <v>400</v>
      </c>
    </row>
    <row r="103" spans="1:8" x14ac:dyDescent="0.3">
      <c r="A103" s="32" t="b">
        <v>1</v>
      </c>
      <c r="B103" s="33" t="str">
        <f t="shared" si="15"/>
        <v>업적설명 - 수호자 스킬을 500회 강화하세요</v>
      </c>
      <c r="C103" s="14">
        <f t="shared" si="18"/>
        <v>52373</v>
      </c>
      <c r="D103" s="33" t="str">
        <f t="shared" si="19"/>
        <v>수호자 스킬을 500회 강화하세요</v>
      </c>
      <c r="E103" s="33" t="str">
        <f t="shared" si="20"/>
        <v>Upgrade guardian skill 500 times</v>
      </c>
      <c r="F103" s="33" t="str">
        <f t="shared" si="17"/>
        <v>수호자 스킬을 500회 강화하세요</v>
      </c>
      <c r="H103" s="32">
        <f>Achievement!J78</f>
        <v>500</v>
      </c>
    </row>
    <row r="104" spans="1:8" x14ac:dyDescent="0.3">
      <c r="A104" s="32" t="b">
        <v>1</v>
      </c>
      <c r="B104" s="33" t="str">
        <f t="shared" si="15"/>
        <v>업적설명 - 수호자 스킬을 750회 강화하세요</v>
      </c>
      <c r="C104" s="14">
        <f t="shared" si="18"/>
        <v>52374</v>
      </c>
      <c r="D104" s="33" t="str">
        <f t="shared" si="19"/>
        <v>수호자 스킬을 750회 강화하세요</v>
      </c>
      <c r="E104" s="33" t="str">
        <f t="shared" si="20"/>
        <v>Upgrade guardian skill 750 times</v>
      </c>
      <c r="F104" s="33" t="str">
        <f t="shared" si="17"/>
        <v>수호자 스킬을 750회 강화하세요</v>
      </c>
      <c r="H104" s="32">
        <f>Achievement!J79</f>
        <v>750</v>
      </c>
    </row>
    <row r="105" spans="1:8" x14ac:dyDescent="0.3">
      <c r="A105" s="32" t="b">
        <v>1</v>
      </c>
      <c r="B105" s="33" t="str">
        <f t="shared" si="15"/>
        <v>업적설명 - 수호자 스킬을 1000회 강화하세요</v>
      </c>
      <c r="C105" s="14">
        <f t="shared" si="18"/>
        <v>52375</v>
      </c>
      <c r="D105" s="33" t="str">
        <f t="shared" si="19"/>
        <v>수호자 스킬을 1000회 강화하세요</v>
      </c>
      <c r="E105" s="33" t="str">
        <f t="shared" si="20"/>
        <v>Upgrade guardian skill 1000 times</v>
      </c>
      <c r="F105" s="33" t="str">
        <f t="shared" si="17"/>
        <v>수호자 스킬을 1000회 강화하세요</v>
      </c>
      <c r="H105" s="32">
        <f>Achievement!J80</f>
        <v>1000</v>
      </c>
    </row>
    <row r="106" spans="1:8" x14ac:dyDescent="0.3">
      <c r="A106" s="32" t="b">
        <v>1</v>
      </c>
      <c r="B106" s="33" t="str">
        <f t="shared" si="15"/>
        <v>업적설명 - 수호자 스킬을 1500회 강화하세요</v>
      </c>
      <c r="C106" s="14">
        <f t="shared" si="18"/>
        <v>52376</v>
      </c>
      <c r="D106" s="33" t="str">
        <f t="shared" si="19"/>
        <v>수호자 스킬을 1500회 강화하세요</v>
      </c>
      <c r="E106" s="33" t="str">
        <f t="shared" si="20"/>
        <v>Upgrade guardian skill 1500 times</v>
      </c>
      <c r="F106" s="33" t="str">
        <f t="shared" si="17"/>
        <v>수호자 스킬을 1500회 강화하세요</v>
      </c>
      <c r="H106" s="32">
        <f>Achievement!J81</f>
        <v>1500</v>
      </c>
    </row>
    <row r="107" spans="1:8" x14ac:dyDescent="0.3">
      <c r="A107" s="32" t="b">
        <v>1</v>
      </c>
      <c r="B107" s="33" t="str">
        <f t="shared" si="15"/>
        <v>업적설명 - 수호자 스킬을 2000회 강화하세요</v>
      </c>
      <c r="C107" s="14">
        <f t="shared" si="18"/>
        <v>52377</v>
      </c>
      <c r="D107" s="33" t="str">
        <f t="shared" si="19"/>
        <v>수호자 스킬을 2000회 강화하세요</v>
      </c>
      <c r="E107" s="33" t="str">
        <f t="shared" si="20"/>
        <v>Upgrade guardian skill 2000 times</v>
      </c>
      <c r="F107" s="33" t="str">
        <f t="shared" si="17"/>
        <v>수호자 스킬을 2000회 강화하세요</v>
      </c>
      <c r="H107" s="32">
        <f>Achievement!J82</f>
        <v>2000</v>
      </c>
    </row>
    <row r="108" spans="1:8" x14ac:dyDescent="0.3">
      <c r="A108" s="28" t="b">
        <v>1</v>
      </c>
      <c r="B108" s="29" t="str">
        <f t="shared" si="15"/>
        <v>업적설명 - 수호자 스킬을 1회 초기화하세요</v>
      </c>
      <c r="C108" s="16">
        <f t="shared" si="18"/>
        <v>52378</v>
      </c>
      <c r="D108" s="29" t="str">
        <f>"수호자 스킬을 " &amp; H108 &amp; "회 초기화하세요"</f>
        <v>수호자 스킬을 1회 초기화하세요</v>
      </c>
      <c r="E108" s="29" t="str">
        <f xml:space="preserve"> "Reset guardian skill " &amp; H108 &amp; " time"</f>
        <v>Reset guardian skill 1 time</v>
      </c>
      <c r="F108" s="29" t="str">
        <f t="shared" si="17"/>
        <v>수호자 스킬을 1회 초기화하세요</v>
      </c>
      <c r="H108" s="28">
        <f>Achievement!J83</f>
        <v>1</v>
      </c>
    </row>
    <row r="109" spans="1:8" x14ac:dyDescent="0.3">
      <c r="A109" s="28" t="b">
        <v>1</v>
      </c>
      <c r="B109" s="29" t="str">
        <f t="shared" si="15"/>
        <v>업적설명 - 수호자 스킬을 3회 초기화하세요</v>
      </c>
      <c r="C109" s="17">
        <f t="shared" si="18"/>
        <v>52379</v>
      </c>
      <c r="D109" s="29" t="str">
        <f t="shared" ref="D109" si="21">"수호자 스킬을 " &amp; H109 &amp; "회 초기화하세요"</f>
        <v>수호자 스킬을 3회 초기화하세요</v>
      </c>
      <c r="E109" s="29" t="str">
        <f xml:space="preserve"> "Reset guardian skill " &amp; H109 &amp; " times"</f>
        <v>Reset guardian skill 3 times</v>
      </c>
      <c r="F109" s="29" t="str">
        <f t="shared" si="17"/>
        <v>수호자 스킬을 3회 초기화하세요</v>
      </c>
      <c r="H109" s="28">
        <f>Achievement!J84</f>
        <v>3</v>
      </c>
    </row>
    <row r="110" spans="1:8" x14ac:dyDescent="0.3">
      <c r="A110" s="27" t="b">
        <v>1</v>
      </c>
      <c r="B110" s="33" t="str">
        <f t="shared" ref="B110:B172" si="22">"업적설명 - " &amp;D110</f>
        <v>업적설명 - 수호석을 1개 획득하세요</v>
      </c>
      <c r="C110" s="16">
        <f t="shared" si="18"/>
        <v>52380</v>
      </c>
      <c r="D110" s="33" t="str">
        <f>"수호석을 " &amp; H110 &amp; "개 획득하세요"</f>
        <v>수호석을 1개 획득하세요</v>
      </c>
      <c r="E110" s="26" t="str">
        <f xml:space="preserve"> "Obtain " &amp; H110 &amp; " guardian stone"</f>
        <v>Obtain 1 guardian stone</v>
      </c>
      <c r="F110" s="33" t="str">
        <f t="shared" si="17"/>
        <v>수호석을 1개 획득하세요</v>
      </c>
      <c r="H110" s="27">
        <f>Achievement!J85</f>
        <v>1</v>
      </c>
    </row>
    <row r="111" spans="1:8" x14ac:dyDescent="0.3">
      <c r="A111" s="27" t="b">
        <v>1</v>
      </c>
      <c r="B111" s="33" t="str">
        <f t="shared" si="22"/>
        <v>업적설명 - 수호석을 3개 획득하세요</v>
      </c>
      <c r="C111" s="14">
        <f t="shared" si="18"/>
        <v>52381</v>
      </c>
      <c r="D111" s="33" t="str">
        <f t="shared" ref="D111:D116" si="23">"수호석을 " &amp; H111 &amp; "개 획득하세요"</f>
        <v>수호석을 3개 획득하세요</v>
      </c>
      <c r="E111" s="26" t="str">
        <f xml:space="preserve"> "Obtain " &amp; H111 &amp; " guardian stones"</f>
        <v>Obtain 3 guardian stones</v>
      </c>
      <c r="F111" s="33" t="str">
        <f t="shared" si="17"/>
        <v>수호석을 3개 획득하세요</v>
      </c>
      <c r="H111" s="27">
        <f>Achievement!J86</f>
        <v>3</v>
      </c>
    </row>
    <row r="112" spans="1:8" x14ac:dyDescent="0.3">
      <c r="A112" s="27" t="b">
        <v>1</v>
      </c>
      <c r="B112" s="33" t="str">
        <f t="shared" si="22"/>
        <v>업적설명 - 수호석을 5개 획득하세요</v>
      </c>
      <c r="C112" s="14">
        <f t="shared" si="18"/>
        <v>52382</v>
      </c>
      <c r="D112" s="33" t="str">
        <f t="shared" si="23"/>
        <v>수호석을 5개 획득하세요</v>
      </c>
      <c r="E112" s="26" t="str">
        <f t="shared" ref="E112:E116" si="24" xml:space="preserve"> "Obtain " &amp; H112 &amp; " guardian stones"</f>
        <v>Obtain 5 guardian stones</v>
      </c>
      <c r="F112" s="33" t="str">
        <f t="shared" si="17"/>
        <v>수호석을 5개 획득하세요</v>
      </c>
      <c r="H112" s="27">
        <f>Achievement!J87</f>
        <v>5</v>
      </c>
    </row>
    <row r="113" spans="1:8" x14ac:dyDescent="0.3">
      <c r="A113" s="27" t="b">
        <v>1</v>
      </c>
      <c r="B113" s="33" t="str">
        <f t="shared" si="22"/>
        <v>업적설명 - 수호석을 7개 획득하세요</v>
      </c>
      <c r="C113" s="14">
        <f t="shared" si="18"/>
        <v>52383</v>
      </c>
      <c r="D113" s="33" t="str">
        <f t="shared" si="23"/>
        <v>수호석을 7개 획득하세요</v>
      </c>
      <c r="E113" s="26" t="str">
        <f t="shared" si="24"/>
        <v>Obtain 7 guardian stones</v>
      </c>
      <c r="F113" s="33" t="str">
        <f t="shared" si="17"/>
        <v>수호석을 7개 획득하세요</v>
      </c>
      <c r="H113" s="27">
        <f>Achievement!J88</f>
        <v>7</v>
      </c>
    </row>
    <row r="114" spans="1:8" x14ac:dyDescent="0.3">
      <c r="A114" s="27" t="b">
        <v>1</v>
      </c>
      <c r="B114" s="33" t="str">
        <f t="shared" si="22"/>
        <v>업적설명 - 수호석을 10개 획득하세요</v>
      </c>
      <c r="C114" s="14">
        <f t="shared" si="18"/>
        <v>52384</v>
      </c>
      <c r="D114" s="33" t="str">
        <f t="shared" si="23"/>
        <v>수호석을 10개 획득하세요</v>
      </c>
      <c r="E114" s="26" t="str">
        <f t="shared" si="24"/>
        <v>Obtain 10 guardian stones</v>
      </c>
      <c r="F114" s="33" t="str">
        <f t="shared" si="17"/>
        <v>수호석을 10개 획득하세요</v>
      </c>
      <c r="H114" s="27">
        <f>Achievement!J89</f>
        <v>10</v>
      </c>
    </row>
    <row r="115" spans="1:8" x14ac:dyDescent="0.3">
      <c r="A115" s="27" t="b">
        <v>1</v>
      </c>
      <c r="B115" s="33" t="str">
        <f t="shared" si="22"/>
        <v>업적설명 - 수호석을 12개 획득하세요</v>
      </c>
      <c r="C115" s="14">
        <f t="shared" si="18"/>
        <v>52385</v>
      </c>
      <c r="D115" s="33" t="str">
        <f t="shared" si="23"/>
        <v>수호석을 12개 획득하세요</v>
      </c>
      <c r="E115" s="26" t="str">
        <f t="shared" si="24"/>
        <v>Obtain 12 guardian stones</v>
      </c>
      <c r="F115" s="33" t="str">
        <f t="shared" si="17"/>
        <v>수호석을 12개 획득하세요</v>
      </c>
      <c r="H115" s="27">
        <f>Achievement!J90</f>
        <v>12</v>
      </c>
    </row>
    <row r="116" spans="1:8" x14ac:dyDescent="0.3">
      <c r="A116" s="27" t="b">
        <v>1</v>
      </c>
      <c r="B116" s="33" t="str">
        <f t="shared" si="22"/>
        <v>업적설명 - 수호석을 15개 획득하세요</v>
      </c>
      <c r="C116" s="14">
        <f t="shared" si="18"/>
        <v>52386</v>
      </c>
      <c r="D116" s="33" t="str">
        <f t="shared" si="23"/>
        <v>수호석을 15개 획득하세요</v>
      </c>
      <c r="E116" s="26" t="str">
        <f t="shared" si="24"/>
        <v>Obtain 15 guardian stones</v>
      </c>
      <c r="F116" s="33" t="str">
        <f t="shared" si="17"/>
        <v>수호석을 15개 획득하세요</v>
      </c>
      <c r="H116" s="27">
        <f>Achievement!J91</f>
        <v>15</v>
      </c>
    </row>
    <row r="117" spans="1:8" x14ac:dyDescent="0.3">
      <c r="A117" s="28" t="b">
        <v>1</v>
      </c>
      <c r="B117" s="29" t="str">
        <f t="shared" si="22"/>
        <v>업적설명 - 수호석 업그레이드를 Lv.1까지 달성하세요</v>
      </c>
      <c r="C117" s="16">
        <f t="shared" si="18"/>
        <v>52387</v>
      </c>
      <c r="D117" s="29" t="str">
        <f>"수호석 업그레이드를 Lv." &amp; H117 &amp; "까지 달성하세요"</f>
        <v>수호석 업그레이드를 Lv.1까지 달성하세요</v>
      </c>
      <c r="E117" s="29" t="str">
        <f xml:space="preserve"> "Upgrade guardian stone to " &amp; H117 &amp; "Lv"</f>
        <v>Upgrade guardian stone to 1Lv</v>
      </c>
      <c r="F117" s="29" t="str">
        <f t="shared" si="17"/>
        <v>수호석 업그레이드를 Lv.1까지 달성하세요</v>
      </c>
      <c r="H117" s="28">
        <f>Achievement!J92</f>
        <v>1</v>
      </c>
    </row>
    <row r="118" spans="1:8" x14ac:dyDescent="0.3">
      <c r="A118" s="28" t="b">
        <v>1</v>
      </c>
      <c r="B118" s="29" t="str">
        <f t="shared" si="22"/>
        <v>업적설명 - 수호석 업그레이드를 Lv.5까지 달성하세요</v>
      </c>
      <c r="C118" s="17">
        <f t="shared" si="18"/>
        <v>52388</v>
      </c>
      <c r="D118" s="29" t="str">
        <f t="shared" ref="D118:D138" si="25">"수호석 업그레이드를 Lv." &amp; H118 &amp; "까지 달성하세요"</f>
        <v>수호석 업그레이드를 Lv.5까지 달성하세요</v>
      </c>
      <c r="E118" s="29" t="str">
        <f t="shared" ref="E118:E138" si="26" xml:space="preserve"> "Upgrade guardian stone to " &amp; H118 &amp; "Lv"</f>
        <v>Upgrade guardian stone to 5Lv</v>
      </c>
      <c r="F118" s="29" t="str">
        <f t="shared" ref="F118:F181" si="27">D118</f>
        <v>수호석 업그레이드를 Lv.5까지 달성하세요</v>
      </c>
      <c r="H118" s="28">
        <f>Achievement!J93</f>
        <v>5</v>
      </c>
    </row>
    <row r="119" spans="1:8" x14ac:dyDescent="0.3">
      <c r="A119" s="28" t="b">
        <v>1</v>
      </c>
      <c r="B119" s="29" t="str">
        <f t="shared" si="22"/>
        <v>업적설명 - 수호석 업그레이드를 Lv.10까지 달성하세요</v>
      </c>
      <c r="C119" s="17">
        <f t="shared" si="18"/>
        <v>52389</v>
      </c>
      <c r="D119" s="29" t="str">
        <f t="shared" si="25"/>
        <v>수호석 업그레이드를 Lv.10까지 달성하세요</v>
      </c>
      <c r="E119" s="29" t="str">
        <f t="shared" si="26"/>
        <v>Upgrade guardian stone to 10Lv</v>
      </c>
      <c r="F119" s="29" t="str">
        <f t="shared" si="27"/>
        <v>수호석 업그레이드를 Lv.10까지 달성하세요</v>
      </c>
      <c r="H119" s="28">
        <f>Achievement!J94</f>
        <v>10</v>
      </c>
    </row>
    <row r="120" spans="1:8" x14ac:dyDescent="0.3">
      <c r="A120" s="28" t="b">
        <v>1</v>
      </c>
      <c r="B120" s="29" t="str">
        <f t="shared" si="22"/>
        <v>업적설명 - 수호석 업그레이드를 Lv.20까지 달성하세요</v>
      </c>
      <c r="C120" s="17">
        <f t="shared" si="18"/>
        <v>52390</v>
      </c>
      <c r="D120" s="29" t="str">
        <f t="shared" si="25"/>
        <v>수호석 업그레이드를 Lv.20까지 달성하세요</v>
      </c>
      <c r="E120" s="29" t="str">
        <f t="shared" si="26"/>
        <v>Upgrade guardian stone to 20Lv</v>
      </c>
      <c r="F120" s="29" t="str">
        <f t="shared" si="27"/>
        <v>수호석 업그레이드를 Lv.20까지 달성하세요</v>
      </c>
      <c r="H120" s="28">
        <f>Achievement!J95</f>
        <v>20</v>
      </c>
    </row>
    <row r="121" spans="1:8" x14ac:dyDescent="0.3">
      <c r="A121" s="28" t="b">
        <v>1</v>
      </c>
      <c r="B121" s="29" t="str">
        <f t="shared" si="22"/>
        <v>업적설명 - 수호석 업그레이드를 Lv.30까지 달성하세요</v>
      </c>
      <c r="C121" s="17">
        <f t="shared" si="18"/>
        <v>52391</v>
      </c>
      <c r="D121" s="29" t="str">
        <f t="shared" si="25"/>
        <v>수호석 업그레이드를 Lv.30까지 달성하세요</v>
      </c>
      <c r="E121" s="29" t="str">
        <f t="shared" si="26"/>
        <v>Upgrade guardian stone to 30Lv</v>
      </c>
      <c r="F121" s="29" t="str">
        <f t="shared" si="27"/>
        <v>수호석 업그레이드를 Lv.30까지 달성하세요</v>
      </c>
      <c r="H121" s="28">
        <f>Achievement!J96</f>
        <v>30</v>
      </c>
    </row>
    <row r="122" spans="1:8" x14ac:dyDescent="0.3">
      <c r="A122" s="28" t="b">
        <v>1</v>
      </c>
      <c r="B122" s="29" t="str">
        <f t="shared" si="22"/>
        <v>업적설명 - 수호석 업그레이드를 Lv.40까지 달성하세요</v>
      </c>
      <c r="C122" s="17">
        <f t="shared" si="18"/>
        <v>52392</v>
      </c>
      <c r="D122" s="29" t="str">
        <f t="shared" si="25"/>
        <v>수호석 업그레이드를 Lv.40까지 달성하세요</v>
      </c>
      <c r="E122" s="29" t="str">
        <f t="shared" si="26"/>
        <v>Upgrade guardian stone to 40Lv</v>
      </c>
      <c r="F122" s="29" t="str">
        <f t="shared" si="27"/>
        <v>수호석 업그레이드를 Lv.40까지 달성하세요</v>
      </c>
      <c r="H122" s="28">
        <f>Achievement!J97</f>
        <v>40</v>
      </c>
    </row>
    <row r="123" spans="1:8" x14ac:dyDescent="0.3">
      <c r="A123" s="28" t="b">
        <v>1</v>
      </c>
      <c r="B123" s="29" t="str">
        <f t="shared" si="22"/>
        <v>업적설명 - 수호석 업그레이드를 Lv.50까지 달성하세요</v>
      </c>
      <c r="C123" s="17">
        <f t="shared" si="18"/>
        <v>52393</v>
      </c>
      <c r="D123" s="29" t="str">
        <f t="shared" si="25"/>
        <v>수호석 업그레이드를 Lv.50까지 달성하세요</v>
      </c>
      <c r="E123" s="29" t="str">
        <f t="shared" si="26"/>
        <v>Upgrade guardian stone to 50Lv</v>
      </c>
      <c r="F123" s="29" t="str">
        <f t="shared" si="27"/>
        <v>수호석 업그레이드를 Lv.50까지 달성하세요</v>
      </c>
      <c r="H123" s="28">
        <f>Achievement!J98</f>
        <v>50</v>
      </c>
    </row>
    <row r="124" spans="1:8" x14ac:dyDescent="0.3">
      <c r="A124" s="28" t="b">
        <v>1</v>
      </c>
      <c r="B124" s="29" t="str">
        <f t="shared" si="22"/>
        <v>업적설명 - 수호석 업그레이드를 Lv.60까지 달성하세요</v>
      </c>
      <c r="C124" s="17">
        <f t="shared" si="18"/>
        <v>52394</v>
      </c>
      <c r="D124" s="29" t="str">
        <f t="shared" si="25"/>
        <v>수호석 업그레이드를 Lv.60까지 달성하세요</v>
      </c>
      <c r="E124" s="29" t="str">
        <f t="shared" si="26"/>
        <v>Upgrade guardian stone to 60Lv</v>
      </c>
      <c r="F124" s="29" t="str">
        <f t="shared" si="27"/>
        <v>수호석 업그레이드를 Lv.60까지 달성하세요</v>
      </c>
      <c r="H124" s="28">
        <f>Achievement!J99</f>
        <v>60</v>
      </c>
    </row>
    <row r="125" spans="1:8" x14ac:dyDescent="0.3">
      <c r="A125" s="28" t="b">
        <v>1</v>
      </c>
      <c r="B125" s="29" t="str">
        <f t="shared" si="22"/>
        <v>업적설명 - 수호석 업그레이드를 Lv.70까지 달성하세요</v>
      </c>
      <c r="C125" s="17">
        <f t="shared" si="18"/>
        <v>52395</v>
      </c>
      <c r="D125" s="29" t="str">
        <f t="shared" si="25"/>
        <v>수호석 업그레이드를 Lv.70까지 달성하세요</v>
      </c>
      <c r="E125" s="29" t="str">
        <f t="shared" si="26"/>
        <v>Upgrade guardian stone to 70Lv</v>
      </c>
      <c r="F125" s="29" t="str">
        <f t="shared" si="27"/>
        <v>수호석 업그레이드를 Lv.70까지 달성하세요</v>
      </c>
      <c r="H125" s="28">
        <f>Achievement!J100</f>
        <v>70</v>
      </c>
    </row>
    <row r="126" spans="1:8" x14ac:dyDescent="0.3">
      <c r="A126" s="28" t="b">
        <v>1</v>
      </c>
      <c r="B126" s="29" t="str">
        <f t="shared" si="22"/>
        <v>업적설명 - 수호석 업그레이드를 Lv.80까지 달성하세요</v>
      </c>
      <c r="C126" s="17">
        <f t="shared" si="18"/>
        <v>52396</v>
      </c>
      <c r="D126" s="29" t="str">
        <f t="shared" si="25"/>
        <v>수호석 업그레이드를 Lv.80까지 달성하세요</v>
      </c>
      <c r="E126" s="29" t="str">
        <f t="shared" si="26"/>
        <v>Upgrade guardian stone to 80Lv</v>
      </c>
      <c r="F126" s="29" t="str">
        <f t="shared" si="27"/>
        <v>수호석 업그레이드를 Lv.80까지 달성하세요</v>
      </c>
      <c r="H126" s="28">
        <f>Achievement!J101</f>
        <v>80</v>
      </c>
    </row>
    <row r="127" spans="1:8" x14ac:dyDescent="0.3">
      <c r="A127" s="28" t="b">
        <v>1</v>
      </c>
      <c r="B127" s="29" t="str">
        <f t="shared" si="22"/>
        <v>업적설명 - 수호석 업그레이드를 Lv.90까지 달성하세요</v>
      </c>
      <c r="C127" s="17">
        <f t="shared" si="18"/>
        <v>52397</v>
      </c>
      <c r="D127" s="29" t="str">
        <f t="shared" si="25"/>
        <v>수호석 업그레이드를 Lv.90까지 달성하세요</v>
      </c>
      <c r="E127" s="29" t="str">
        <f t="shared" si="26"/>
        <v>Upgrade guardian stone to 90Lv</v>
      </c>
      <c r="F127" s="29" t="str">
        <f t="shared" si="27"/>
        <v>수호석 업그레이드를 Lv.90까지 달성하세요</v>
      </c>
      <c r="H127" s="28">
        <f>Achievement!J102</f>
        <v>90</v>
      </c>
    </row>
    <row r="128" spans="1:8" x14ac:dyDescent="0.3">
      <c r="A128" s="28" t="b">
        <v>1</v>
      </c>
      <c r="B128" s="29" t="str">
        <f t="shared" si="22"/>
        <v>업적설명 - 수호석 업그레이드를 Lv.100까지 달성하세요</v>
      </c>
      <c r="C128" s="17">
        <f t="shared" si="18"/>
        <v>52398</v>
      </c>
      <c r="D128" s="29" t="str">
        <f t="shared" si="25"/>
        <v>수호석 업그레이드를 Lv.100까지 달성하세요</v>
      </c>
      <c r="E128" s="29" t="str">
        <f t="shared" si="26"/>
        <v>Upgrade guardian stone to 100Lv</v>
      </c>
      <c r="F128" s="29" t="str">
        <f t="shared" si="27"/>
        <v>수호석 업그레이드를 Lv.100까지 달성하세요</v>
      </c>
      <c r="H128" s="28">
        <f>Achievement!J103</f>
        <v>100</v>
      </c>
    </row>
    <row r="129" spans="1:8" x14ac:dyDescent="0.3">
      <c r="A129" s="28" t="b">
        <v>1</v>
      </c>
      <c r="B129" s="29" t="str">
        <f t="shared" si="22"/>
        <v>업적설명 - 수호석 업그레이드를 Lv.110까지 달성하세요</v>
      </c>
      <c r="C129" s="17">
        <f t="shared" si="18"/>
        <v>52399</v>
      </c>
      <c r="D129" s="29" t="str">
        <f t="shared" si="25"/>
        <v>수호석 업그레이드를 Lv.110까지 달성하세요</v>
      </c>
      <c r="E129" s="29" t="str">
        <f t="shared" si="26"/>
        <v>Upgrade guardian stone to 110Lv</v>
      </c>
      <c r="F129" s="29" t="str">
        <f t="shared" si="27"/>
        <v>수호석 업그레이드를 Lv.110까지 달성하세요</v>
      </c>
      <c r="H129" s="28">
        <f>Achievement!J104</f>
        <v>110</v>
      </c>
    </row>
    <row r="130" spans="1:8" x14ac:dyDescent="0.3">
      <c r="A130" s="28" t="b">
        <v>1</v>
      </c>
      <c r="B130" s="29" t="str">
        <f t="shared" si="22"/>
        <v>업적설명 - 수호석 업그레이드를 Lv.120까지 달성하세요</v>
      </c>
      <c r="C130" s="17">
        <f t="shared" si="18"/>
        <v>52400</v>
      </c>
      <c r="D130" s="29" t="str">
        <f t="shared" si="25"/>
        <v>수호석 업그레이드를 Lv.120까지 달성하세요</v>
      </c>
      <c r="E130" s="29" t="str">
        <f t="shared" si="26"/>
        <v>Upgrade guardian stone to 120Lv</v>
      </c>
      <c r="F130" s="29" t="str">
        <f t="shared" si="27"/>
        <v>수호석 업그레이드를 Lv.120까지 달성하세요</v>
      </c>
      <c r="H130" s="28">
        <f>Achievement!J105</f>
        <v>120</v>
      </c>
    </row>
    <row r="131" spans="1:8" x14ac:dyDescent="0.3">
      <c r="A131" s="28" t="b">
        <v>1</v>
      </c>
      <c r="B131" s="29" t="str">
        <f t="shared" si="22"/>
        <v>업적설명 - 수호석 업그레이드를 Lv.130까지 달성하세요</v>
      </c>
      <c r="C131" s="17">
        <f t="shared" si="18"/>
        <v>52401</v>
      </c>
      <c r="D131" s="29" t="str">
        <f t="shared" si="25"/>
        <v>수호석 업그레이드를 Lv.130까지 달성하세요</v>
      </c>
      <c r="E131" s="29" t="str">
        <f t="shared" si="26"/>
        <v>Upgrade guardian stone to 130Lv</v>
      </c>
      <c r="F131" s="29" t="str">
        <f t="shared" si="27"/>
        <v>수호석 업그레이드를 Lv.130까지 달성하세요</v>
      </c>
      <c r="H131" s="28">
        <f>Achievement!J106</f>
        <v>130</v>
      </c>
    </row>
    <row r="132" spans="1:8" x14ac:dyDescent="0.3">
      <c r="A132" s="28" t="b">
        <v>1</v>
      </c>
      <c r="B132" s="29" t="str">
        <f t="shared" si="22"/>
        <v>업적설명 - 수호석 업그레이드를 Lv.140까지 달성하세요</v>
      </c>
      <c r="C132" s="17">
        <f t="shared" si="18"/>
        <v>52402</v>
      </c>
      <c r="D132" s="29" t="str">
        <f t="shared" si="25"/>
        <v>수호석 업그레이드를 Lv.140까지 달성하세요</v>
      </c>
      <c r="E132" s="29" t="str">
        <f t="shared" si="26"/>
        <v>Upgrade guardian stone to 140Lv</v>
      </c>
      <c r="F132" s="29" t="str">
        <f t="shared" si="27"/>
        <v>수호석 업그레이드를 Lv.140까지 달성하세요</v>
      </c>
      <c r="H132" s="28">
        <f>Achievement!J107</f>
        <v>140</v>
      </c>
    </row>
    <row r="133" spans="1:8" x14ac:dyDescent="0.3">
      <c r="A133" s="28" t="b">
        <v>1</v>
      </c>
      <c r="B133" s="29" t="str">
        <f t="shared" si="22"/>
        <v>업적설명 - 수호석 업그레이드를 Lv.150까지 달성하세요</v>
      </c>
      <c r="C133" s="17">
        <f t="shared" si="18"/>
        <v>52403</v>
      </c>
      <c r="D133" s="29" t="str">
        <f t="shared" si="25"/>
        <v>수호석 업그레이드를 Lv.150까지 달성하세요</v>
      </c>
      <c r="E133" s="29" t="str">
        <f t="shared" si="26"/>
        <v>Upgrade guardian stone to 150Lv</v>
      </c>
      <c r="F133" s="29" t="str">
        <f t="shared" si="27"/>
        <v>수호석 업그레이드를 Lv.150까지 달성하세요</v>
      </c>
      <c r="H133" s="28">
        <f>Achievement!J108</f>
        <v>150</v>
      </c>
    </row>
    <row r="134" spans="1:8" x14ac:dyDescent="0.3">
      <c r="A134" s="28" t="b">
        <v>1</v>
      </c>
      <c r="B134" s="29" t="str">
        <f t="shared" si="22"/>
        <v>업적설명 - 수호석 업그레이드를 Lv.160까지 달성하세요</v>
      </c>
      <c r="C134" s="17">
        <f t="shared" si="18"/>
        <v>52404</v>
      </c>
      <c r="D134" s="29" t="str">
        <f t="shared" si="25"/>
        <v>수호석 업그레이드를 Lv.160까지 달성하세요</v>
      </c>
      <c r="E134" s="29" t="str">
        <f t="shared" si="26"/>
        <v>Upgrade guardian stone to 160Lv</v>
      </c>
      <c r="F134" s="29" t="str">
        <f t="shared" si="27"/>
        <v>수호석 업그레이드를 Lv.160까지 달성하세요</v>
      </c>
      <c r="H134" s="28">
        <f>Achievement!J109</f>
        <v>160</v>
      </c>
    </row>
    <row r="135" spans="1:8" x14ac:dyDescent="0.3">
      <c r="A135" s="28" t="b">
        <v>1</v>
      </c>
      <c r="B135" s="29" t="str">
        <f t="shared" si="22"/>
        <v>업적설명 - 수호석 업그레이드를 Lv.170까지 달성하세요</v>
      </c>
      <c r="C135" s="17">
        <f t="shared" si="18"/>
        <v>52405</v>
      </c>
      <c r="D135" s="29" t="str">
        <f t="shared" si="25"/>
        <v>수호석 업그레이드를 Lv.170까지 달성하세요</v>
      </c>
      <c r="E135" s="29" t="str">
        <f t="shared" si="26"/>
        <v>Upgrade guardian stone to 170Lv</v>
      </c>
      <c r="F135" s="29" t="str">
        <f t="shared" si="27"/>
        <v>수호석 업그레이드를 Lv.170까지 달성하세요</v>
      </c>
      <c r="H135" s="28">
        <f>Achievement!J110</f>
        <v>170</v>
      </c>
    </row>
    <row r="136" spans="1:8" x14ac:dyDescent="0.3">
      <c r="A136" s="28" t="b">
        <v>1</v>
      </c>
      <c r="B136" s="29" t="str">
        <f t="shared" si="22"/>
        <v>업적설명 - 수호석 업그레이드를 Lv.180까지 달성하세요</v>
      </c>
      <c r="C136" s="17">
        <f t="shared" si="18"/>
        <v>52406</v>
      </c>
      <c r="D136" s="29" t="str">
        <f t="shared" si="25"/>
        <v>수호석 업그레이드를 Lv.180까지 달성하세요</v>
      </c>
      <c r="E136" s="29" t="str">
        <f t="shared" si="26"/>
        <v>Upgrade guardian stone to 180Lv</v>
      </c>
      <c r="F136" s="29" t="str">
        <f t="shared" si="27"/>
        <v>수호석 업그레이드를 Lv.180까지 달성하세요</v>
      </c>
      <c r="H136" s="28">
        <f>Achievement!J111</f>
        <v>180</v>
      </c>
    </row>
    <row r="137" spans="1:8" x14ac:dyDescent="0.3">
      <c r="A137" s="28" t="b">
        <v>1</v>
      </c>
      <c r="B137" s="29" t="str">
        <f t="shared" si="22"/>
        <v>업적설명 - 수호석 업그레이드를 Lv.190까지 달성하세요</v>
      </c>
      <c r="C137" s="17">
        <f t="shared" si="18"/>
        <v>52407</v>
      </c>
      <c r="D137" s="29" t="str">
        <f t="shared" si="25"/>
        <v>수호석 업그레이드를 Lv.190까지 달성하세요</v>
      </c>
      <c r="E137" s="29" t="str">
        <f t="shared" si="26"/>
        <v>Upgrade guardian stone to 190Lv</v>
      </c>
      <c r="F137" s="29" t="str">
        <f t="shared" si="27"/>
        <v>수호석 업그레이드를 Lv.190까지 달성하세요</v>
      </c>
      <c r="H137" s="28">
        <f>Achievement!J112</f>
        <v>190</v>
      </c>
    </row>
    <row r="138" spans="1:8" x14ac:dyDescent="0.3">
      <c r="A138" s="28" t="b">
        <v>1</v>
      </c>
      <c r="B138" s="29" t="str">
        <f t="shared" si="22"/>
        <v>업적설명 - 수호석 업그레이드를 Lv.200까지 달성하세요</v>
      </c>
      <c r="C138" s="17">
        <f t="shared" si="18"/>
        <v>52408</v>
      </c>
      <c r="D138" s="29" t="str">
        <f t="shared" si="25"/>
        <v>수호석 업그레이드를 Lv.200까지 달성하세요</v>
      </c>
      <c r="E138" s="29" t="str">
        <f t="shared" si="26"/>
        <v>Upgrade guardian stone to 200Lv</v>
      </c>
      <c r="F138" s="29" t="str">
        <f t="shared" si="27"/>
        <v>수호석 업그레이드를 Lv.200까지 달성하세요</v>
      </c>
      <c r="H138" s="28">
        <f>Achievement!J113</f>
        <v>200</v>
      </c>
    </row>
    <row r="139" spans="1:8" x14ac:dyDescent="0.3">
      <c r="A139" s="32" t="b">
        <v>1</v>
      </c>
      <c r="B139" s="33" t="str">
        <f t="shared" si="22"/>
        <v>업적설명 - 균열던전 [일반 Ⅰ] 단계를 완료하세요</v>
      </c>
      <c r="C139" s="16">
        <f t="shared" si="18"/>
        <v>52409</v>
      </c>
      <c r="D139" s="33" t="str">
        <f>"균열던전 ["&amp; H139&amp;"] 단계를 완료하세요"</f>
        <v>균열던전 [일반 Ⅰ] 단계를 완료하세요</v>
      </c>
      <c r="E139" s="33" t="s">
        <v>169</v>
      </c>
      <c r="F139" s="33" t="str">
        <f t="shared" si="27"/>
        <v>균열던전 [일반 Ⅰ] 단계를 완료하세요</v>
      </c>
      <c r="H139" s="32" t="s">
        <v>80</v>
      </c>
    </row>
    <row r="140" spans="1:8" x14ac:dyDescent="0.3">
      <c r="A140" s="32" t="b">
        <v>1</v>
      </c>
      <c r="B140" s="33" t="str">
        <f t="shared" si="22"/>
        <v>업적설명 - 균열던전 [일반 Ⅱ] 단계를 완료하세요</v>
      </c>
      <c r="C140" s="14">
        <f t="shared" si="18"/>
        <v>52410</v>
      </c>
      <c r="D140" s="33" t="str">
        <f t="shared" ref="D140:D178" si="28">"균열던전 ["&amp; H140&amp;"] 단계를 완료하세요"</f>
        <v>균열던전 [일반 Ⅱ] 단계를 완료하세요</v>
      </c>
      <c r="E140" s="33" t="s">
        <v>170</v>
      </c>
      <c r="F140" s="33" t="str">
        <f t="shared" si="27"/>
        <v>균열던전 [일반 Ⅱ] 단계를 완료하세요</v>
      </c>
      <c r="H140" s="32" t="s">
        <v>81</v>
      </c>
    </row>
    <row r="141" spans="1:8" x14ac:dyDescent="0.3">
      <c r="A141" s="32" t="b">
        <v>1</v>
      </c>
      <c r="B141" s="33" t="str">
        <f t="shared" si="22"/>
        <v>업적설명 - 균열던전 [일반 Ⅲ] 단계를 완료하세요</v>
      </c>
      <c r="C141" s="14">
        <f t="shared" si="18"/>
        <v>52411</v>
      </c>
      <c r="D141" s="33" t="str">
        <f t="shared" si="28"/>
        <v>균열던전 [일반 Ⅲ] 단계를 완료하세요</v>
      </c>
      <c r="E141" s="33" t="s">
        <v>171</v>
      </c>
      <c r="F141" s="33" t="str">
        <f t="shared" si="27"/>
        <v>균열던전 [일반 Ⅲ] 단계를 완료하세요</v>
      </c>
      <c r="H141" s="32" t="s">
        <v>82</v>
      </c>
    </row>
    <row r="142" spans="1:8" x14ac:dyDescent="0.3">
      <c r="A142" s="32" t="b">
        <v>1</v>
      </c>
      <c r="B142" s="33" t="str">
        <f t="shared" si="22"/>
        <v>업적설명 - 균열던전 [일반 Ⅳ] 단계를 완료하세요</v>
      </c>
      <c r="C142" s="14">
        <f t="shared" si="18"/>
        <v>52412</v>
      </c>
      <c r="D142" s="33" t="str">
        <f t="shared" si="28"/>
        <v>균열던전 [일반 Ⅳ] 단계를 완료하세요</v>
      </c>
      <c r="E142" s="33" t="s">
        <v>172</v>
      </c>
      <c r="F142" s="33" t="str">
        <f t="shared" si="27"/>
        <v>균열던전 [일반 Ⅳ] 단계를 완료하세요</v>
      </c>
      <c r="H142" s="32" t="s">
        <v>83</v>
      </c>
    </row>
    <row r="143" spans="1:8" x14ac:dyDescent="0.3">
      <c r="A143" s="32" t="b">
        <v>1</v>
      </c>
      <c r="B143" s="33" t="str">
        <f t="shared" si="22"/>
        <v>업적설명 - 균열던전 [일반 Ⅴ] 단계를 완료하세요</v>
      </c>
      <c r="C143" s="14">
        <f t="shared" si="18"/>
        <v>52413</v>
      </c>
      <c r="D143" s="33" t="str">
        <f t="shared" si="28"/>
        <v>균열던전 [일반 Ⅴ] 단계를 완료하세요</v>
      </c>
      <c r="E143" s="33" t="s">
        <v>173</v>
      </c>
      <c r="F143" s="33" t="str">
        <f t="shared" si="27"/>
        <v>균열던전 [일반 Ⅴ] 단계를 완료하세요</v>
      </c>
      <c r="H143" s="32" t="s">
        <v>84</v>
      </c>
    </row>
    <row r="144" spans="1:8" x14ac:dyDescent="0.3">
      <c r="A144" s="32" t="b">
        <v>1</v>
      </c>
      <c r="B144" s="33" t="str">
        <f t="shared" si="22"/>
        <v>업적설명 - 균열던전 [어려움 Ⅰ] 단계를 완료하세요</v>
      </c>
      <c r="C144" s="14">
        <f t="shared" si="18"/>
        <v>52414</v>
      </c>
      <c r="D144" s="33" t="str">
        <f t="shared" si="28"/>
        <v>균열던전 [어려움 Ⅰ] 단계를 완료하세요</v>
      </c>
      <c r="E144" s="33" t="s">
        <v>174</v>
      </c>
      <c r="F144" s="33" t="str">
        <f t="shared" si="27"/>
        <v>균열던전 [어려움 Ⅰ] 단계를 완료하세요</v>
      </c>
      <c r="H144" s="32" t="s">
        <v>85</v>
      </c>
    </row>
    <row r="145" spans="1:8" x14ac:dyDescent="0.3">
      <c r="A145" s="32" t="b">
        <v>1</v>
      </c>
      <c r="B145" s="33" t="str">
        <f t="shared" si="22"/>
        <v>업적설명 - 균열던전 [어려움 Ⅱ] 단계를 완료하세요</v>
      </c>
      <c r="C145" s="14">
        <f t="shared" si="18"/>
        <v>52415</v>
      </c>
      <c r="D145" s="33" t="str">
        <f t="shared" si="28"/>
        <v>균열던전 [어려움 Ⅱ] 단계를 완료하세요</v>
      </c>
      <c r="E145" s="33" t="s">
        <v>175</v>
      </c>
      <c r="F145" s="33" t="str">
        <f t="shared" si="27"/>
        <v>균열던전 [어려움 Ⅱ] 단계를 완료하세요</v>
      </c>
      <c r="H145" s="32" t="s">
        <v>86</v>
      </c>
    </row>
    <row r="146" spans="1:8" x14ac:dyDescent="0.3">
      <c r="A146" s="32" t="b">
        <v>1</v>
      </c>
      <c r="B146" s="33" t="str">
        <f t="shared" si="22"/>
        <v>업적설명 - 균열던전 [어려움 Ⅲ] 단계를 완료하세요</v>
      </c>
      <c r="C146" s="14">
        <f t="shared" si="18"/>
        <v>52416</v>
      </c>
      <c r="D146" s="33" t="str">
        <f t="shared" si="28"/>
        <v>균열던전 [어려움 Ⅲ] 단계를 완료하세요</v>
      </c>
      <c r="E146" s="33" t="s">
        <v>176</v>
      </c>
      <c r="F146" s="33" t="str">
        <f t="shared" si="27"/>
        <v>균열던전 [어려움 Ⅲ] 단계를 완료하세요</v>
      </c>
      <c r="H146" s="32" t="s">
        <v>87</v>
      </c>
    </row>
    <row r="147" spans="1:8" x14ac:dyDescent="0.3">
      <c r="A147" s="32" t="b">
        <v>1</v>
      </c>
      <c r="B147" s="33" t="str">
        <f t="shared" si="22"/>
        <v>업적설명 - 균열던전 [어려움 Ⅳ] 단계를 완료하세요</v>
      </c>
      <c r="C147" s="14">
        <f t="shared" si="18"/>
        <v>52417</v>
      </c>
      <c r="D147" s="33" t="str">
        <f t="shared" si="28"/>
        <v>균열던전 [어려움 Ⅳ] 단계를 완료하세요</v>
      </c>
      <c r="E147" s="33" t="s">
        <v>177</v>
      </c>
      <c r="F147" s="33" t="str">
        <f t="shared" si="27"/>
        <v>균열던전 [어려움 Ⅳ] 단계를 완료하세요</v>
      </c>
      <c r="H147" s="32" t="s">
        <v>88</v>
      </c>
    </row>
    <row r="148" spans="1:8" x14ac:dyDescent="0.3">
      <c r="A148" s="32" t="b">
        <v>1</v>
      </c>
      <c r="B148" s="33" t="str">
        <f t="shared" si="22"/>
        <v>업적설명 - 균열던전 [어려움 Ⅴ] 단계를 완료하세요</v>
      </c>
      <c r="C148" s="14">
        <f t="shared" si="18"/>
        <v>52418</v>
      </c>
      <c r="D148" s="33" t="str">
        <f t="shared" si="28"/>
        <v>균열던전 [어려움 Ⅴ] 단계를 완료하세요</v>
      </c>
      <c r="E148" s="33" t="s">
        <v>178</v>
      </c>
      <c r="F148" s="33" t="str">
        <f t="shared" si="27"/>
        <v>균열던전 [어려움 Ⅴ] 단계를 완료하세요</v>
      </c>
      <c r="H148" s="32" t="s">
        <v>89</v>
      </c>
    </row>
    <row r="149" spans="1:8" x14ac:dyDescent="0.3">
      <c r="A149" s="32" t="b">
        <v>1</v>
      </c>
      <c r="B149" s="33" t="str">
        <f t="shared" si="22"/>
        <v>업적설명 - 균열던전 [고수 Ⅰ] 단계를 완료하세요</v>
      </c>
      <c r="C149" s="14">
        <f t="shared" si="18"/>
        <v>52419</v>
      </c>
      <c r="D149" s="33" t="str">
        <f t="shared" si="28"/>
        <v>균열던전 [고수 Ⅰ] 단계를 완료하세요</v>
      </c>
      <c r="E149" s="33" t="s">
        <v>179</v>
      </c>
      <c r="F149" s="33" t="str">
        <f t="shared" si="27"/>
        <v>균열던전 [고수 Ⅰ] 단계를 완료하세요</v>
      </c>
      <c r="H149" s="32" t="s">
        <v>90</v>
      </c>
    </row>
    <row r="150" spans="1:8" x14ac:dyDescent="0.3">
      <c r="A150" s="32" t="b">
        <v>1</v>
      </c>
      <c r="B150" s="33" t="str">
        <f t="shared" si="22"/>
        <v>업적설명 - 균열던전 [고수 Ⅱ] 단계를 완료하세요</v>
      </c>
      <c r="C150" s="14">
        <f t="shared" si="18"/>
        <v>52420</v>
      </c>
      <c r="D150" s="33" t="str">
        <f t="shared" si="28"/>
        <v>균열던전 [고수 Ⅱ] 단계를 완료하세요</v>
      </c>
      <c r="E150" s="33" t="s">
        <v>180</v>
      </c>
      <c r="F150" s="33" t="str">
        <f t="shared" si="27"/>
        <v>균열던전 [고수 Ⅱ] 단계를 완료하세요</v>
      </c>
      <c r="H150" s="32" t="s">
        <v>91</v>
      </c>
    </row>
    <row r="151" spans="1:8" x14ac:dyDescent="0.3">
      <c r="A151" s="32" t="b">
        <v>1</v>
      </c>
      <c r="B151" s="33" t="str">
        <f t="shared" si="22"/>
        <v>업적설명 - 균열던전 [고수 Ⅲ] 단계를 완료하세요</v>
      </c>
      <c r="C151" s="14">
        <f t="shared" si="18"/>
        <v>52421</v>
      </c>
      <c r="D151" s="33" t="str">
        <f t="shared" si="28"/>
        <v>균열던전 [고수 Ⅲ] 단계를 완료하세요</v>
      </c>
      <c r="E151" s="33" t="s">
        <v>181</v>
      </c>
      <c r="F151" s="33" t="str">
        <f t="shared" si="27"/>
        <v>균열던전 [고수 Ⅲ] 단계를 완료하세요</v>
      </c>
      <c r="H151" s="32" t="s">
        <v>92</v>
      </c>
    </row>
    <row r="152" spans="1:8" x14ac:dyDescent="0.3">
      <c r="A152" s="32" t="b">
        <v>1</v>
      </c>
      <c r="B152" s="33" t="str">
        <f t="shared" si="22"/>
        <v>업적설명 - 균열던전 [고수 Ⅳ] 단계를 완료하세요</v>
      </c>
      <c r="C152" s="14">
        <f t="shared" si="18"/>
        <v>52422</v>
      </c>
      <c r="D152" s="33" t="str">
        <f t="shared" si="28"/>
        <v>균열던전 [고수 Ⅳ] 단계를 완료하세요</v>
      </c>
      <c r="E152" s="33" t="s">
        <v>182</v>
      </c>
      <c r="F152" s="33" t="str">
        <f t="shared" si="27"/>
        <v>균열던전 [고수 Ⅳ] 단계를 완료하세요</v>
      </c>
      <c r="H152" s="32" t="s">
        <v>93</v>
      </c>
    </row>
    <row r="153" spans="1:8" x14ac:dyDescent="0.3">
      <c r="A153" s="32" t="b">
        <v>1</v>
      </c>
      <c r="B153" s="33" t="str">
        <f t="shared" si="22"/>
        <v>업적설명 - 균열던전 [고수 Ⅴ] 단계를 완료하세요</v>
      </c>
      <c r="C153" s="14">
        <f t="shared" si="18"/>
        <v>52423</v>
      </c>
      <c r="D153" s="33" t="str">
        <f t="shared" si="28"/>
        <v>균열던전 [고수 Ⅴ] 단계를 완료하세요</v>
      </c>
      <c r="E153" s="33" t="s">
        <v>183</v>
      </c>
      <c r="F153" s="33" t="str">
        <f t="shared" si="27"/>
        <v>균열던전 [고수 Ⅴ] 단계를 완료하세요</v>
      </c>
      <c r="H153" s="32" t="s">
        <v>94</v>
      </c>
    </row>
    <row r="154" spans="1:8" x14ac:dyDescent="0.3">
      <c r="A154" s="32" t="b">
        <v>1</v>
      </c>
      <c r="B154" s="33" t="str">
        <f t="shared" si="22"/>
        <v>업적설명 - 균열던전 [마스터 Ⅰ] 단계를 완료하세요</v>
      </c>
      <c r="C154" s="14">
        <f t="shared" si="18"/>
        <v>52424</v>
      </c>
      <c r="D154" s="33" t="str">
        <f t="shared" si="28"/>
        <v>균열던전 [마스터 Ⅰ] 단계를 완료하세요</v>
      </c>
      <c r="E154" s="33" t="s">
        <v>184</v>
      </c>
      <c r="F154" s="33" t="str">
        <f t="shared" si="27"/>
        <v>균열던전 [마스터 Ⅰ] 단계를 완료하세요</v>
      </c>
      <c r="H154" s="32" t="s">
        <v>260</v>
      </c>
    </row>
    <row r="155" spans="1:8" x14ac:dyDescent="0.3">
      <c r="A155" s="32" t="b">
        <v>1</v>
      </c>
      <c r="B155" s="33" t="str">
        <f t="shared" si="22"/>
        <v>업적설명 - 균열던전 [마스터 Ⅱ] 단계를 완료하세요</v>
      </c>
      <c r="C155" s="14">
        <f t="shared" si="18"/>
        <v>52425</v>
      </c>
      <c r="D155" s="33" t="str">
        <f t="shared" si="28"/>
        <v>균열던전 [마스터 Ⅱ] 단계를 완료하세요</v>
      </c>
      <c r="E155" s="33" t="s">
        <v>185</v>
      </c>
      <c r="F155" s="33" t="str">
        <f t="shared" si="27"/>
        <v>균열던전 [마스터 Ⅱ] 단계를 완료하세요</v>
      </c>
      <c r="H155" s="32" t="s">
        <v>261</v>
      </c>
    </row>
    <row r="156" spans="1:8" x14ac:dyDescent="0.3">
      <c r="A156" s="32" t="b">
        <v>1</v>
      </c>
      <c r="B156" s="33" t="str">
        <f t="shared" si="22"/>
        <v>업적설명 - 균열던전 [마스터 Ⅲ] 단계를 완료하세요</v>
      </c>
      <c r="C156" s="14">
        <f t="shared" si="18"/>
        <v>52426</v>
      </c>
      <c r="D156" s="33" t="str">
        <f t="shared" si="28"/>
        <v>균열던전 [마스터 Ⅲ] 단계를 완료하세요</v>
      </c>
      <c r="E156" s="33" t="s">
        <v>186</v>
      </c>
      <c r="F156" s="33" t="str">
        <f t="shared" si="27"/>
        <v>균열던전 [마스터 Ⅲ] 단계를 완료하세요</v>
      </c>
      <c r="H156" s="32" t="s">
        <v>262</v>
      </c>
    </row>
    <row r="157" spans="1:8" x14ac:dyDescent="0.3">
      <c r="A157" s="32" t="b">
        <v>1</v>
      </c>
      <c r="B157" s="33" t="str">
        <f t="shared" si="22"/>
        <v>업적설명 - 균열던전 [마스터 Ⅳ] 단계를 완료하세요</v>
      </c>
      <c r="C157" s="14">
        <f t="shared" si="18"/>
        <v>52427</v>
      </c>
      <c r="D157" s="33" t="str">
        <f t="shared" si="28"/>
        <v>균열던전 [마스터 Ⅳ] 단계를 완료하세요</v>
      </c>
      <c r="E157" s="33" t="s">
        <v>187</v>
      </c>
      <c r="F157" s="33" t="str">
        <f t="shared" si="27"/>
        <v>균열던전 [마스터 Ⅳ] 단계를 완료하세요</v>
      </c>
      <c r="H157" s="32" t="s">
        <v>263</v>
      </c>
    </row>
    <row r="158" spans="1:8" x14ac:dyDescent="0.3">
      <c r="A158" s="32" t="b">
        <v>1</v>
      </c>
      <c r="B158" s="33" t="str">
        <f t="shared" si="22"/>
        <v>업적설명 - 균열던전 [마스터 Ⅴ] 단계를 완료하세요</v>
      </c>
      <c r="C158" s="14">
        <f t="shared" si="18"/>
        <v>52428</v>
      </c>
      <c r="D158" s="33" t="str">
        <f t="shared" si="28"/>
        <v>균열던전 [마스터 Ⅴ] 단계를 완료하세요</v>
      </c>
      <c r="E158" s="33" t="s">
        <v>188</v>
      </c>
      <c r="F158" s="33" t="str">
        <f t="shared" si="27"/>
        <v>균열던전 [마스터 Ⅴ] 단계를 완료하세요</v>
      </c>
      <c r="H158" s="32" t="s">
        <v>264</v>
      </c>
    </row>
    <row r="159" spans="1:8" x14ac:dyDescent="0.3">
      <c r="A159" s="32" t="b">
        <v>1</v>
      </c>
      <c r="B159" s="33" t="str">
        <f t="shared" si="22"/>
        <v>업적설명 - 균열던전 [마스터 Ⅵ] 단계를 완료하세요</v>
      </c>
      <c r="C159" s="14">
        <f t="shared" si="18"/>
        <v>52429</v>
      </c>
      <c r="D159" s="33" t="str">
        <f t="shared" si="28"/>
        <v>균열던전 [마스터 Ⅵ] 단계를 완료하세요</v>
      </c>
      <c r="E159" s="33" t="s">
        <v>189</v>
      </c>
      <c r="F159" s="33" t="str">
        <f t="shared" si="27"/>
        <v>균열던전 [마스터 Ⅵ] 단계를 완료하세요</v>
      </c>
      <c r="H159" s="32" t="s">
        <v>265</v>
      </c>
    </row>
    <row r="160" spans="1:8" x14ac:dyDescent="0.3">
      <c r="A160" s="32" t="b">
        <v>1</v>
      </c>
      <c r="B160" s="33" t="str">
        <f t="shared" si="22"/>
        <v>업적설명 - 균열던전 [마스터 Ⅶ] 단계를 완료하세요</v>
      </c>
      <c r="C160" s="14">
        <f t="shared" ref="C160:C223" si="29">C159+1</f>
        <v>52430</v>
      </c>
      <c r="D160" s="33" t="str">
        <f t="shared" si="28"/>
        <v>균열던전 [마스터 Ⅶ] 단계를 완료하세요</v>
      </c>
      <c r="E160" s="33" t="s">
        <v>190</v>
      </c>
      <c r="F160" s="33" t="str">
        <f t="shared" si="27"/>
        <v>균열던전 [마스터 Ⅶ] 단계를 완료하세요</v>
      </c>
      <c r="H160" s="32" t="s">
        <v>266</v>
      </c>
    </row>
    <row r="161" spans="1:8" x14ac:dyDescent="0.3">
      <c r="A161" s="32" t="b">
        <v>1</v>
      </c>
      <c r="B161" s="33" t="str">
        <f t="shared" si="22"/>
        <v>업적설명 - 균열던전 [마스터 Ⅷ] 단계를 완료하세요</v>
      </c>
      <c r="C161" s="14">
        <f t="shared" si="29"/>
        <v>52431</v>
      </c>
      <c r="D161" s="33" t="str">
        <f t="shared" si="28"/>
        <v>균열던전 [마스터 Ⅷ] 단계를 완료하세요</v>
      </c>
      <c r="E161" s="33" t="s">
        <v>191</v>
      </c>
      <c r="F161" s="33" t="str">
        <f t="shared" si="27"/>
        <v>균열던전 [마스터 Ⅷ] 단계를 완료하세요</v>
      </c>
      <c r="H161" s="32" t="s">
        <v>267</v>
      </c>
    </row>
    <row r="162" spans="1:8" x14ac:dyDescent="0.3">
      <c r="A162" s="32" t="b">
        <v>1</v>
      </c>
      <c r="B162" s="33" t="str">
        <f t="shared" si="22"/>
        <v>업적설명 - 균열던전 [마스터 Ⅸ] 단계를 완료하세요</v>
      </c>
      <c r="C162" s="14">
        <f t="shared" si="29"/>
        <v>52432</v>
      </c>
      <c r="D162" s="33" t="str">
        <f t="shared" si="28"/>
        <v>균열던전 [마스터 Ⅸ] 단계를 완료하세요</v>
      </c>
      <c r="E162" s="33" t="s">
        <v>192</v>
      </c>
      <c r="F162" s="33" t="str">
        <f t="shared" si="27"/>
        <v>균열던전 [마스터 Ⅸ] 단계를 완료하세요</v>
      </c>
      <c r="H162" s="32" t="s">
        <v>268</v>
      </c>
    </row>
    <row r="163" spans="1:8" x14ac:dyDescent="0.3">
      <c r="A163" s="32" t="b">
        <v>1</v>
      </c>
      <c r="B163" s="33" t="str">
        <f t="shared" si="22"/>
        <v>업적설명 - 균열던전 [마스터 Ⅹ] 단계를 완료하세요</v>
      </c>
      <c r="C163" s="14">
        <f t="shared" si="29"/>
        <v>52433</v>
      </c>
      <c r="D163" s="33" t="str">
        <f t="shared" si="28"/>
        <v>균열던전 [마스터 Ⅹ] 단계를 완료하세요</v>
      </c>
      <c r="E163" s="33" t="s">
        <v>193</v>
      </c>
      <c r="F163" s="33" t="str">
        <f t="shared" si="27"/>
        <v>균열던전 [마스터 Ⅹ] 단계를 완료하세요</v>
      </c>
      <c r="H163" s="32" t="s">
        <v>269</v>
      </c>
    </row>
    <row r="164" spans="1:8" x14ac:dyDescent="0.3">
      <c r="A164" s="32" t="b">
        <v>1</v>
      </c>
      <c r="B164" s="33" t="str">
        <f t="shared" si="22"/>
        <v>업적설명 - 균열던전 [지옥 Ⅰ] 단계를 완료하세요</v>
      </c>
      <c r="C164" s="14">
        <f t="shared" si="29"/>
        <v>52434</v>
      </c>
      <c r="D164" s="33" t="str">
        <f t="shared" si="28"/>
        <v>균열던전 [지옥 Ⅰ] 단계를 완료하세요</v>
      </c>
      <c r="E164" s="33" t="s">
        <v>194</v>
      </c>
      <c r="F164" s="33" t="str">
        <f t="shared" si="27"/>
        <v>균열던전 [지옥 Ⅰ] 단계를 완료하세요</v>
      </c>
      <c r="H164" s="32" t="s">
        <v>270</v>
      </c>
    </row>
    <row r="165" spans="1:8" x14ac:dyDescent="0.3">
      <c r="A165" s="32" t="b">
        <v>1</v>
      </c>
      <c r="B165" s="33" t="str">
        <f t="shared" si="22"/>
        <v>업적설명 - 균열던전 [지옥 Ⅱ] 단계를 완료하세요</v>
      </c>
      <c r="C165" s="14">
        <f t="shared" si="29"/>
        <v>52435</v>
      </c>
      <c r="D165" s="33" t="str">
        <f t="shared" si="28"/>
        <v>균열던전 [지옥 Ⅱ] 단계를 완료하세요</v>
      </c>
      <c r="E165" s="33" t="s">
        <v>195</v>
      </c>
      <c r="F165" s="33" t="str">
        <f t="shared" si="27"/>
        <v>균열던전 [지옥 Ⅱ] 단계를 완료하세요</v>
      </c>
      <c r="H165" s="32" t="s">
        <v>271</v>
      </c>
    </row>
    <row r="166" spans="1:8" x14ac:dyDescent="0.3">
      <c r="A166" s="32" t="b">
        <v>1</v>
      </c>
      <c r="B166" s="33" t="str">
        <f t="shared" si="22"/>
        <v>업적설명 - 균열던전 [지옥 Ⅲ] 단계를 완료하세요</v>
      </c>
      <c r="C166" s="14">
        <f t="shared" si="29"/>
        <v>52436</v>
      </c>
      <c r="D166" s="33" t="str">
        <f t="shared" si="28"/>
        <v>균열던전 [지옥 Ⅲ] 단계를 완료하세요</v>
      </c>
      <c r="E166" s="33" t="s">
        <v>196</v>
      </c>
      <c r="F166" s="33" t="str">
        <f t="shared" si="27"/>
        <v>균열던전 [지옥 Ⅲ] 단계를 완료하세요</v>
      </c>
      <c r="H166" s="32" t="s">
        <v>272</v>
      </c>
    </row>
    <row r="167" spans="1:8" x14ac:dyDescent="0.3">
      <c r="A167" s="32" t="b">
        <v>1</v>
      </c>
      <c r="B167" s="33" t="str">
        <f t="shared" si="22"/>
        <v>업적설명 - 균열던전 [지옥 Ⅳ] 단계를 완료하세요</v>
      </c>
      <c r="C167" s="14">
        <f t="shared" si="29"/>
        <v>52437</v>
      </c>
      <c r="D167" s="33" t="str">
        <f t="shared" si="28"/>
        <v>균열던전 [지옥 Ⅳ] 단계를 완료하세요</v>
      </c>
      <c r="E167" s="33" t="s">
        <v>197</v>
      </c>
      <c r="F167" s="33" t="str">
        <f t="shared" si="27"/>
        <v>균열던전 [지옥 Ⅳ] 단계를 완료하세요</v>
      </c>
      <c r="H167" s="32" t="s">
        <v>273</v>
      </c>
    </row>
    <row r="168" spans="1:8" x14ac:dyDescent="0.3">
      <c r="A168" s="32" t="b">
        <v>1</v>
      </c>
      <c r="B168" s="33" t="str">
        <f t="shared" si="22"/>
        <v>업적설명 - 균열던전 [지옥 Ⅴ] 단계를 완료하세요</v>
      </c>
      <c r="C168" s="14">
        <f t="shared" si="29"/>
        <v>52438</v>
      </c>
      <c r="D168" s="33" t="str">
        <f t="shared" si="28"/>
        <v>균열던전 [지옥 Ⅴ] 단계를 완료하세요</v>
      </c>
      <c r="E168" s="33" t="s">
        <v>198</v>
      </c>
      <c r="F168" s="33" t="str">
        <f t="shared" si="27"/>
        <v>균열던전 [지옥 Ⅴ] 단계를 완료하세요</v>
      </c>
      <c r="H168" s="32" t="s">
        <v>274</v>
      </c>
    </row>
    <row r="169" spans="1:8" x14ac:dyDescent="0.3">
      <c r="A169" s="32" t="b">
        <v>1</v>
      </c>
      <c r="B169" s="33" t="str">
        <f t="shared" si="22"/>
        <v>업적설명 - 균열던전 [지옥 Ⅵ] 단계를 완료하세요</v>
      </c>
      <c r="C169" s="14">
        <f t="shared" si="29"/>
        <v>52439</v>
      </c>
      <c r="D169" s="33" t="str">
        <f t="shared" si="28"/>
        <v>균열던전 [지옥 Ⅵ] 단계를 완료하세요</v>
      </c>
      <c r="E169" s="33" t="s">
        <v>199</v>
      </c>
      <c r="F169" s="33" t="str">
        <f t="shared" si="27"/>
        <v>균열던전 [지옥 Ⅵ] 단계를 완료하세요</v>
      </c>
      <c r="H169" s="32" t="s">
        <v>275</v>
      </c>
    </row>
    <row r="170" spans="1:8" x14ac:dyDescent="0.3">
      <c r="A170" s="32" t="b">
        <v>1</v>
      </c>
      <c r="B170" s="33" t="str">
        <f t="shared" si="22"/>
        <v>업적설명 - 균열던전 [지옥 Ⅶ] 단계를 완료하세요</v>
      </c>
      <c r="C170" s="14">
        <f t="shared" si="29"/>
        <v>52440</v>
      </c>
      <c r="D170" s="33" t="str">
        <f t="shared" si="28"/>
        <v>균열던전 [지옥 Ⅶ] 단계를 완료하세요</v>
      </c>
      <c r="E170" s="33" t="s">
        <v>200</v>
      </c>
      <c r="F170" s="33" t="str">
        <f t="shared" si="27"/>
        <v>균열던전 [지옥 Ⅶ] 단계를 완료하세요</v>
      </c>
      <c r="H170" s="32" t="s">
        <v>276</v>
      </c>
    </row>
    <row r="171" spans="1:8" x14ac:dyDescent="0.3">
      <c r="A171" s="32" t="b">
        <v>1</v>
      </c>
      <c r="B171" s="33" t="str">
        <f t="shared" si="22"/>
        <v>업적설명 - 균열던전 [지옥 Ⅷ] 단계를 완료하세요</v>
      </c>
      <c r="C171" s="14">
        <f t="shared" si="29"/>
        <v>52441</v>
      </c>
      <c r="D171" s="33" t="str">
        <f t="shared" si="28"/>
        <v>균열던전 [지옥 Ⅷ] 단계를 완료하세요</v>
      </c>
      <c r="E171" s="33" t="s">
        <v>201</v>
      </c>
      <c r="F171" s="33" t="str">
        <f t="shared" si="27"/>
        <v>균열던전 [지옥 Ⅷ] 단계를 완료하세요</v>
      </c>
      <c r="H171" s="32" t="s">
        <v>277</v>
      </c>
    </row>
    <row r="172" spans="1:8" x14ac:dyDescent="0.3">
      <c r="A172" s="32" t="b">
        <v>1</v>
      </c>
      <c r="B172" s="33" t="str">
        <f t="shared" si="22"/>
        <v>업적설명 - 균열던전 [지옥 Ⅸ] 단계를 완료하세요</v>
      </c>
      <c r="C172" s="14">
        <f t="shared" si="29"/>
        <v>52442</v>
      </c>
      <c r="D172" s="33" t="str">
        <f t="shared" si="28"/>
        <v>균열던전 [지옥 Ⅸ] 단계를 완료하세요</v>
      </c>
      <c r="E172" s="33" t="s">
        <v>202</v>
      </c>
      <c r="F172" s="33" t="str">
        <f t="shared" si="27"/>
        <v>균열던전 [지옥 Ⅸ] 단계를 완료하세요</v>
      </c>
      <c r="H172" s="32" t="s">
        <v>278</v>
      </c>
    </row>
    <row r="173" spans="1:8" x14ac:dyDescent="0.3">
      <c r="A173" s="32" t="b">
        <v>1</v>
      </c>
      <c r="B173" s="33" t="str">
        <f t="shared" ref="B173:B230" si="30">"업적설명 - " &amp;D173</f>
        <v>업적설명 - 균열던전 [지옥 Ⅹ] 단계를 완료하세요</v>
      </c>
      <c r="C173" s="14">
        <f t="shared" si="29"/>
        <v>52443</v>
      </c>
      <c r="D173" s="33" t="str">
        <f t="shared" si="28"/>
        <v>균열던전 [지옥 Ⅹ] 단계를 완료하세요</v>
      </c>
      <c r="E173" s="33" t="s">
        <v>203</v>
      </c>
      <c r="F173" s="33" t="str">
        <f t="shared" si="27"/>
        <v>균열던전 [지옥 Ⅹ] 단계를 완료하세요</v>
      </c>
      <c r="H173" s="32" t="s">
        <v>279</v>
      </c>
    </row>
    <row r="174" spans="1:8" x14ac:dyDescent="0.3">
      <c r="A174" s="32" t="b">
        <v>1</v>
      </c>
      <c r="B174" s="33" t="str">
        <f t="shared" si="30"/>
        <v>업적설명 - 균열던전 [지옥 ⅩⅠ] 단계를 완료하세요</v>
      </c>
      <c r="C174" s="14">
        <f t="shared" si="29"/>
        <v>52444</v>
      </c>
      <c r="D174" s="33" t="str">
        <f t="shared" si="28"/>
        <v>균열던전 [지옥 ⅩⅠ] 단계를 완료하세요</v>
      </c>
      <c r="E174" s="33" t="s">
        <v>204</v>
      </c>
      <c r="F174" s="33" t="str">
        <f t="shared" si="27"/>
        <v>균열던전 [지옥 ⅩⅠ] 단계를 완료하세요</v>
      </c>
      <c r="H174" s="32" t="s">
        <v>280</v>
      </c>
    </row>
    <row r="175" spans="1:8" x14ac:dyDescent="0.3">
      <c r="A175" s="32" t="b">
        <v>1</v>
      </c>
      <c r="B175" s="33" t="str">
        <f t="shared" si="30"/>
        <v>업적설명 - 균열던전 [지옥 ⅩⅡ] 단계를 완료하세요</v>
      </c>
      <c r="C175" s="14">
        <f t="shared" si="29"/>
        <v>52445</v>
      </c>
      <c r="D175" s="33" t="str">
        <f t="shared" si="28"/>
        <v>균열던전 [지옥 ⅩⅡ] 단계를 완료하세요</v>
      </c>
      <c r="E175" s="33" t="s">
        <v>205</v>
      </c>
      <c r="F175" s="33" t="str">
        <f t="shared" si="27"/>
        <v>균열던전 [지옥 ⅩⅡ] 단계를 완료하세요</v>
      </c>
      <c r="H175" s="32" t="s">
        <v>281</v>
      </c>
    </row>
    <row r="176" spans="1:8" x14ac:dyDescent="0.3">
      <c r="A176" s="32" t="b">
        <v>1</v>
      </c>
      <c r="B176" s="33" t="str">
        <f t="shared" si="30"/>
        <v>업적설명 - 균열던전 [지옥 ⅩⅢ] 단계를 완료하세요</v>
      </c>
      <c r="C176" s="14">
        <f t="shared" si="29"/>
        <v>52446</v>
      </c>
      <c r="D176" s="33" t="str">
        <f t="shared" si="28"/>
        <v>균열던전 [지옥 ⅩⅢ] 단계를 완료하세요</v>
      </c>
      <c r="E176" s="33" t="s">
        <v>206</v>
      </c>
      <c r="F176" s="33" t="str">
        <f t="shared" si="27"/>
        <v>균열던전 [지옥 ⅩⅢ] 단계를 완료하세요</v>
      </c>
      <c r="H176" s="32" t="s">
        <v>282</v>
      </c>
    </row>
    <row r="177" spans="1:8" x14ac:dyDescent="0.3">
      <c r="A177" s="32" t="b">
        <v>1</v>
      </c>
      <c r="B177" s="33" t="str">
        <f t="shared" si="30"/>
        <v>업적설명 - 균열던전 [지옥 ⅩⅣ] 단계를 완료하세요</v>
      </c>
      <c r="C177" s="14">
        <f t="shared" si="29"/>
        <v>52447</v>
      </c>
      <c r="D177" s="33" t="str">
        <f t="shared" si="28"/>
        <v>균열던전 [지옥 ⅩⅣ] 단계를 완료하세요</v>
      </c>
      <c r="E177" s="33" t="s">
        <v>207</v>
      </c>
      <c r="F177" s="33" t="str">
        <f t="shared" si="27"/>
        <v>균열던전 [지옥 ⅩⅣ] 단계를 완료하세요</v>
      </c>
      <c r="H177" s="32" t="s">
        <v>283</v>
      </c>
    </row>
    <row r="178" spans="1:8" x14ac:dyDescent="0.3">
      <c r="A178" s="32" t="b">
        <v>1</v>
      </c>
      <c r="B178" s="33" t="str">
        <f t="shared" si="30"/>
        <v>업적설명 - 균열던전 [지옥 ⅩⅤ] 단계를 완료하세요</v>
      </c>
      <c r="C178" s="14">
        <f t="shared" si="29"/>
        <v>52448</v>
      </c>
      <c r="D178" s="33" t="str">
        <f t="shared" si="28"/>
        <v>균열던전 [지옥 ⅩⅤ] 단계를 완료하세요</v>
      </c>
      <c r="E178" s="33" t="s">
        <v>208</v>
      </c>
      <c r="F178" s="33" t="str">
        <f t="shared" si="27"/>
        <v>균열던전 [지옥 ⅩⅤ] 단계를 완료하세요</v>
      </c>
      <c r="H178" s="32" t="s">
        <v>284</v>
      </c>
    </row>
    <row r="179" spans="1:8" x14ac:dyDescent="0.3">
      <c r="A179" s="28" t="b">
        <v>1</v>
      </c>
      <c r="B179" s="29" t="str">
        <f t="shared" si="30"/>
        <v>업적설명 - 결투장에서 1연승을 달성하세요</v>
      </c>
      <c r="C179" s="16">
        <f t="shared" si="29"/>
        <v>52449</v>
      </c>
      <c r="D179" s="29" t="str">
        <f>"결투장에서 " &amp; H179 &amp; "연승을 달성하세요"</f>
        <v>결투장에서 1연승을 달성하세요</v>
      </c>
      <c r="E179" s="29" t="str">
        <f xml:space="preserve"> "Win the arena fight " &amp; H179 &amp; " time in a row"</f>
        <v>Win the arena fight 1 time in a row</v>
      </c>
      <c r="F179" s="29" t="str">
        <f t="shared" si="27"/>
        <v>결투장에서 1연승을 달성하세요</v>
      </c>
      <c r="H179" s="28">
        <f>Achievement!J154</f>
        <v>1</v>
      </c>
    </row>
    <row r="180" spans="1:8" x14ac:dyDescent="0.3">
      <c r="A180" s="28" t="b">
        <v>1</v>
      </c>
      <c r="B180" s="29" t="str">
        <f t="shared" si="30"/>
        <v>업적설명 - 결투장에서 2연승을 달성하세요</v>
      </c>
      <c r="C180" s="17">
        <f t="shared" si="29"/>
        <v>52450</v>
      </c>
      <c r="D180" s="29" t="str">
        <f t="shared" ref="D180:D209" si="31">"결투장에서 " &amp; H180 &amp; "연승을 달성하세요"</f>
        <v>결투장에서 2연승을 달성하세요</v>
      </c>
      <c r="E180" s="29" t="str">
        <f xml:space="preserve"> "Win the arena fight " &amp; H180 &amp; " times in a row"</f>
        <v>Win the arena fight 2 times in a row</v>
      </c>
      <c r="F180" s="29" t="str">
        <f t="shared" si="27"/>
        <v>결투장에서 2연승을 달성하세요</v>
      </c>
      <c r="H180" s="28">
        <f>Achievement!J155</f>
        <v>2</v>
      </c>
    </row>
    <row r="181" spans="1:8" x14ac:dyDescent="0.3">
      <c r="A181" s="28" t="b">
        <v>1</v>
      </c>
      <c r="B181" s="29" t="str">
        <f t="shared" si="30"/>
        <v>업적설명 - 결투장에서 3연승을 달성하세요</v>
      </c>
      <c r="C181" s="17">
        <f t="shared" si="29"/>
        <v>52451</v>
      </c>
      <c r="D181" s="29" t="str">
        <f t="shared" si="31"/>
        <v>결투장에서 3연승을 달성하세요</v>
      </c>
      <c r="E181" s="29" t="str">
        <f t="shared" ref="E181:E209" si="32" xml:space="preserve"> "Win the arena fight " &amp; H181 &amp; " times in a row"</f>
        <v>Win the arena fight 3 times in a row</v>
      </c>
      <c r="F181" s="29" t="str">
        <f t="shared" si="27"/>
        <v>결투장에서 3연승을 달성하세요</v>
      </c>
      <c r="H181" s="28">
        <f>Achievement!J156</f>
        <v>3</v>
      </c>
    </row>
    <row r="182" spans="1:8" x14ac:dyDescent="0.3">
      <c r="A182" s="28" t="b">
        <v>1</v>
      </c>
      <c r="B182" s="29" t="str">
        <f t="shared" si="30"/>
        <v>업적설명 - 결투장에서 4연승을 달성하세요</v>
      </c>
      <c r="C182" s="17">
        <f t="shared" si="29"/>
        <v>52452</v>
      </c>
      <c r="D182" s="29" t="str">
        <f t="shared" si="31"/>
        <v>결투장에서 4연승을 달성하세요</v>
      </c>
      <c r="E182" s="29" t="str">
        <f t="shared" si="32"/>
        <v>Win the arena fight 4 times in a row</v>
      </c>
      <c r="F182" s="29" t="str">
        <f t="shared" ref="F182:F239" si="33">D182</f>
        <v>결투장에서 4연승을 달성하세요</v>
      </c>
      <c r="H182" s="28">
        <f>Achievement!J157</f>
        <v>4</v>
      </c>
    </row>
    <row r="183" spans="1:8" x14ac:dyDescent="0.3">
      <c r="A183" s="28" t="b">
        <v>1</v>
      </c>
      <c r="B183" s="29" t="str">
        <f t="shared" si="30"/>
        <v>업적설명 - 결투장에서 5연승을 달성하세요</v>
      </c>
      <c r="C183" s="17">
        <f t="shared" si="29"/>
        <v>52453</v>
      </c>
      <c r="D183" s="29" t="str">
        <f t="shared" si="31"/>
        <v>결투장에서 5연승을 달성하세요</v>
      </c>
      <c r="E183" s="29" t="str">
        <f t="shared" si="32"/>
        <v>Win the arena fight 5 times in a row</v>
      </c>
      <c r="F183" s="29" t="str">
        <f t="shared" si="33"/>
        <v>결투장에서 5연승을 달성하세요</v>
      </c>
      <c r="H183" s="28">
        <f>Achievement!J158</f>
        <v>5</v>
      </c>
    </row>
    <row r="184" spans="1:8" x14ac:dyDescent="0.3">
      <c r="A184" s="28" t="b">
        <v>1</v>
      </c>
      <c r="B184" s="29" t="str">
        <f t="shared" si="30"/>
        <v>업적설명 - 결투장에서 6연승을 달성하세요</v>
      </c>
      <c r="C184" s="17">
        <f t="shared" si="29"/>
        <v>52454</v>
      </c>
      <c r="D184" s="29" t="str">
        <f t="shared" si="31"/>
        <v>결투장에서 6연승을 달성하세요</v>
      </c>
      <c r="E184" s="29" t="str">
        <f t="shared" si="32"/>
        <v>Win the arena fight 6 times in a row</v>
      </c>
      <c r="F184" s="29" t="str">
        <f t="shared" si="33"/>
        <v>결투장에서 6연승을 달성하세요</v>
      </c>
      <c r="H184" s="28">
        <f>Achievement!J159</f>
        <v>6</v>
      </c>
    </row>
    <row r="185" spans="1:8" x14ac:dyDescent="0.3">
      <c r="A185" s="28" t="b">
        <v>1</v>
      </c>
      <c r="B185" s="29" t="str">
        <f t="shared" si="30"/>
        <v>업적설명 - 결투장에서 7연승을 달성하세요</v>
      </c>
      <c r="C185" s="17">
        <f t="shared" si="29"/>
        <v>52455</v>
      </c>
      <c r="D185" s="29" t="str">
        <f t="shared" si="31"/>
        <v>결투장에서 7연승을 달성하세요</v>
      </c>
      <c r="E185" s="29" t="str">
        <f t="shared" si="32"/>
        <v>Win the arena fight 7 times in a row</v>
      </c>
      <c r="F185" s="29" t="str">
        <f t="shared" si="33"/>
        <v>결투장에서 7연승을 달성하세요</v>
      </c>
      <c r="H185" s="28">
        <f>Achievement!J160</f>
        <v>7</v>
      </c>
    </row>
    <row r="186" spans="1:8" x14ac:dyDescent="0.3">
      <c r="A186" s="28" t="b">
        <v>1</v>
      </c>
      <c r="B186" s="29" t="str">
        <f t="shared" si="30"/>
        <v>업적설명 - 결투장에서 8연승을 달성하세요</v>
      </c>
      <c r="C186" s="17">
        <f t="shared" si="29"/>
        <v>52456</v>
      </c>
      <c r="D186" s="29" t="str">
        <f t="shared" si="31"/>
        <v>결투장에서 8연승을 달성하세요</v>
      </c>
      <c r="E186" s="29" t="str">
        <f t="shared" si="32"/>
        <v>Win the arena fight 8 times in a row</v>
      </c>
      <c r="F186" s="29" t="str">
        <f t="shared" si="33"/>
        <v>결투장에서 8연승을 달성하세요</v>
      </c>
      <c r="H186" s="28">
        <f>Achievement!J161</f>
        <v>8</v>
      </c>
    </row>
    <row r="187" spans="1:8" x14ac:dyDescent="0.3">
      <c r="A187" s="28" t="b">
        <v>1</v>
      </c>
      <c r="B187" s="29" t="str">
        <f t="shared" si="30"/>
        <v>업적설명 - 결투장에서 9연승을 달성하세요</v>
      </c>
      <c r="C187" s="17">
        <f t="shared" si="29"/>
        <v>52457</v>
      </c>
      <c r="D187" s="29" t="str">
        <f t="shared" si="31"/>
        <v>결투장에서 9연승을 달성하세요</v>
      </c>
      <c r="E187" s="29" t="str">
        <f t="shared" si="32"/>
        <v>Win the arena fight 9 times in a row</v>
      </c>
      <c r="F187" s="29" t="str">
        <f t="shared" si="33"/>
        <v>결투장에서 9연승을 달성하세요</v>
      </c>
      <c r="H187" s="28">
        <f>Achievement!J162</f>
        <v>9</v>
      </c>
    </row>
    <row r="188" spans="1:8" x14ac:dyDescent="0.3">
      <c r="A188" s="28" t="b">
        <v>1</v>
      </c>
      <c r="B188" s="29" t="str">
        <f t="shared" si="30"/>
        <v>업적설명 - 결투장에서 10연승을 달성하세요</v>
      </c>
      <c r="C188" s="17">
        <f t="shared" si="29"/>
        <v>52458</v>
      </c>
      <c r="D188" s="29" t="str">
        <f t="shared" si="31"/>
        <v>결투장에서 10연승을 달성하세요</v>
      </c>
      <c r="E188" s="29" t="str">
        <f t="shared" si="32"/>
        <v>Win the arena fight 10 times in a row</v>
      </c>
      <c r="F188" s="29" t="str">
        <f t="shared" si="33"/>
        <v>결투장에서 10연승을 달성하세요</v>
      </c>
      <c r="H188" s="28">
        <f>Achievement!J163</f>
        <v>10</v>
      </c>
    </row>
    <row r="189" spans="1:8" x14ac:dyDescent="0.3">
      <c r="A189" s="28" t="b">
        <v>1</v>
      </c>
      <c r="B189" s="29" t="str">
        <f t="shared" si="30"/>
        <v>업적설명 - 결투장에서 11연승을 달성하세요</v>
      </c>
      <c r="C189" s="17">
        <f t="shared" si="29"/>
        <v>52459</v>
      </c>
      <c r="D189" s="29" t="str">
        <f t="shared" si="31"/>
        <v>결투장에서 11연승을 달성하세요</v>
      </c>
      <c r="E189" s="29" t="str">
        <f t="shared" si="32"/>
        <v>Win the arena fight 11 times in a row</v>
      </c>
      <c r="F189" s="29" t="str">
        <f t="shared" si="33"/>
        <v>결투장에서 11연승을 달성하세요</v>
      </c>
      <c r="H189" s="28">
        <f>Achievement!J164</f>
        <v>11</v>
      </c>
    </row>
    <row r="190" spans="1:8" x14ac:dyDescent="0.3">
      <c r="A190" s="28" t="b">
        <v>1</v>
      </c>
      <c r="B190" s="29" t="str">
        <f t="shared" si="30"/>
        <v>업적설명 - 결투장에서 12연승을 달성하세요</v>
      </c>
      <c r="C190" s="17">
        <f t="shared" si="29"/>
        <v>52460</v>
      </c>
      <c r="D190" s="29" t="str">
        <f t="shared" si="31"/>
        <v>결투장에서 12연승을 달성하세요</v>
      </c>
      <c r="E190" s="29" t="str">
        <f t="shared" si="32"/>
        <v>Win the arena fight 12 times in a row</v>
      </c>
      <c r="F190" s="29" t="str">
        <f t="shared" si="33"/>
        <v>결투장에서 12연승을 달성하세요</v>
      </c>
      <c r="H190" s="28">
        <f>Achievement!J165</f>
        <v>12</v>
      </c>
    </row>
    <row r="191" spans="1:8" x14ac:dyDescent="0.3">
      <c r="A191" s="28" t="b">
        <v>1</v>
      </c>
      <c r="B191" s="29" t="str">
        <f t="shared" si="30"/>
        <v>업적설명 - 결투장에서 13연승을 달성하세요</v>
      </c>
      <c r="C191" s="17">
        <f t="shared" si="29"/>
        <v>52461</v>
      </c>
      <c r="D191" s="29" t="str">
        <f t="shared" si="31"/>
        <v>결투장에서 13연승을 달성하세요</v>
      </c>
      <c r="E191" s="29" t="str">
        <f t="shared" si="32"/>
        <v>Win the arena fight 13 times in a row</v>
      </c>
      <c r="F191" s="29" t="str">
        <f t="shared" si="33"/>
        <v>결투장에서 13연승을 달성하세요</v>
      </c>
      <c r="H191" s="28">
        <f>Achievement!J166</f>
        <v>13</v>
      </c>
    </row>
    <row r="192" spans="1:8" x14ac:dyDescent="0.3">
      <c r="A192" s="28" t="b">
        <v>1</v>
      </c>
      <c r="B192" s="29" t="str">
        <f t="shared" si="30"/>
        <v>업적설명 - 결투장에서 14연승을 달성하세요</v>
      </c>
      <c r="C192" s="17">
        <f t="shared" si="29"/>
        <v>52462</v>
      </c>
      <c r="D192" s="29" t="str">
        <f t="shared" si="31"/>
        <v>결투장에서 14연승을 달성하세요</v>
      </c>
      <c r="E192" s="29" t="str">
        <f t="shared" si="32"/>
        <v>Win the arena fight 14 times in a row</v>
      </c>
      <c r="F192" s="29" t="str">
        <f t="shared" si="33"/>
        <v>결투장에서 14연승을 달성하세요</v>
      </c>
      <c r="H192" s="28">
        <f>Achievement!J167</f>
        <v>14</v>
      </c>
    </row>
    <row r="193" spans="1:8" x14ac:dyDescent="0.3">
      <c r="A193" s="28" t="b">
        <v>1</v>
      </c>
      <c r="B193" s="29" t="str">
        <f t="shared" si="30"/>
        <v>업적설명 - 결투장에서 15연승을 달성하세요</v>
      </c>
      <c r="C193" s="17">
        <f t="shared" si="29"/>
        <v>52463</v>
      </c>
      <c r="D193" s="29" t="str">
        <f t="shared" si="31"/>
        <v>결투장에서 15연승을 달성하세요</v>
      </c>
      <c r="E193" s="29" t="str">
        <f t="shared" si="32"/>
        <v>Win the arena fight 15 times in a row</v>
      </c>
      <c r="F193" s="29" t="str">
        <f t="shared" si="33"/>
        <v>결투장에서 15연승을 달성하세요</v>
      </c>
      <c r="H193" s="28">
        <f>Achievement!J168</f>
        <v>15</v>
      </c>
    </row>
    <row r="194" spans="1:8" x14ac:dyDescent="0.3">
      <c r="A194" s="28" t="b">
        <v>1</v>
      </c>
      <c r="B194" s="29" t="str">
        <f t="shared" si="30"/>
        <v>업적설명 - 결투장에서 16연승을 달성하세요</v>
      </c>
      <c r="C194" s="17">
        <f t="shared" si="29"/>
        <v>52464</v>
      </c>
      <c r="D194" s="29" t="str">
        <f t="shared" si="31"/>
        <v>결투장에서 16연승을 달성하세요</v>
      </c>
      <c r="E194" s="29" t="str">
        <f t="shared" si="32"/>
        <v>Win the arena fight 16 times in a row</v>
      </c>
      <c r="F194" s="29" t="str">
        <f t="shared" si="33"/>
        <v>결투장에서 16연승을 달성하세요</v>
      </c>
      <c r="H194" s="28">
        <f>Achievement!J169</f>
        <v>16</v>
      </c>
    </row>
    <row r="195" spans="1:8" x14ac:dyDescent="0.3">
      <c r="A195" s="28" t="b">
        <v>1</v>
      </c>
      <c r="B195" s="29" t="str">
        <f t="shared" si="30"/>
        <v>업적설명 - 결투장에서 17연승을 달성하세요</v>
      </c>
      <c r="C195" s="17">
        <f t="shared" si="29"/>
        <v>52465</v>
      </c>
      <c r="D195" s="29" t="str">
        <f t="shared" si="31"/>
        <v>결투장에서 17연승을 달성하세요</v>
      </c>
      <c r="E195" s="29" t="str">
        <f t="shared" si="32"/>
        <v>Win the arena fight 17 times in a row</v>
      </c>
      <c r="F195" s="29" t="str">
        <f t="shared" si="33"/>
        <v>결투장에서 17연승을 달성하세요</v>
      </c>
      <c r="H195" s="28">
        <f>Achievement!J170</f>
        <v>17</v>
      </c>
    </row>
    <row r="196" spans="1:8" x14ac:dyDescent="0.3">
      <c r="A196" s="28" t="b">
        <v>1</v>
      </c>
      <c r="B196" s="29" t="str">
        <f t="shared" si="30"/>
        <v>업적설명 - 결투장에서 18연승을 달성하세요</v>
      </c>
      <c r="C196" s="17">
        <f t="shared" si="29"/>
        <v>52466</v>
      </c>
      <c r="D196" s="29" t="str">
        <f t="shared" si="31"/>
        <v>결투장에서 18연승을 달성하세요</v>
      </c>
      <c r="E196" s="29" t="str">
        <f t="shared" si="32"/>
        <v>Win the arena fight 18 times in a row</v>
      </c>
      <c r="F196" s="29" t="str">
        <f t="shared" si="33"/>
        <v>결투장에서 18연승을 달성하세요</v>
      </c>
      <c r="H196" s="28">
        <f>Achievement!J171</f>
        <v>18</v>
      </c>
    </row>
    <row r="197" spans="1:8" x14ac:dyDescent="0.3">
      <c r="A197" s="28" t="b">
        <v>1</v>
      </c>
      <c r="B197" s="29" t="str">
        <f t="shared" si="30"/>
        <v>업적설명 - 결투장에서 19연승을 달성하세요</v>
      </c>
      <c r="C197" s="17">
        <f t="shared" si="29"/>
        <v>52467</v>
      </c>
      <c r="D197" s="29" t="str">
        <f t="shared" si="31"/>
        <v>결투장에서 19연승을 달성하세요</v>
      </c>
      <c r="E197" s="29" t="str">
        <f t="shared" si="32"/>
        <v>Win the arena fight 19 times in a row</v>
      </c>
      <c r="F197" s="29" t="str">
        <f t="shared" si="33"/>
        <v>결투장에서 19연승을 달성하세요</v>
      </c>
      <c r="H197" s="28">
        <f>Achievement!J172</f>
        <v>19</v>
      </c>
    </row>
    <row r="198" spans="1:8" x14ac:dyDescent="0.3">
      <c r="A198" s="28" t="b">
        <v>1</v>
      </c>
      <c r="B198" s="29" t="str">
        <f t="shared" si="30"/>
        <v>업적설명 - 결투장에서 20연승을 달성하세요</v>
      </c>
      <c r="C198" s="17">
        <f t="shared" si="29"/>
        <v>52468</v>
      </c>
      <c r="D198" s="29" t="str">
        <f t="shared" si="31"/>
        <v>결투장에서 20연승을 달성하세요</v>
      </c>
      <c r="E198" s="29" t="str">
        <f t="shared" si="32"/>
        <v>Win the arena fight 20 times in a row</v>
      </c>
      <c r="F198" s="29" t="str">
        <f t="shared" si="33"/>
        <v>결투장에서 20연승을 달성하세요</v>
      </c>
      <c r="H198" s="28">
        <f>Achievement!J173</f>
        <v>20</v>
      </c>
    </row>
    <row r="199" spans="1:8" x14ac:dyDescent="0.3">
      <c r="A199" s="28" t="b">
        <v>1</v>
      </c>
      <c r="B199" s="29" t="str">
        <f t="shared" si="30"/>
        <v>업적설명 - 결투장에서 25연승을 달성하세요</v>
      </c>
      <c r="C199" s="17">
        <f t="shared" si="29"/>
        <v>52469</v>
      </c>
      <c r="D199" s="29" t="str">
        <f t="shared" si="31"/>
        <v>결투장에서 25연승을 달성하세요</v>
      </c>
      <c r="E199" s="29" t="str">
        <f t="shared" si="32"/>
        <v>Win the arena fight 25 times in a row</v>
      </c>
      <c r="F199" s="29" t="str">
        <f t="shared" si="33"/>
        <v>결투장에서 25연승을 달성하세요</v>
      </c>
      <c r="H199" s="28">
        <f>Achievement!J174</f>
        <v>25</v>
      </c>
    </row>
    <row r="200" spans="1:8" x14ac:dyDescent="0.3">
      <c r="A200" s="28" t="b">
        <v>1</v>
      </c>
      <c r="B200" s="29" t="str">
        <f t="shared" si="30"/>
        <v>업적설명 - 결투장에서 30연승을 달성하세요</v>
      </c>
      <c r="C200" s="17">
        <f t="shared" si="29"/>
        <v>52470</v>
      </c>
      <c r="D200" s="29" t="str">
        <f t="shared" si="31"/>
        <v>결투장에서 30연승을 달성하세요</v>
      </c>
      <c r="E200" s="29" t="str">
        <f t="shared" si="32"/>
        <v>Win the arena fight 30 times in a row</v>
      </c>
      <c r="F200" s="29" t="str">
        <f t="shared" si="33"/>
        <v>결투장에서 30연승을 달성하세요</v>
      </c>
      <c r="H200" s="28">
        <f>Achievement!J175</f>
        <v>30</v>
      </c>
    </row>
    <row r="201" spans="1:8" x14ac:dyDescent="0.3">
      <c r="A201" s="28" t="b">
        <v>1</v>
      </c>
      <c r="B201" s="29" t="str">
        <f t="shared" si="30"/>
        <v>업적설명 - 결투장에서 35연승을 달성하세요</v>
      </c>
      <c r="C201" s="17">
        <f t="shared" si="29"/>
        <v>52471</v>
      </c>
      <c r="D201" s="29" t="str">
        <f t="shared" si="31"/>
        <v>결투장에서 35연승을 달성하세요</v>
      </c>
      <c r="E201" s="29" t="str">
        <f t="shared" si="32"/>
        <v>Win the arena fight 35 times in a row</v>
      </c>
      <c r="F201" s="29" t="str">
        <f t="shared" si="33"/>
        <v>결투장에서 35연승을 달성하세요</v>
      </c>
      <c r="H201" s="28">
        <f>Achievement!J176</f>
        <v>35</v>
      </c>
    </row>
    <row r="202" spans="1:8" x14ac:dyDescent="0.3">
      <c r="A202" s="28" t="b">
        <v>1</v>
      </c>
      <c r="B202" s="29" t="str">
        <f t="shared" si="30"/>
        <v>업적설명 - 결투장에서 40연승을 달성하세요</v>
      </c>
      <c r="C202" s="17">
        <f t="shared" si="29"/>
        <v>52472</v>
      </c>
      <c r="D202" s="29" t="str">
        <f t="shared" si="31"/>
        <v>결투장에서 40연승을 달성하세요</v>
      </c>
      <c r="E202" s="29" t="str">
        <f t="shared" si="32"/>
        <v>Win the arena fight 40 times in a row</v>
      </c>
      <c r="F202" s="29" t="str">
        <f t="shared" si="33"/>
        <v>결투장에서 40연승을 달성하세요</v>
      </c>
      <c r="H202" s="28">
        <f>Achievement!J177</f>
        <v>40</v>
      </c>
    </row>
    <row r="203" spans="1:8" x14ac:dyDescent="0.3">
      <c r="A203" s="28" t="b">
        <v>1</v>
      </c>
      <c r="B203" s="29" t="str">
        <f t="shared" si="30"/>
        <v>업적설명 - 결투장에서 45연승을 달성하세요</v>
      </c>
      <c r="C203" s="17">
        <f t="shared" si="29"/>
        <v>52473</v>
      </c>
      <c r="D203" s="29" t="str">
        <f t="shared" si="31"/>
        <v>결투장에서 45연승을 달성하세요</v>
      </c>
      <c r="E203" s="29" t="str">
        <f t="shared" si="32"/>
        <v>Win the arena fight 45 times in a row</v>
      </c>
      <c r="F203" s="29" t="str">
        <f t="shared" si="33"/>
        <v>결투장에서 45연승을 달성하세요</v>
      </c>
      <c r="H203" s="28">
        <f>Achievement!J178</f>
        <v>45</v>
      </c>
    </row>
    <row r="204" spans="1:8" x14ac:dyDescent="0.3">
      <c r="A204" s="28" t="b">
        <v>1</v>
      </c>
      <c r="B204" s="29" t="str">
        <f t="shared" si="30"/>
        <v>업적설명 - 결투장에서 50연승을 달성하세요</v>
      </c>
      <c r="C204" s="17">
        <f t="shared" si="29"/>
        <v>52474</v>
      </c>
      <c r="D204" s="29" t="str">
        <f t="shared" si="31"/>
        <v>결투장에서 50연승을 달성하세요</v>
      </c>
      <c r="E204" s="29" t="str">
        <f t="shared" si="32"/>
        <v>Win the arena fight 50 times in a row</v>
      </c>
      <c r="F204" s="29" t="str">
        <f t="shared" si="33"/>
        <v>결투장에서 50연승을 달성하세요</v>
      </c>
      <c r="H204" s="28">
        <f>Achievement!J179</f>
        <v>50</v>
      </c>
    </row>
    <row r="205" spans="1:8" x14ac:dyDescent="0.3">
      <c r="A205" s="28" t="b">
        <v>1</v>
      </c>
      <c r="B205" s="29" t="str">
        <f t="shared" si="30"/>
        <v>업적설명 - 결투장에서 60연승을 달성하세요</v>
      </c>
      <c r="C205" s="17">
        <f t="shared" si="29"/>
        <v>52475</v>
      </c>
      <c r="D205" s="29" t="str">
        <f t="shared" si="31"/>
        <v>결투장에서 60연승을 달성하세요</v>
      </c>
      <c r="E205" s="29" t="str">
        <f t="shared" si="32"/>
        <v>Win the arena fight 60 times in a row</v>
      </c>
      <c r="F205" s="29" t="str">
        <f t="shared" si="33"/>
        <v>결투장에서 60연승을 달성하세요</v>
      </c>
      <c r="H205" s="28">
        <f>Achievement!J180</f>
        <v>60</v>
      </c>
    </row>
    <row r="206" spans="1:8" x14ac:dyDescent="0.3">
      <c r="A206" s="28" t="b">
        <v>1</v>
      </c>
      <c r="B206" s="29" t="str">
        <f t="shared" si="30"/>
        <v>업적설명 - 결투장에서 70연승을 달성하세요</v>
      </c>
      <c r="C206" s="17">
        <f t="shared" si="29"/>
        <v>52476</v>
      </c>
      <c r="D206" s="29" t="str">
        <f t="shared" si="31"/>
        <v>결투장에서 70연승을 달성하세요</v>
      </c>
      <c r="E206" s="29" t="str">
        <f t="shared" si="32"/>
        <v>Win the arena fight 70 times in a row</v>
      </c>
      <c r="F206" s="29" t="str">
        <f t="shared" si="33"/>
        <v>결투장에서 70연승을 달성하세요</v>
      </c>
      <c r="H206" s="28">
        <f>Achievement!J181</f>
        <v>70</v>
      </c>
    </row>
    <row r="207" spans="1:8" x14ac:dyDescent="0.3">
      <c r="A207" s="28" t="b">
        <v>1</v>
      </c>
      <c r="B207" s="29" t="str">
        <f t="shared" si="30"/>
        <v>업적설명 - 결투장에서 80연승을 달성하세요</v>
      </c>
      <c r="C207" s="17">
        <f t="shared" si="29"/>
        <v>52477</v>
      </c>
      <c r="D207" s="29" t="str">
        <f t="shared" si="31"/>
        <v>결투장에서 80연승을 달성하세요</v>
      </c>
      <c r="E207" s="29" t="str">
        <f t="shared" si="32"/>
        <v>Win the arena fight 80 times in a row</v>
      </c>
      <c r="F207" s="29" t="str">
        <f t="shared" si="33"/>
        <v>결투장에서 80연승을 달성하세요</v>
      </c>
      <c r="H207" s="28">
        <f>Achievement!J182</f>
        <v>80</v>
      </c>
    </row>
    <row r="208" spans="1:8" x14ac:dyDescent="0.3">
      <c r="A208" s="28" t="b">
        <v>1</v>
      </c>
      <c r="B208" s="29" t="str">
        <f t="shared" si="30"/>
        <v>업적설명 - 결투장에서 90연승을 달성하세요</v>
      </c>
      <c r="C208" s="17">
        <f t="shared" si="29"/>
        <v>52478</v>
      </c>
      <c r="D208" s="29" t="str">
        <f t="shared" si="31"/>
        <v>결투장에서 90연승을 달성하세요</v>
      </c>
      <c r="E208" s="29" t="str">
        <f t="shared" si="32"/>
        <v>Win the arena fight 90 times in a row</v>
      </c>
      <c r="F208" s="29" t="str">
        <f t="shared" si="33"/>
        <v>결투장에서 90연승을 달성하세요</v>
      </c>
      <c r="H208" s="28">
        <f>Achievement!J183</f>
        <v>90</v>
      </c>
    </row>
    <row r="209" spans="1:8" x14ac:dyDescent="0.3">
      <c r="A209" s="28" t="b">
        <v>1</v>
      </c>
      <c r="B209" s="29" t="str">
        <f t="shared" si="30"/>
        <v>업적설명 - 결투장에서 100연승을 달성하세요</v>
      </c>
      <c r="C209" s="17">
        <f t="shared" si="29"/>
        <v>52479</v>
      </c>
      <c r="D209" s="29" t="str">
        <f t="shared" si="31"/>
        <v>결투장에서 100연승을 달성하세요</v>
      </c>
      <c r="E209" s="29" t="str">
        <f t="shared" si="32"/>
        <v>Win the arena fight 100 times in a row</v>
      </c>
      <c r="F209" s="29" t="str">
        <f t="shared" si="33"/>
        <v>결투장에서 100연승을 달성하세요</v>
      </c>
      <c r="H209" s="28">
        <f>Achievement!J184</f>
        <v>100</v>
      </c>
    </row>
    <row r="210" spans="1:8" x14ac:dyDescent="0.3">
      <c r="A210" s="28" t="b">
        <v>1</v>
      </c>
      <c r="B210" s="29" t="str">
        <f t="shared" si="30"/>
        <v>업적설명 - 길드전을 1회 참가하세요</v>
      </c>
      <c r="C210" s="73">
        <f t="shared" si="29"/>
        <v>52480</v>
      </c>
      <c r="D210" s="29" t="str">
        <f>"길드전을 " &amp; H210 &amp; "회 참가하세요"</f>
        <v>길드전을 1회 참가하세요</v>
      </c>
      <c r="E210" s="29" t="str">
        <f xml:space="preserve"> "Perticipate guildwar " &amp; H210 &amp; " time"</f>
        <v>Perticipate guildwar 1 time</v>
      </c>
      <c r="F210" s="29" t="str">
        <f t="shared" si="33"/>
        <v>길드전을 1회 참가하세요</v>
      </c>
      <c r="H210" s="28">
        <f>Achievement!J185</f>
        <v>1</v>
      </c>
    </row>
    <row r="211" spans="1:8" x14ac:dyDescent="0.3">
      <c r="A211" s="28" t="b">
        <v>1</v>
      </c>
      <c r="B211" s="29" t="str">
        <f t="shared" si="30"/>
        <v>업적설명 - 길드전을 10회 참가하세요</v>
      </c>
      <c r="C211" s="73">
        <f t="shared" si="29"/>
        <v>52481</v>
      </c>
      <c r="D211" s="29" t="str">
        <f t="shared" ref="D211:D223" si="34">"길드전을 " &amp; H211 &amp; "회 참가하세요"</f>
        <v>길드전을 10회 참가하세요</v>
      </c>
      <c r="E211" s="29" t="str">
        <f xml:space="preserve"> "Perticipate guildwar " &amp; H211 &amp; " times"</f>
        <v>Perticipate guildwar 10 times</v>
      </c>
      <c r="F211" s="29" t="str">
        <f t="shared" si="33"/>
        <v>길드전을 10회 참가하세요</v>
      </c>
      <c r="H211" s="28">
        <f>Achievement!J186</f>
        <v>10</v>
      </c>
    </row>
    <row r="212" spans="1:8" x14ac:dyDescent="0.3">
      <c r="A212" s="28" t="b">
        <v>1</v>
      </c>
      <c r="B212" s="29" t="str">
        <f t="shared" si="30"/>
        <v>업적설명 - 길드전을 20회 참가하세요</v>
      </c>
      <c r="C212" s="73">
        <f t="shared" si="29"/>
        <v>52482</v>
      </c>
      <c r="D212" s="29" t="str">
        <f t="shared" si="34"/>
        <v>길드전을 20회 참가하세요</v>
      </c>
      <c r="E212" s="29" t="str">
        <f t="shared" ref="E212:E223" si="35" xml:space="preserve"> "Perticipate guildwar " &amp; H212 &amp; " times"</f>
        <v>Perticipate guildwar 20 times</v>
      </c>
      <c r="F212" s="29" t="str">
        <f t="shared" si="33"/>
        <v>길드전을 20회 참가하세요</v>
      </c>
      <c r="H212" s="28">
        <f>Achievement!J187</f>
        <v>20</v>
      </c>
    </row>
    <row r="213" spans="1:8" x14ac:dyDescent="0.3">
      <c r="A213" s="28" t="b">
        <v>1</v>
      </c>
      <c r="B213" s="29" t="str">
        <f t="shared" si="30"/>
        <v>업적설명 - 길드전을 30회 참가하세요</v>
      </c>
      <c r="C213" s="73">
        <f t="shared" si="29"/>
        <v>52483</v>
      </c>
      <c r="D213" s="29" t="str">
        <f t="shared" si="34"/>
        <v>길드전을 30회 참가하세요</v>
      </c>
      <c r="E213" s="29" t="str">
        <f t="shared" si="35"/>
        <v>Perticipate guildwar 30 times</v>
      </c>
      <c r="F213" s="29" t="str">
        <f t="shared" si="33"/>
        <v>길드전을 30회 참가하세요</v>
      </c>
      <c r="H213" s="28">
        <f>Achievement!J188</f>
        <v>30</v>
      </c>
    </row>
    <row r="214" spans="1:8" x14ac:dyDescent="0.3">
      <c r="A214" s="28" t="b">
        <v>1</v>
      </c>
      <c r="B214" s="29" t="str">
        <f t="shared" si="30"/>
        <v>업적설명 - 길드전을 50회 참가하세요</v>
      </c>
      <c r="C214" s="73">
        <f t="shared" si="29"/>
        <v>52484</v>
      </c>
      <c r="D214" s="29" t="str">
        <f t="shared" si="34"/>
        <v>길드전을 50회 참가하세요</v>
      </c>
      <c r="E214" s="29" t="str">
        <f t="shared" si="35"/>
        <v>Perticipate guildwar 50 times</v>
      </c>
      <c r="F214" s="29" t="str">
        <f t="shared" si="33"/>
        <v>길드전을 50회 참가하세요</v>
      </c>
      <c r="H214" s="28">
        <f>Achievement!J189</f>
        <v>50</v>
      </c>
    </row>
    <row r="215" spans="1:8" x14ac:dyDescent="0.3">
      <c r="A215" s="28" t="b">
        <v>1</v>
      </c>
      <c r="B215" s="29" t="str">
        <f t="shared" si="30"/>
        <v>업적설명 - 길드전을 100회 참가하세요</v>
      </c>
      <c r="C215" s="73">
        <f t="shared" si="29"/>
        <v>52485</v>
      </c>
      <c r="D215" s="29" t="str">
        <f t="shared" si="34"/>
        <v>길드전을 100회 참가하세요</v>
      </c>
      <c r="E215" s="29" t="str">
        <f t="shared" si="35"/>
        <v>Perticipate guildwar 100 times</v>
      </c>
      <c r="F215" s="29" t="str">
        <f t="shared" si="33"/>
        <v>길드전을 100회 참가하세요</v>
      </c>
      <c r="H215" s="28">
        <f>Achievement!J190</f>
        <v>100</v>
      </c>
    </row>
    <row r="216" spans="1:8" x14ac:dyDescent="0.3">
      <c r="A216" s="28" t="b">
        <v>1</v>
      </c>
      <c r="B216" s="29" t="str">
        <f t="shared" si="30"/>
        <v>업적설명 - 길드전을 150회 참가하세요</v>
      </c>
      <c r="C216" s="73">
        <f t="shared" si="29"/>
        <v>52486</v>
      </c>
      <c r="D216" s="29" t="str">
        <f t="shared" si="34"/>
        <v>길드전을 150회 참가하세요</v>
      </c>
      <c r="E216" s="29" t="str">
        <f t="shared" si="35"/>
        <v>Perticipate guildwar 150 times</v>
      </c>
      <c r="F216" s="29" t="str">
        <f t="shared" si="33"/>
        <v>길드전을 150회 참가하세요</v>
      </c>
      <c r="H216" s="28">
        <f>Achievement!J191</f>
        <v>150</v>
      </c>
    </row>
    <row r="217" spans="1:8" x14ac:dyDescent="0.3">
      <c r="A217" s="28" t="b">
        <v>1</v>
      </c>
      <c r="B217" s="29" t="str">
        <f t="shared" si="30"/>
        <v>업적설명 - 길드전을 200회 참가하세요</v>
      </c>
      <c r="C217" s="73">
        <f t="shared" si="29"/>
        <v>52487</v>
      </c>
      <c r="D217" s="29" t="str">
        <f t="shared" si="34"/>
        <v>길드전을 200회 참가하세요</v>
      </c>
      <c r="E217" s="29" t="str">
        <f t="shared" si="35"/>
        <v>Perticipate guildwar 200 times</v>
      </c>
      <c r="F217" s="29" t="str">
        <f t="shared" si="33"/>
        <v>길드전을 200회 참가하세요</v>
      </c>
      <c r="H217" s="28">
        <f>Achievement!J192</f>
        <v>200</v>
      </c>
    </row>
    <row r="218" spans="1:8" x14ac:dyDescent="0.3">
      <c r="A218" s="28" t="b">
        <v>1</v>
      </c>
      <c r="B218" s="29" t="str">
        <f t="shared" si="30"/>
        <v>업적설명 - 길드전을 250회 참가하세요</v>
      </c>
      <c r="C218" s="73">
        <f t="shared" si="29"/>
        <v>52488</v>
      </c>
      <c r="D218" s="29" t="str">
        <f t="shared" si="34"/>
        <v>길드전을 250회 참가하세요</v>
      </c>
      <c r="E218" s="29" t="str">
        <f t="shared" si="35"/>
        <v>Perticipate guildwar 250 times</v>
      </c>
      <c r="F218" s="29" t="str">
        <f t="shared" si="33"/>
        <v>길드전을 250회 참가하세요</v>
      </c>
      <c r="H218" s="28">
        <f>Achievement!J193</f>
        <v>250</v>
      </c>
    </row>
    <row r="219" spans="1:8" x14ac:dyDescent="0.3">
      <c r="A219" s="28" t="b">
        <v>1</v>
      </c>
      <c r="B219" s="29" t="str">
        <f t="shared" si="30"/>
        <v>업적설명 - 길드전을 300회 참가하세요</v>
      </c>
      <c r="C219" s="73">
        <f t="shared" si="29"/>
        <v>52489</v>
      </c>
      <c r="D219" s="29" t="str">
        <f t="shared" si="34"/>
        <v>길드전을 300회 참가하세요</v>
      </c>
      <c r="E219" s="29" t="str">
        <f t="shared" si="35"/>
        <v>Perticipate guildwar 300 times</v>
      </c>
      <c r="F219" s="29" t="str">
        <f t="shared" si="33"/>
        <v>길드전을 300회 참가하세요</v>
      </c>
      <c r="H219" s="28">
        <f>Achievement!J194</f>
        <v>300</v>
      </c>
    </row>
    <row r="220" spans="1:8" x14ac:dyDescent="0.3">
      <c r="A220" s="28" t="b">
        <v>1</v>
      </c>
      <c r="B220" s="29" t="str">
        <f t="shared" si="30"/>
        <v>업적설명 - 길드전을 350회 참가하세요</v>
      </c>
      <c r="C220" s="73">
        <f t="shared" si="29"/>
        <v>52490</v>
      </c>
      <c r="D220" s="29" t="str">
        <f t="shared" si="34"/>
        <v>길드전을 350회 참가하세요</v>
      </c>
      <c r="E220" s="29" t="str">
        <f t="shared" si="35"/>
        <v>Perticipate guildwar 350 times</v>
      </c>
      <c r="F220" s="29" t="str">
        <f t="shared" si="33"/>
        <v>길드전을 350회 참가하세요</v>
      </c>
      <c r="H220" s="28">
        <f>Achievement!J195</f>
        <v>350</v>
      </c>
    </row>
    <row r="221" spans="1:8" x14ac:dyDescent="0.3">
      <c r="A221" s="28" t="b">
        <v>1</v>
      </c>
      <c r="B221" s="29" t="str">
        <f t="shared" si="30"/>
        <v>업적설명 - 길드전을 400회 참가하세요</v>
      </c>
      <c r="C221" s="73">
        <f t="shared" si="29"/>
        <v>52491</v>
      </c>
      <c r="D221" s="29" t="str">
        <f t="shared" si="34"/>
        <v>길드전을 400회 참가하세요</v>
      </c>
      <c r="E221" s="29" t="str">
        <f t="shared" si="35"/>
        <v>Perticipate guildwar 400 times</v>
      </c>
      <c r="F221" s="29" t="str">
        <f t="shared" si="33"/>
        <v>길드전을 400회 참가하세요</v>
      </c>
      <c r="H221" s="28">
        <f>Achievement!J196</f>
        <v>400</v>
      </c>
    </row>
    <row r="222" spans="1:8" x14ac:dyDescent="0.3">
      <c r="A222" s="28" t="b">
        <v>1</v>
      </c>
      <c r="B222" s="29" t="str">
        <f t="shared" si="30"/>
        <v>업적설명 - 길드전을 450회 참가하세요</v>
      </c>
      <c r="C222" s="73">
        <f t="shared" si="29"/>
        <v>52492</v>
      </c>
      <c r="D222" s="29" t="str">
        <f t="shared" si="34"/>
        <v>길드전을 450회 참가하세요</v>
      </c>
      <c r="E222" s="29" t="str">
        <f t="shared" si="35"/>
        <v>Perticipate guildwar 450 times</v>
      </c>
      <c r="F222" s="29" t="str">
        <f t="shared" si="33"/>
        <v>길드전을 450회 참가하세요</v>
      </c>
      <c r="H222" s="28">
        <f>Achievement!J197</f>
        <v>450</v>
      </c>
    </row>
    <row r="223" spans="1:8" x14ac:dyDescent="0.3">
      <c r="A223" s="28" t="b">
        <v>1</v>
      </c>
      <c r="B223" s="29" t="str">
        <f t="shared" si="30"/>
        <v>업적설명 - 길드전을 500회 참가하세요</v>
      </c>
      <c r="C223" s="73">
        <f t="shared" si="29"/>
        <v>52493</v>
      </c>
      <c r="D223" s="29" t="str">
        <f t="shared" si="34"/>
        <v>길드전을 500회 참가하세요</v>
      </c>
      <c r="E223" s="29" t="str">
        <f t="shared" si="35"/>
        <v>Perticipate guildwar 500 times</v>
      </c>
      <c r="F223" s="29" t="str">
        <f t="shared" si="33"/>
        <v>길드전을 500회 참가하세요</v>
      </c>
      <c r="H223" s="28">
        <f>Achievement!J198</f>
        <v>500</v>
      </c>
    </row>
    <row r="224" spans="1:8" x14ac:dyDescent="0.3">
      <c r="A224" s="32" t="b">
        <v>1</v>
      </c>
      <c r="B224" s="33" t="str">
        <f t="shared" si="30"/>
        <v>업적설명 - 길드전에서 1회 승리하세요</v>
      </c>
      <c r="C224" s="73">
        <f t="shared" ref="C224:C287" si="36">C223+1</f>
        <v>52494</v>
      </c>
      <c r="D224" s="33" t="str">
        <f>"길드전에서 "&amp; H224&amp;"회 승리하세요"</f>
        <v>길드전에서 1회 승리하세요</v>
      </c>
      <c r="E224" s="33" t="str">
        <f xml:space="preserve"> "Win guildwar " &amp; H224 &amp; " time"</f>
        <v>Win guildwar 1 time</v>
      </c>
      <c r="F224" s="33" t="str">
        <f t="shared" si="33"/>
        <v>길드전에서 1회 승리하세요</v>
      </c>
      <c r="H224" s="32">
        <f>Achievement!J199</f>
        <v>1</v>
      </c>
    </row>
    <row r="225" spans="1:8" x14ac:dyDescent="0.3">
      <c r="A225" s="32" t="b">
        <v>1</v>
      </c>
      <c r="B225" s="33" t="str">
        <f t="shared" si="30"/>
        <v>업적설명 - 길드전에서 10회 승리하세요</v>
      </c>
      <c r="C225" s="73">
        <f t="shared" si="36"/>
        <v>52495</v>
      </c>
      <c r="D225" s="33" t="str">
        <f t="shared" ref="D225:D237" si="37">"길드전에서 "&amp; H225&amp;"회 승리하세요"</f>
        <v>길드전에서 10회 승리하세요</v>
      </c>
      <c r="E225" s="33" t="str">
        <f xml:space="preserve"> "Win guildwar " &amp; H225 &amp; " times"</f>
        <v>Win guildwar 10 times</v>
      </c>
      <c r="F225" s="33" t="str">
        <f t="shared" si="33"/>
        <v>길드전에서 10회 승리하세요</v>
      </c>
      <c r="H225" s="32">
        <f>Achievement!J200</f>
        <v>10</v>
      </c>
    </row>
    <row r="226" spans="1:8" x14ac:dyDescent="0.3">
      <c r="A226" s="32" t="b">
        <v>1</v>
      </c>
      <c r="B226" s="33" t="str">
        <f t="shared" si="30"/>
        <v>업적설명 - 길드전에서 20회 승리하세요</v>
      </c>
      <c r="C226" s="73">
        <f t="shared" si="36"/>
        <v>52496</v>
      </c>
      <c r="D226" s="33" t="str">
        <f t="shared" si="37"/>
        <v>길드전에서 20회 승리하세요</v>
      </c>
      <c r="E226" s="33" t="str">
        <f t="shared" ref="E226:E237" si="38" xml:space="preserve"> "Win guildwar " &amp; H226 &amp; " times"</f>
        <v>Win guildwar 20 times</v>
      </c>
      <c r="F226" s="33" t="str">
        <f t="shared" si="33"/>
        <v>길드전에서 20회 승리하세요</v>
      </c>
      <c r="H226" s="32">
        <f>Achievement!J201</f>
        <v>20</v>
      </c>
    </row>
    <row r="227" spans="1:8" x14ac:dyDescent="0.3">
      <c r="A227" s="32" t="b">
        <v>1</v>
      </c>
      <c r="B227" s="33" t="str">
        <f t="shared" si="30"/>
        <v>업적설명 - 길드전에서 30회 승리하세요</v>
      </c>
      <c r="C227" s="73">
        <f t="shared" si="36"/>
        <v>52497</v>
      </c>
      <c r="D227" s="33" t="str">
        <f t="shared" si="37"/>
        <v>길드전에서 30회 승리하세요</v>
      </c>
      <c r="E227" s="33" t="str">
        <f t="shared" si="38"/>
        <v>Win guildwar 30 times</v>
      </c>
      <c r="F227" s="33" t="str">
        <f t="shared" si="33"/>
        <v>길드전에서 30회 승리하세요</v>
      </c>
      <c r="H227" s="32">
        <f>Achievement!J202</f>
        <v>30</v>
      </c>
    </row>
    <row r="228" spans="1:8" x14ac:dyDescent="0.3">
      <c r="A228" s="32" t="b">
        <v>1</v>
      </c>
      <c r="B228" s="33" t="str">
        <f t="shared" si="30"/>
        <v>업적설명 - 길드전에서 50회 승리하세요</v>
      </c>
      <c r="C228" s="73">
        <f t="shared" si="36"/>
        <v>52498</v>
      </c>
      <c r="D228" s="33" t="str">
        <f t="shared" si="37"/>
        <v>길드전에서 50회 승리하세요</v>
      </c>
      <c r="E228" s="33" t="str">
        <f t="shared" si="38"/>
        <v>Win guildwar 50 times</v>
      </c>
      <c r="F228" s="33" t="str">
        <f t="shared" si="33"/>
        <v>길드전에서 50회 승리하세요</v>
      </c>
      <c r="H228" s="32">
        <f>Achievement!J203</f>
        <v>50</v>
      </c>
    </row>
    <row r="229" spans="1:8" x14ac:dyDescent="0.3">
      <c r="A229" s="32" t="b">
        <v>1</v>
      </c>
      <c r="B229" s="33" t="str">
        <f t="shared" si="30"/>
        <v>업적설명 - 길드전에서 100회 승리하세요</v>
      </c>
      <c r="C229" s="73">
        <f t="shared" si="36"/>
        <v>52499</v>
      </c>
      <c r="D229" s="33" t="str">
        <f t="shared" si="37"/>
        <v>길드전에서 100회 승리하세요</v>
      </c>
      <c r="E229" s="33" t="str">
        <f t="shared" si="38"/>
        <v>Win guildwar 100 times</v>
      </c>
      <c r="F229" s="33" t="str">
        <f t="shared" si="33"/>
        <v>길드전에서 100회 승리하세요</v>
      </c>
      <c r="H229" s="32">
        <f>Achievement!J204</f>
        <v>100</v>
      </c>
    </row>
    <row r="230" spans="1:8" x14ac:dyDescent="0.3">
      <c r="A230" s="32" t="b">
        <v>1</v>
      </c>
      <c r="B230" s="33" t="str">
        <f t="shared" si="30"/>
        <v>업적설명 - 길드전에서 150회 승리하세요</v>
      </c>
      <c r="C230" s="73">
        <f t="shared" si="36"/>
        <v>52500</v>
      </c>
      <c r="D230" s="33" t="str">
        <f t="shared" si="37"/>
        <v>길드전에서 150회 승리하세요</v>
      </c>
      <c r="E230" s="33" t="str">
        <f t="shared" si="38"/>
        <v>Win guildwar 150 times</v>
      </c>
      <c r="F230" s="33" t="str">
        <f t="shared" si="33"/>
        <v>길드전에서 150회 승리하세요</v>
      </c>
      <c r="H230" s="32">
        <f>Achievement!J205</f>
        <v>150</v>
      </c>
    </row>
    <row r="231" spans="1:8" x14ac:dyDescent="0.3">
      <c r="A231" s="32" t="b">
        <v>1</v>
      </c>
      <c r="B231" s="33" t="str">
        <f t="shared" ref="B231:B294" si="39">"업적설명 - " &amp;D231</f>
        <v>업적설명 - 길드전에서 200회 승리하세요</v>
      </c>
      <c r="C231" s="73">
        <f t="shared" si="36"/>
        <v>52501</v>
      </c>
      <c r="D231" s="33" t="str">
        <f t="shared" si="37"/>
        <v>길드전에서 200회 승리하세요</v>
      </c>
      <c r="E231" s="33" t="str">
        <f t="shared" si="38"/>
        <v>Win guildwar 200 times</v>
      </c>
      <c r="F231" s="33" t="str">
        <f t="shared" si="33"/>
        <v>길드전에서 200회 승리하세요</v>
      </c>
      <c r="H231" s="32">
        <f>Achievement!J206</f>
        <v>200</v>
      </c>
    </row>
    <row r="232" spans="1:8" x14ac:dyDescent="0.3">
      <c r="A232" s="32" t="b">
        <v>1</v>
      </c>
      <c r="B232" s="33" t="str">
        <f t="shared" si="39"/>
        <v>업적설명 - 길드전에서 250회 승리하세요</v>
      </c>
      <c r="C232" s="73">
        <f t="shared" si="36"/>
        <v>52502</v>
      </c>
      <c r="D232" s="33" t="str">
        <f t="shared" si="37"/>
        <v>길드전에서 250회 승리하세요</v>
      </c>
      <c r="E232" s="33" t="str">
        <f t="shared" si="38"/>
        <v>Win guildwar 250 times</v>
      </c>
      <c r="F232" s="33" t="str">
        <f t="shared" si="33"/>
        <v>길드전에서 250회 승리하세요</v>
      </c>
      <c r="H232" s="32">
        <f>Achievement!J207</f>
        <v>250</v>
      </c>
    </row>
    <row r="233" spans="1:8" x14ac:dyDescent="0.3">
      <c r="A233" s="32" t="b">
        <v>1</v>
      </c>
      <c r="B233" s="33" t="str">
        <f t="shared" si="39"/>
        <v>업적설명 - 길드전에서 300회 승리하세요</v>
      </c>
      <c r="C233" s="73">
        <f t="shared" si="36"/>
        <v>52503</v>
      </c>
      <c r="D233" s="33" t="str">
        <f t="shared" si="37"/>
        <v>길드전에서 300회 승리하세요</v>
      </c>
      <c r="E233" s="33" t="str">
        <f t="shared" si="38"/>
        <v>Win guildwar 300 times</v>
      </c>
      <c r="F233" s="33" t="str">
        <f t="shared" si="33"/>
        <v>길드전에서 300회 승리하세요</v>
      </c>
      <c r="H233" s="32">
        <f>Achievement!J208</f>
        <v>300</v>
      </c>
    </row>
    <row r="234" spans="1:8" x14ac:dyDescent="0.3">
      <c r="A234" s="32" t="b">
        <v>1</v>
      </c>
      <c r="B234" s="33" t="str">
        <f t="shared" si="39"/>
        <v>업적설명 - 길드전에서 350회 승리하세요</v>
      </c>
      <c r="C234" s="73">
        <f t="shared" si="36"/>
        <v>52504</v>
      </c>
      <c r="D234" s="33" t="str">
        <f t="shared" si="37"/>
        <v>길드전에서 350회 승리하세요</v>
      </c>
      <c r="E234" s="33" t="str">
        <f t="shared" si="38"/>
        <v>Win guildwar 350 times</v>
      </c>
      <c r="F234" s="33" t="str">
        <f t="shared" si="33"/>
        <v>길드전에서 350회 승리하세요</v>
      </c>
      <c r="H234" s="32">
        <f>Achievement!J209</f>
        <v>350</v>
      </c>
    </row>
    <row r="235" spans="1:8" x14ac:dyDescent="0.3">
      <c r="A235" s="32" t="b">
        <v>1</v>
      </c>
      <c r="B235" s="33" t="str">
        <f t="shared" si="39"/>
        <v>업적설명 - 길드전에서 400회 승리하세요</v>
      </c>
      <c r="C235" s="73">
        <f t="shared" si="36"/>
        <v>52505</v>
      </c>
      <c r="D235" s="33" t="str">
        <f t="shared" si="37"/>
        <v>길드전에서 400회 승리하세요</v>
      </c>
      <c r="E235" s="33" t="str">
        <f t="shared" si="38"/>
        <v>Win guildwar 400 times</v>
      </c>
      <c r="F235" s="33" t="str">
        <f t="shared" si="33"/>
        <v>길드전에서 400회 승리하세요</v>
      </c>
      <c r="H235" s="32">
        <f>Achievement!J210</f>
        <v>400</v>
      </c>
    </row>
    <row r="236" spans="1:8" x14ac:dyDescent="0.3">
      <c r="A236" s="32" t="b">
        <v>1</v>
      </c>
      <c r="B236" s="33" t="str">
        <f t="shared" si="39"/>
        <v>업적설명 - 길드전에서 450회 승리하세요</v>
      </c>
      <c r="C236" s="73">
        <f t="shared" si="36"/>
        <v>52506</v>
      </c>
      <c r="D236" s="33" t="str">
        <f t="shared" si="37"/>
        <v>길드전에서 450회 승리하세요</v>
      </c>
      <c r="E236" s="33" t="str">
        <f t="shared" si="38"/>
        <v>Win guildwar 450 times</v>
      </c>
      <c r="F236" s="33" t="str">
        <f t="shared" si="33"/>
        <v>길드전에서 450회 승리하세요</v>
      </c>
      <c r="H236" s="32">
        <f>Achievement!J211</f>
        <v>450</v>
      </c>
    </row>
    <row r="237" spans="1:8" x14ac:dyDescent="0.3">
      <c r="A237" s="32" t="b">
        <v>1</v>
      </c>
      <c r="B237" s="33" t="str">
        <f t="shared" si="39"/>
        <v>업적설명 - 길드전에서 500회 승리하세요</v>
      </c>
      <c r="C237" s="73">
        <f t="shared" si="36"/>
        <v>52507</v>
      </c>
      <c r="D237" s="33" t="str">
        <f t="shared" si="37"/>
        <v>길드전에서 500회 승리하세요</v>
      </c>
      <c r="E237" s="33" t="str">
        <f t="shared" si="38"/>
        <v>Win guildwar 500 times</v>
      </c>
      <c r="F237" s="33" t="str">
        <f t="shared" si="33"/>
        <v>길드전에서 500회 승리하세요</v>
      </c>
      <c r="H237" s="32">
        <f>Achievement!J212</f>
        <v>500</v>
      </c>
    </row>
    <row r="238" spans="1:8" x14ac:dyDescent="0.3">
      <c r="A238" s="28" t="b">
        <v>1</v>
      </c>
      <c r="B238" s="29" t="str">
        <f t="shared" si="39"/>
        <v>업적설명 - 룬스톤을 10회 합성하세요</v>
      </c>
      <c r="C238" s="16">
        <f t="shared" si="36"/>
        <v>52508</v>
      </c>
      <c r="D238" s="29" t="str">
        <f>"룬스톤을 " &amp; H238 &amp; "회 합성하세요"</f>
        <v>룬스톤을 10회 합성하세요</v>
      </c>
      <c r="E238" s="29" t="str">
        <f>"Promote runestone " &amp; H238 &amp; " times"</f>
        <v>Promote runestone 10 times</v>
      </c>
      <c r="F238" s="29" t="str">
        <f t="shared" si="33"/>
        <v>룬스톤을 10회 합성하세요</v>
      </c>
      <c r="H238" s="28">
        <f>Achievement!J213</f>
        <v>10</v>
      </c>
    </row>
    <row r="239" spans="1:8" x14ac:dyDescent="0.3">
      <c r="A239" s="28" t="b">
        <v>1</v>
      </c>
      <c r="B239" s="29" t="str">
        <f t="shared" si="39"/>
        <v>업적설명 - 룬스톤을 20회 합성하세요</v>
      </c>
      <c r="C239" s="17">
        <f t="shared" si="36"/>
        <v>52509</v>
      </c>
      <c r="D239" s="29" t="str">
        <f t="shared" ref="D239:D260" si="40">"룬스톤을 " &amp; H239 &amp; "회 합성하세요"</f>
        <v>룬스톤을 20회 합성하세요</v>
      </c>
      <c r="E239" s="29" t="str">
        <f t="shared" ref="E239:E260" si="41">"Promote runestone " &amp; H239 &amp; " times"</f>
        <v>Promote runestone 20 times</v>
      </c>
      <c r="F239" s="29" t="str">
        <f t="shared" si="33"/>
        <v>룬스톤을 20회 합성하세요</v>
      </c>
      <c r="H239" s="28">
        <f>Achievement!J214</f>
        <v>20</v>
      </c>
    </row>
    <row r="240" spans="1:8" x14ac:dyDescent="0.3">
      <c r="A240" s="28" t="b">
        <v>1</v>
      </c>
      <c r="B240" s="29" t="str">
        <f t="shared" si="39"/>
        <v>업적설명 - 룬스톤을 30회 합성하세요</v>
      </c>
      <c r="C240" s="17">
        <f t="shared" si="36"/>
        <v>52510</v>
      </c>
      <c r="D240" s="29" t="str">
        <f t="shared" si="40"/>
        <v>룬스톤을 30회 합성하세요</v>
      </c>
      <c r="E240" s="29" t="str">
        <f t="shared" si="41"/>
        <v>Promote runestone 30 times</v>
      </c>
      <c r="F240" s="29" t="str">
        <f t="shared" ref="F240:F303" si="42">D240</f>
        <v>룬스톤을 30회 합성하세요</v>
      </c>
      <c r="H240" s="28">
        <f>Achievement!J215</f>
        <v>30</v>
      </c>
    </row>
    <row r="241" spans="1:8" x14ac:dyDescent="0.3">
      <c r="A241" s="28" t="b">
        <v>1</v>
      </c>
      <c r="B241" s="29" t="str">
        <f t="shared" si="39"/>
        <v>업적설명 - 룬스톤을 40회 합성하세요</v>
      </c>
      <c r="C241" s="17">
        <f t="shared" si="36"/>
        <v>52511</v>
      </c>
      <c r="D241" s="29" t="str">
        <f t="shared" si="40"/>
        <v>룬스톤을 40회 합성하세요</v>
      </c>
      <c r="E241" s="29" t="str">
        <f t="shared" si="41"/>
        <v>Promote runestone 40 times</v>
      </c>
      <c r="F241" s="29" t="str">
        <f t="shared" si="42"/>
        <v>룬스톤을 40회 합성하세요</v>
      </c>
      <c r="H241" s="28">
        <f>Achievement!J216</f>
        <v>40</v>
      </c>
    </row>
    <row r="242" spans="1:8" x14ac:dyDescent="0.3">
      <c r="A242" s="28" t="b">
        <v>1</v>
      </c>
      <c r="B242" s="29" t="str">
        <f t="shared" si="39"/>
        <v>업적설명 - 룬스톤을 50회 합성하세요</v>
      </c>
      <c r="C242" s="17">
        <f t="shared" si="36"/>
        <v>52512</v>
      </c>
      <c r="D242" s="29" t="str">
        <f t="shared" si="40"/>
        <v>룬스톤을 50회 합성하세요</v>
      </c>
      <c r="E242" s="29" t="str">
        <f t="shared" si="41"/>
        <v>Promote runestone 50 times</v>
      </c>
      <c r="F242" s="29" t="str">
        <f t="shared" si="42"/>
        <v>룬스톤을 50회 합성하세요</v>
      </c>
      <c r="H242" s="28">
        <f>Achievement!J217</f>
        <v>50</v>
      </c>
    </row>
    <row r="243" spans="1:8" x14ac:dyDescent="0.3">
      <c r="A243" s="28" t="b">
        <v>1</v>
      </c>
      <c r="B243" s="29" t="str">
        <f t="shared" si="39"/>
        <v>업적설명 - 룬스톤을 75회 합성하세요</v>
      </c>
      <c r="C243" s="17">
        <f t="shared" si="36"/>
        <v>52513</v>
      </c>
      <c r="D243" s="29" t="str">
        <f t="shared" si="40"/>
        <v>룬스톤을 75회 합성하세요</v>
      </c>
      <c r="E243" s="29" t="str">
        <f t="shared" si="41"/>
        <v>Promote runestone 75 times</v>
      </c>
      <c r="F243" s="29" t="str">
        <f t="shared" si="42"/>
        <v>룬스톤을 75회 합성하세요</v>
      </c>
      <c r="H243" s="28">
        <f>Achievement!J218</f>
        <v>75</v>
      </c>
    </row>
    <row r="244" spans="1:8" x14ac:dyDescent="0.3">
      <c r="A244" s="28" t="b">
        <v>1</v>
      </c>
      <c r="B244" s="29" t="str">
        <f t="shared" si="39"/>
        <v>업적설명 - 룬스톤을 100회 합성하세요</v>
      </c>
      <c r="C244" s="17">
        <f t="shared" si="36"/>
        <v>52514</v>
      </c>
      <c r="D244" s="29" t="str">
        <f t="shared" si="40"/>
        <v>룬스톤을 100회 합성하세요</v>
      </c>
      <c r="E244" s="29" t="str">
        <f t="shared" si="41"/>
        <v>Promote runestone 100 times</v>
      </c>
      <c r="F244" s="29" t="str">
        <f t="shared" si="42"/>
        <v>룬스톤을 100회 합성하세요</v>
      </c>
      <c r="H244" s="28">
        <f>Achievement!J219</f>
        <v>100</v>
      </c>
    </row>
    <row r="245" spans="1:8" x14ac:dyDescent="0.3">
      <c r="A245" s="28" t="b">
        <v>1</v>
      </c>
      <c r="B245" s="29" t="str">
        <f t="shared" si="39"/>
        <v>업적설명 - 룬스톤을 150회 합성하세요</v>
      </c>
      <c r="C245" s="17">
        <f t="shared" si="36"/>
        <v>52515</v>
      </c>
      <c r="D245" s="29" t="str">
        <f t="shared" si="40"/>
        <v>룬스톤을 150회 합성하세요</v>
      </c>
      <c r="E245" s="29" t="str">
        <f t="shared" si="41"/>
        <v>Promote runestone 150 times</v>
      </c>
      <c r="F245" s="29" t="str">
        <f t="shared" si="42"/>
        <v>룬스톤을 150회 합성하세요</v>
      </c>
      <c r="H245" s="28">
        <f>Achievement!J220</f>
        <v>150</v>
      </c>
    </row>
    <row r="246" spans="1:8" x14ac:dyDescent="0.3">
      <c r="A246" s="28" t="b">
        <v>1</v>
      </c>
      <c r="B246" s="29" t="str">
        <f t="shared" si="39"/>
        <v>업적설명 - 룬스톤을 200회 합성하세요</v>
      </c>
      <c r="C246" s="17">
        <f t="shared" si="36"/>
        <v>52516</v>
      </c>
      <c r="D246" s="29" t="str">
        <f t="shared" si="40"/>
        <v>룬스톤을 200회 합성하세요</v>
      </c>
      <c r="E246" s="29" t="str">
        <f t="shared" si="41"/>
        <v>Promote runestone 200 times</v>
      </c>
      <c r="F246" s="29" t="str">
        <f t="shared" si="42"/>
        <v>룬스톤을 200회 합성하세요</v>
      </c>
      <c r="H246" s="28">
        <f>Achievement!J221</f>
        <v>200</v>
      </c>
    </row>
    <row r="247" spans="1:8" x14ac:dyDescent="0.3">
      <c r="A247" s="28" t="b">
        <v>1</v>
      </c>
      <c r="B247" s="29" t="str">
        <f t="shared" si="39"/>
        <v>업적설명 - 룬스톤을 300회 합성하세요</v>
      </c>
      <c r="C247" s="17">
        <f t="shared" si="36"/>
        <v>52517</v>
      </c>
      <c r="D247" s="29" t="str">
        <f t="shared" si="40"/>
        <v>룬스톤을 300회 합성하세요</v>
      </c>
      <c r="E247" s="29" t="str">
        <f t="shared" si="41"/>
        <v>Promote runestone 300 times</v>
      </c>
      <c r="F247" s="29" t="str">
        <f t="shared" si="42"/>
        <v>룬스톤을 300회 합성하세요</v>
      </c>
      <c r="H247" s="28">
        <f>Achievement!J222</f>
        <v>300</v>
      </c>
    </row>
    <row r="248" spans="1:8" x14ac:dyDescent="0.3">
      <c r="A248" s="28" t="b">
        <v>1</v>
      </c>
      <c r="B248" s="29" t="str">
        <f t="shared" si="39"/>
        <v>업적설명 - 룬스톤을 400회 합성하세요</v>
      </c>
      <c r="C248" s="17">
        <f t="shared" si="36"/>
        <v>52518</v>
      </c>
      <c r="D248" s="29" t="str">
        <f t="shared" si="40"/>
        <v>룬스톤을 400회 합성하세요</v>
      </c>
      <c r="E248" s="29" t="str">
        <f t="shared" si="41"/>
        <v>Promote runestone 400 times</v>
      </c>
      <c r="F248" s="29" t="str">
        <f t="shared" si="42"/>
        <v>룬스톤을 400회 합성하세요</v>
      </c>
      <c r="H248" s="28">
        <f>Achievement!J223</f>
        <v>400</v>
      </c>
    </row>
    <row r="249" spans="1:8" x14ac:dyDescent="0.3">
      <c r="A249" s="28" t="b">
        <v>1</v>
      </c>
      <c r="B249" s="29" t="str">
        <f t="shared" si="39"/>
        <v>업적설명 - 룬스톤을 500회 합성하세요</v>
      </c>
      <c r="C249" s="17">
        <f t="shared" si="36"/>
        <v>52519</v>
      </c>
      <c r="D249" s="29" t="str">
        <f t="shared" si="40"/>
        <v>룬스톤을 500회 합성하세요</v>
      </c>
      <c r="E249" s="29" t="str">
        <f t="shared" si="41"/>
        <v>Promote runestone 500 times</v>
      </c>
      <c r="F249" s="29" t="str">
        <f t="shared" si="42"/>
        <v>룬스톤을 500회 합성하세요</v>
      </c>
      <c r="H249" s="28">
        <f>Achievement!J224</f>
        <v>500</v>
      </c>
    </row>
    <row r="250" spans="1:8" x14ac:dyDescent="0.3">
      <c r="A250" s="28" t="b">
        <v>1</v>
      </c>
      <c r="B250" s="29" t="str">
        <f t="shared" si="39"/>
        <v>업적설명 - 룬스톤을 750회 합성하세요</v>
      </c>
      <c r="C250" s="17">
        <f t="shared" si="36"/>
        <v>52520</v>
      </c>
      <c r="D250" s="29" t="str">
        <f t="shared" si="40"/>
        <v>룬스톤을 750회 합성하세요</v>
      </c>
      <c r="E250" s="29" t="str">
        <f t="shared" si="41"/>
        <v>Promote runestone 750 times</v>
      </c>
      <c r="F250" s="29" t="str">
        <f t="shared" si="42"/>
        <v>룬스톤을 750회 합성하세요</v>
      </c>
      <c r="H250" s="28">
        <f>Achievement!J225</f>
        <v>750</v>
      </c>
    </row>
    <row r="251" spans="1:8" x14ac:dyDescent="0.3">
      <c r="A251" s="28" t="b">
        <v>1</v>
      </c>
      <c r="B251" s="29" t="str">
        <f t="shared" si="39"/>
        <v>업적설명 - 룬스톤을 1000회 합성하세요</v>
      </c>
      <c r="C251" s="17">
        <f t="shared" si="36"/>
        <v>52521</v>
      </c>
      <c r="D251" s="29" t="str">
        <f t="shared" si="40"/>
        <v>룬스톤을 1000회 합성하세요</v>
      </c>
      <c r="E251" s="29" t="str">
        <f t="shared" si="41"/>
        <v>Promote runestone 1000 times</v>
      </c>
      <c r="F251" s="29" t="str">
        <f t="shared" si="42"/>
        <v>룬스톤을 1000회 합성하세요</v>
      </c>
      <c r="H251" s="28">
        <f>Achievement!J226</f>
        <v>1000</v>
      </c>
    </row>
    <row r="252" spans="1:8" x14ac:dyDescent="0.3">
      <c r="A252" s="28" t="b">
        <v>1</v>
      </c>
      <c r="B252" s="29" t="str">
        <f t="shared" si="39"/>
        <v>업적설명 - 룬스톤을 1500회 합성하세요</v>
      </c>
      <c r="C252" s="17">
        <f t="shared" si="36"/>
        <v>52522</v>
      </c>
      <c r="D252" s="29" t="str">
        <f t="shared" si="40"/>
        <v>룬스톤을 1500회 합성하세요</v>
      </c>
      <c r="E252" s="29" t="str">
        <f t="shared" si="41"/>
        <v>Promote runestone 1500 times</v>
      </c>
      <c r="F252" s="29" t="str">
        <f t="shared" si="42"/>
        <v>룬스톤을 1500회 합성하세요</v>
      </c>
      <c r="H252" s="28">
        <f>Achievement!J227</f>
        <v>1500</v>
      </c>
    </row>
    <row r="253" spans="1:8" x14ac:dyDescent="0.3">
      <c r="A253" s="28" t="b">
        <v>1</v>
      </c>
      <c r="B253" s="29" t="str">
        <f t="shared" si="39"/>
        <v>업적설명 - 룬스톤을 2000회 합성하세요</v>
      </c>
      <c r="C253" s="17">
        <f t="shared" si="36"/>
        <v>52523</v>
      </c>
      <c r="D253" s="29" t="str">
        <f t="shared" si="40"/>
        <v>룬스톤을 2000회 합성하세요</v>
      </c>
      <c r="E253" s="29" t="str">
        <f t="shared" si="41"/>
        <v>Promote runestone 2000 times</v>
      </c>
      <c r="F253" s="29" t="str">
        <f t="shared" si="42"/>
        <v>룬스톤을 2000회 합성하세요</v>
      </c>
      <c r="H253" s="28">
        <f>Achievement!J228</f>
        <v>2000</v>
      </c>
    </row>
    <row r="254" spans="1:8" x14ac:dyDescent="0.3">
      <c r="A254" s="28" t="b">
        <v>1</v>
      </c>
      <c r="B254" s="29" t="str">
        <f t="shared" si="39"/>
        <v>업적설명 - 룬스톤을 2500회 합성하세요</v>
      </c>
      <c r="C254" s="17">
        <f t="shared" si="36"/>
        <v>52524</v>
      </c>
      <c r="D254" s="29" t="str">
        <f t="shared" si="40"/>
        <v>룬스톤을 2500회 합성하세요</v>
      </c>
      <c r="E254" s="29" t="str">
        <f t="shared" si="41"/>
        <v>Promote runestone 2500 times</v>
      </c>
      <c r="F254" s="29" t="str">
        <f t="shared" si="42"/>
        <v>룬스톤을 2500회 합성하세요</v>
      </c>
      <c r="H254" s="28">
        <f>Achievement!J229</f>
        <v>2500</v>
      </c>
    </row>
    <row r="255" spans="1:8" x14ac:dyDescent="0.3">
      <c r="A255" s="28" t="b">
        <v>1</v>
      </c>
      <c r="B255" s="29" t="str">
        <f t="shared" si="39"/>
        <v>업적설명 - 룬스톤을 3000회 합성하세요</v>
      </c>
      <c r="C255" s="17">
        <f t="shared" si="36"/>
        <v>52525</v>
      </c>
      <c r="D255" s="29" t="str">
        <f t="shared" si="40"/>
        <v>룬스톤을 3000회 합성하세요</v>
      </c>
      <c r="E255" s="29" t="str">
        <f t="shared" si="41"/>
        <v>Promote runestone 3000 times</v>
      </c>
      <c r="F255" s="29" t="str">
        <f t="shared" si="42"/>
        <v>룬스톤을 3000회 합성하세요</v>
      </c>
      <c r="H255" s="28">
        <f>Achievement!J230</f>
        <v>3000</v>
      </c>
    </row>
    <row r="256" spans="1:8" x14ac:dyDescent="0.3">
      <c r="A256" s="28" t="b">
        <v>1</v>
      </c>
      <c r="B256" s="29" t="str">
        <f t="shared" si="39"/>
        <v>업적설명 - 룬스톤을 4000회 합성하세요</v>
      </c>
      <c r="C256" s="17">
        <f t="shared" si="36"/>
        <v>52526</v>
      </c>
      <c r="D256" s="29" t="str">
        <f t="shared" si="40"/>
        <v>룬스톤을 4000회 합성하세요</v>
      </c>
      <c r="E256" s="29" t="str">
        <f t="shared" si="41"/>
        <v>Promote runestone 4000 times</v>
      </c>
      <c r="F256" s="29" t="str">
        <f t="shared" si="42"/>
        <v>룬스톤을 4000회 합성하세요</v>
      </c>
      <c r="H256" s="28">
        <f>Achievement!J231</f>
        <v>4000</v>
      </c>
    </row>
    <row r="257" spans="1:8" x14ac:dyDescent="0.3">
      <c r="A257" s="28" t="b">
        <v>1</v>
      </c>
      <c r="B257" s="29" t="str">
        <f t="shared" si="39"/>
        <v>업적설명 - 룬스톤을 5000회 합성하세요</v>
      </c>
      <c r="C257" s="17">
        <f t="shared" si="36"/>
        <v>52527</v>
      </c>
      <c r="D257" s="29" t="str">
        <f>"룬스톤을 " &amp; H257 &amp; "회 합성하세요"</f>
        <v>룬스톤을 5000회 합성하세요</v>
      </c>
      <c r="E257" s="29" t="str">
        <f t="shared" si="41"/>
        <v>Promote runestone 5000 times</v>
      </c>
      <c r="F257" s="29" t="str">
        <f t="shared" si="42"/>
        <v>룬스톤을 5000회 합성하세요</v>
      </c>
      <c r="H257" s="28">
        <f>Achievement!J232</f>
        <v>5000</v>
      </c>
    </row>
    <row r="258" spans="1:8" x14ac:dyDescent="0.3">
      <c r="A258" s="28" t="b">
        <v>1</v>
      </c>
      <c r="B258" s="29" t="str">
        <f t="shared" si="39"/>
        <v>업적설명 - 룬스톤을 6000회 합성하세요</v>
      </c>
      <c r="C258" s="17">
        <f t="shared" si="36"/>
        <v>52528</v>
      </c>
      <c r="D258" s="29" t="str">
        <f t="shared" si="40"/>
        <v>룬스톤을 6000회 합성하세요</v>
      </c>
      <c r="E258" s="29" t="str">
        <f t="shared" si="41"/>
        <v>Promote runestone 6000 times</v>
      </c>
      <c r="F258" s="29" t="str">
        <f t="shared" si="42"/>
        <v>룬스톤을 6000회 합성하세요</v>
      </c>
      <c r="H258" s="28">
        <f>Achievement!J233</f>
        <v>6000</v>
      </c>
    </row>
    <row r="259" spans="1:8" x14ac:dyDescent="0.3">
      <c r="A259" s="28" t="b">
        <v>1</v>
      </c>
      <c r="B259" s="29" t="str">
        <f t="shared" si="39"/>
        <v>업적설명 - 룬스톤을 7000회 합성하세요</v>
      </c>
      <c r="C259" s="17">
        <f t="shared" si="36"/>
        <v>52529</v>
      </c>
      <c r="D259" s="29" t="str">
        <f t="shared" si="40"/>
        <v>룬스톤을 7000회 합성하세요</v>
      </c>
      <c r="E259" s="29" t="str">
        <f t="shared" si="41"/>
        <v>Promote runestone 7000 times</v>
      </c>
      <c r="F259" s="29" t="str">
        <f t="shared" si="42"/>
        <v>룬스톤을 7000회 합성하세요</v>
      </c>
      <c r="H259" s="28">
        <f>Achievement!J234</f>
        <v>7000</v>
      </c>
    </row>
    <row r="260" spans="1:8" x14ac:dyDescent="0.3">
      <c r="A260" s="28" t="b">
        <v>1</v>
      </c>
      <c r="B260" s="29" t="str">
        <f t="shared" si="39"/>
        <v>업적설명 - 룬스톤을 8000회 합성하세요</v>
      </c>
      <c r="C260" s="17">
        <f t="shared" si="36"/>
        <v>52530</v>
      </c>
      <c r="D260" s="29" t="str">
        <f t="shared" si="40"/>
        <v>룬스톤을 8000회 합성하세요</v>
      </c>
      <c r="E260" s="29" t="str">
        <f t="shared" si="41"/>
        <v>Promote runestone 8000 times</v>
      </c>
      <c r="F260" s="29" t="str">
        <f t="shared" si="42"/>
        <v>룬스톤을 8000회 합성하세요</v>
      </c>
      <c r="H260" s="28">
        <f>Achievement!J235</f>
        <v>8000</v>
      </c>
    </row>
    <row r="261" spans="1:8" x14ac:dyDescent="0.3">
      <c r="A261" s="32" t="b">
        <v>1</v>
      </c>
      <c r="B261" s="33" t="str">
        <f t="shared" si="39"/>
        <v>업적설명 - [영웅] 룬스톤을 1개 획득하세요</v>
      </c>
      <c r="C261" s="16">
        <f t="shared" si="36"/>
        <v>52531</v>
      </c>
      <c r="D261" s="33" t="str">
        <f>"[영웅] 룬스톤을 "&amp; H261&amp;"개 획득하세요"</f>
        <v>[영웅] 룬스톤을 1개 획득하세요</v>
      </c>
      <c r="E261" s="33" t="str">
        <f xml:space="preserve"> "[Heroic] Obtain " &amp; H261 &amp; " runestone"</f>
        <v>[Heroic] Obtain 1 runestone</v>
      </c>
      <c r="F261" s="33" t="str">
        <f t="shared" si="42"/>
        <v>[영웅] 룬스톤을 1개 획득하세요</v>
      </c>
      <c r="H261" s="32">
        <f>Achievement!J236</f>
        <v>1</v>
      </c>
    </row>
    <row r="262" spans="1:8" x14ac:dyDescent="0.3">
      <c r="A262" s="32" t="b">
        <v>1</v>
      </c>
      <c r="B262" s="33" t="str">
        <f t="shared" si="39"/>
        <v>업적설명 - [영웅] 룬스톤을 10개 획득하세요</v>
      </c>
      <c r="C262" s="14">
        <f t="shared" si="36"/>
        <v>52532</v>
      </c>
      <c r="D262" s="33" t="str">
        <f t="shared" ref="D262:D274" si="43">"[영웅] 룬스톤을 "&amp; H262&amp;"개 획득하세요"</f>
        <v>[영웅] 룬스톤을 10개 획득하세요</v>
      </c>
      <c r="E262" s="33" t="str">
        <f xml:space="preserve"> "[Heroic] Obtain " &amp; H262 &amp; " runestones"</f>
        <v>[Heroic] Obtain 10 runestones</v>
      </c>
      <c r="F262" s="33" t="str">
        <f t="shared" si="42"/>
        <v>[영웅] 룬스톤을 10개 획득하세요</v>
      </c>
      <c r="H262" s="32">
        <f>Achievement!J237</f>
        <v>10</v>
      </c>
    </row>
    <row r="263" spans="1:8" x14ac:dyDescent="0.3">
      <c r="A263" s="32" t="b">
        <v>1</v>
      </c>
      <c r="B263" s="33" t="str">
        <f t="shared" si="39"/>
        <v>업적설명 - [영웅] 룬스톤을 20개 획득하세요</v>
      </c>
      <c r="C263" s="14">
        <f t="shared" si="36"/>
        <v>52533</v>
      </c>
      <c r="D263" s="33" t="str">
        <f t="shared" si="43"/>
        <v>[영웅] 룬스톤을 20개 획득하세요</v>
      </c>
      <c r="E263" s="33" t="str">
        <f t="shared" ref="E263:E274" si="44" xml:space="preserve"> "[Heroic] Obtain " &amp; H263 &amp; " runestones"</f>
        <v>[Heroic] Obtain 20 runestones</v>
      </c>
      <c r="F263" s="33" t="str">
        <f t="shared" si="42"/>
        <v>[영웅] 룬스톤을 20개 획득하세요</v>
      </c>
      <c r="H263" s="32">
        <f>Achievement!J238</f>
        <v>20</v>
      </c>
    </row>
    <row r="264" spans="1:8" x14ac:dyDescent="0.3">
      <c r="A264" s="32" t="b">
        <v>1</v>
      </c>
      <c r="B264" s="33" t="str">
        <f t="shared" si="39"/>
        <v>업적설명 - [영웅] 룬스톤을 30개 획득하세요</v>
      </c>
      <c r="C264" s="14">
        <f t="shared" si="36"/>
        <v>52534</v>
      </c>
      <c r="D264" s="33" t="str">
        <f t="shared" si="43"/>
        <v>[영웅] 룬스톤을 30개 획득하세요</v>
      </c>
      <c r="E264" s="33" t="str">
        <f t="shared" si="44"/>
        <v>[Heroic] Obtain 30 runestones</v>
      </c>
      <c r="F264" s="33" t="str">
        <f t="shared" si="42"/>
        <v>[영웅] 룬스톤을 30개 획득하세요</v>
      </c>
      <c r="H264" s="32">
        <f>Achievement!J239</f>
        <v>30</v>
      </c>
    </row>
    <row r="265" spans="1:8" x14ac:dyDescent="0.3">
      <c r="A265" s="32" t="b">
        <v>1</v>
      </c>
      <c r="B265" s="33" t="str">
        <f t="shared" si="39"/>
        <v>업적설명 - [영웅] 룬스톤을 50개 획득하세요</v>
      </c>
      <c r="C265" s="14">
        <f t="shared" si="36"/>
        <v>52535</v>
      </c>
      <c r="D265" s="33" t="str">
        <f t="shared" si="43"/>
        <v>[영웅] 룬스톤을 50개 획득하세요</v>
      </c>
      <c r="E265" s="33" t="str">
        <f t="shared" si="44"/>
        <v>[Heroic] Obtain 50 runestones</v>
      </c>
      <c r="F265" s="33" t="str">
        <f t="shared" si="42"/>
        <v>[영웅] 룬스톤을 50개 획득하세요</v>
      </c>
      <c r="H265" s="32">
        <f>Achievement!J240</f>
        <v>50</v>
      </c>
    </row>
    <row r="266" spans="1:8" x14ac:dyDescent="0.3">
      <c r="A266" s="32" t="b">
        <v>1</v>
      </c>
      <c r="B266" s="33" t="str">
        <f t="shared" si="39"/>
        <v>업적설명 - [영웅] 룬스톤을 100개 획득하세요</v>
      </c>
      <c r="C266" s="14">
        <f t="shared" si="36"/>
        <v>52536</v>
      </c>
      <c r="D266" s="33" t="str">
        <f t="shared" si="43"/>
        <v>[영웅] 룬스톤을 100개 획득하세요</v>
      </c>
      <c r="E266" s="33" t="str">
        <f t="shared" si="44"/>
        <v>[Heroic] Obtain 100 runestones</v>
      </c>
      <c r="F266" s="33" t="str">
        <f t="shared" si="42"/>
        <v>[영웅] 룬스톤을 100개 획득하세요</v>
      </c>
      <c r="H266" s="32">
        <f>Achievement!J241</f>
        <v>100</v>
      </c>
    </row>
    <row r="267" spans="1:8" x14ac:dyDescent="0.3">
      <c r="A267" s="32" t="b">
        <v>1</v>
      </c>
      <c r="B267" s="33" t="str">
        <f t="shared" si="39"/>
        <v>업적설명 - [영웅] 룬스톤을 150개 획득하세요</v>
      </c>
      <c r="C267" s="14">
        <f t="shared" si="36"/>
        <v>52537</v>
      </c>
      <c r="D267" s="33" t="str">
        <f t="shared" si="43"/>
        <v>[영웅] 룬스톤을 150개 획득하세요</v>
      </c>
      <c r="E267" s="33" t="str">
        <f t="shared" si="44"/>
        <v>[Heroic] Obtain 150 runestones</v>
      </c>
      <c r="F267" s="33" t="str">
        <f t="shared" si="42"/>
        <v>[영웅] 룬스톤을 150개 획득하세요</v>
      </c>
      <c r="H267" s="32">
        <f>Achievement!J242</f>
        <v>150</v>
      </c>
    </row>
    <row r="268" spans="1:8" x14ac:dyDescent="0.3">
      <c r="A268" s="32" t="b">
        <v>1</v>
      </c>
      <c r="B268" s="33" t="str">
        <f t="shared" si="39"/>
        <v>업적설명 - [영웅] 룬스톤을 200개 획득하세요</v>
      </c>
      <c r="C268" s="14">
        <f t="shared" si="36"/>
        <v>52538</v>
      </c>
      <c r="D268" s="33" t="str">
        <f t="shared" si="43"/>
        <v>[영웅] 룬스톤을 200개 획득하세요</v>
      </c>
      <c r="E268" s="33" t="str">
        <f t="shared" si="44"/>
        <v>[Heroic] Obtain 200 runestones</v>
      </c>
      <c r="F268" s="33" t="str">
        <f t="shared" si="42"/>
        <v>[영웅] 룬스톤을 200개 획득하세요</v>
      </c>
      <c r="H268" s="32">
        <f>Achievement!J243</f>
        <v>200</v>
      </c>
    </row>
    <row r="269" spans="1:8" x14ac:dyDescent="0.3">
      <c r="A269" s="32" t="b">
        <v>1</v>
      </c>
      <c r="B269" s="33" t="str">
        <f t="shared" si="39"/>
        <v>업적설명 - [영웅] 룬스톤을 250개 획득하세요</v>
      </c>
      <c r="C269" s="14">
        <f t="shared" si="36"/>
        <v>52539</v>
      </c>
      <c r="D269" s="33" t="str">
        <f t="shared" si="43"/>
        <v>[영웅] 룬스톤을 250개 획득하세요</v>
      </c>
      <c r="E269" s="33" t="str">
        <f t="shared" si="44"/>
        <v>[Heroic] Obtain 250 runestones</v>
      </c>
      <c r="F269" s="33" t="str">
        <f t="shared" si="42"/>
        <v>[영웅] 룬스톤을 250개 획득하세요</v>
      </c>
      <c r="H269" s="32">
        <f>Achievement!J244</f>
        <v>250</v>
      </c>
    </row>
    <row r="270" spans="1:8" x14ac:dyDescent="0.3">
      <c r="A270" s="32" t="b">
        <v>1</v>
      </c>
      <c r="B270" s="33" t="str">
        <f t="shared" si="39"/>
        <v>업적설명 - [영웅] 룬스톤을 300개 획득하세요</v>
      </c>
      <c r="C270" s="14">
        <f t="shared" si="36"/>
        <v>52540</v>
      </c>
      <c r="D270" s="33" t="str">
        <f t="shared" si="43"/>
        <v>[영웅] 룬스톤을 300개 획득하세요</v>
      </c>
      <c r="E270" s="33" t="str">
        <f t="shared" si="44"/>
        <v>[Heroic] Obtain 300 runestones</v>
      </c>
      <c r="F270" s="33" t="str">
        <f t="shared" si="42"/>
        <v>[영웅] 룬스톤을 300개 획득하세요</v>
      </c>
      <c r="H270" s="32">
        <f>Achievement!J245</f>
        <v>300</v>
      </c>
    </row>
    <row r="271" spans="1:8" x14ac:dyDescent="0.3">
      <c r="A271" s="32" t="b">
        <v>1</v>
      </c>
      <c r="B271" s="33" t="str">
        <f t="shared" si="39"/>
        <v>업적설명 - [영웅] 룬스톤을 350개 획득하세요</v>
      </c>
      <c r="C271" s="14">
        <f t="shared" si="36"/>
        <v>52541</v>
      </c>
      <c r="D271" s="33" t="str">
        <f t="shared" si="43"/>
        <v>[영웅] 룬스톤을 350개 획득하세요</v>
      </c>
      <c r="E271" s="33" t="str">
        <f t="shared" si="44"/>
        <v>[Heroic] Obtain 350 runestones</v>
      </c>
      <c r="F271" s="33" t="str">
        <f t="shared" si="42"/>
        <v>[영웅] 룬스톤을 350개 획득하세요</v>
      </c>
      <c r="H271" s="32">
        <f>Achievement!J246</f>
        <v>350</v>
      </c>
    </row>
    <row r="272" spans="1:8" x14ac:dyDescent="0.3">
      <c r="A272" s="32" t="b">
        <v>1</v>
      </c>
      <c r="B272" s="33" t="str">
        <f t="shared" si="39"/>
        <v>업적설명 - [영웅] 룬스톤을 400개 획득하세요</v>
      </c>
      <c r="C272" s="14">
        <f t="shared" si="36"/>
        <v>52542</v>
      </c>
      <c r="D272" s="33" t="str">
        <f t="shared" si="43"/>
        <v>[영웅] 룬스톤을 400개 획득하세요</v>
      </c>
      <c r="E272" s="33" t="str">
        <f t="shared" si="44"/>
        <v>[Heroic] Obtain 400 runestones</v>
      </c>
      <c r="F272" s="33" t="str">
        <f t="shared" si="42"/>
        <v>[영웅] 룬스톤을 400개 획득하세요</v>
      </c>
      <c r="H272" s="32">
        <f>Achievement!J247</f>
        <v>400</v>
      </c>
    </row>
    <row r="273" spans="1:8" x14ac:dyDescent="0.3">
      <c r="A273" s="32" t="b">
        <v>1</v>
      </c>
      <c r="B273" s="33" t="str">
        <f t="shared" si="39"/>
        <v>업적설명 - [영웅] 룬스톤을 450개 획득하세요</v>
      </c>
      <c r="C273" s="14">
        <f t="shared" si="36"/>
        <v>52543</v>
      </c>
      <c r="D273" s="33" t="str">
        <f t="shared" si="43"/>
        <v>[영웅] 룬스톤을 450개 획득하세요</v>
      </c>
      <c r="E273" s="33" t="str">
        <f t="shared" si="44"/>
        <v>[Heroic] Obtain 450 runestones</v>
      </c>
      <c r="F273" s="33" t="str">
        <f t="shared" si="42"/>
        <v>[영웅] 룬스톤을 450개 획득하세요</v>
      </c>
      <c r="H273" s="32">
        <f>Achievement!J248</f>
        <v>450</v>
      </c>
    </row>
    <row r="274" spans="1:8" x14ac:dyDescent="0.3">
      <c r="A274" s="32" t="b">
        <v>1</v>
      </c>
      <c r="B274" s="33" t="str">
        <f t="shared" si="39"/>
        <v>업적설명 - [영웅] 룬스톤을 500개 획득하세요</v>
      </c>
      <c r="C274" s="14">
        <f t="shared" si="36"/>
        <v>52544</v>
      </c>
      <c r="D274" s="33" t="str">
        <f t="shared" si="43"/>
        <v>[영웅] 룬스톤을 500개 획득하세요</v>
      </c>
      <c r="E274" s="33" t="str">
        <f t="shared" si="44"/>
        <v>[Heroic] Obtain 500 runestones</v>
      </c>
      <c r="F274" s="33" t="str">
        <f t="shared" si="42"/>
        <v>[영웅] 룬스톤을 500개 획득하세요</v>
      </c>
      <c r="H274" s="32">
        <f>Achievement!J249</f>
        <v>500</v>
      </c>
    </row>
    <row r="275" spans="1:8" x14ac:dyDescent="0.3">
      <c r="A275" s="28" t="b">
        <v>1</v>
      </c>
      <c r="B275" s="29" t="str">
        <f t="shared" si="39"/>
        <v>업적설명 - [전설] 룬스톤을 1개 획득하세요</v>
      </c>
      <c r="C275" s="16">
        <f t="shared" si="36"/>
        <v>52545</v>
      </c>
      <c r="D275" s="29" t="str">
        <f>"[전설] 룬스톤을 " &amp; H275 &amp; "개 획득하세요"</f>
        <v>[전설] 룬스톤을 1개 획득하세요</v>
      </c>
      <c r="E275" s="29" t="str">
        <f xml:space="preserve"> "[Legendary] Obtain " &amp; H275 &amp; " runestone"</f>
        <v>[Legendary] Obtain 1 runestone</v>
      </c>
      <c r="F275" s="29" t="str">
        <f t="shared" si="42"/>
        <v>[전설] 룬스톤을 1개 획득하세요</v>
      </c>
      <c r="H275" s="28">
        <f>Achievement!J250</f>
        <v>1</v>
      </c>
    </row>
    <row r="276" spans="1:8" x14ac:dyDescent="0.3">
      <c r="A276" s="28" t="b">
        <v>1</v>
      </c>
      <c r="B276" s="29" t="str">
        <f t="shared" si="39"/>
        <v>업적설명 - [전설] 룬스톤을 10개 획득하세요</v>
      </c>
      <c r="C276" s="17">
        <f t="shared" si="36"/>
        <v>52546</v>
      </c>
      <c r="D276" s="29" t="str">
        <f t="shared" ref="D276:D288" si="45">"[전설] 룬스톤을 " &amp; H276 &amp; "개 획득하세요"</f>
        <v>[전설] 룬스톤을 10개 획득하세요</v>
      </c>
      <c r="E276" s="29" t="str">
        <f xml:space="preserve"> "[Legendary] Obtain " &amp; H276 &amp; " runestones"</f>
        <v>[Legendary] Obtain 10 runestones</v>
      </c>
      <c r="F276" s="29" t="str">
        <f t="shared" si="42"/>
        <v>[전설] 룬스톤을 10개 획득하세요</v>
      </c>
      <c r="H276" s="28">
        <f>Achievement!J251</f>
        <v>10</v>
      </c>
    </row>
    <row r="277" spans="1:8" x14ac:dyDescent="0.3">
      <c r="A277" s="28" t="b">
        <v>1</v>
      </c>
      <c r="B277" s="29" t="str">
        <f t="shared" si="39"/>
        <v>업적설명 - [전설] 룬스톤을 20개 획득하세요</v>
      </c>
      <c r="C277" s="17">
        <f t="shared" si="36"/>
        <v>52547</v>
      </c>
      <c r="D277" s="29" t="str">
        <f t="shared" si="45"/>
        <v>[전설] 룬스톤을 20개 획득하세요</v>
      </c>
      <c r="E277" s="29" t="str">
        <f t="shared" ref="E277:E288" si="46" xml:space="preserve"> "[Legendary] Obtain " &amp; H277 &amp; " runestones"</f>
        <v>[Legendary] Obtain 20 runestones</v>
      </c>
      <c r="F277" s="29" t="str">
        <f t="shared" si="42"/>
        <v>[전설] 룬스톤을 20개 획득하세요</v>
      </c>
      <c r="H277" s="28">
        <f>Achievement!J252</f>
        <v>20</v>
      </c>
    </row>
    <row r="278" spans="1:8" x14ac:dyDescent="0.3">
      <c r="A278" s="28" t="b">
        <v>1</v>
      </c>
      <c r="B278" s="29" t="str">
        <f t="shared" si="39"/>
        <v>업적설명 - [전설] 룬스톤을 30개 획득하세요</v>
      </c>
      <c r="C278" s="17">
        <f t="shared" si="36"/>
        <v>52548</v>
      </c>
      <c r="D278" s="29" t="str">
        <f t="shared" si="45"/>
        <v>[전설] 룬스톤을 30개 획득하세요</v>
      </c>
      <c r="E278" s="29" t="str">
        <f t="shared" si="46"/>
        <v>[Legendary] Obtain 30 runestones</v>
      </c>
      <c r="F278" s="29" t="str">
        <f t="shared" si="42"/>
        <v>[전설] 룬스톤을 30개 획득하세요</v>
      </c>
      <c r="H278" s="28">
        <f>Achievement!J253</f>
        <v>30</v>
      </c>
    </row>
    <row r="279" spans="1:8" x14ac:dyDescent="0.3">
      <c r="A279" s="28" t="b">
        <v>1</v>
      </c>
      <c r="B279" s="29" t="str">
        <f t="shared" si="39"/>
        <v>업적설명 - [전설] 룬스톤을 50개 획득하세요</v>
      </c>
      <c r="C279" s="17">
        <f t="shared" si="36"/>
        <v>52549</v>
      </c>
      <c r="D279" s="29" t="str">
        <f t="shared" si="45"/>
        <v>[전설] 룬스톤을 50개 획득하세요</v>
      </c>
      <c r="E279" s="29" t="str">
        <f t="shared" si="46"/>
        <v>[Legendary] Obtain 50 runestones</v>
      </c>
      <c r="F279" s="29" t="str">
        <f t="shared" si="42"/>
        <v>[전설] 룬스톤을 50개 획득하세요</v>
      </c>
      <c r="H279" s="28">
        <f>Achievement!J254</f>
        <v>50</v>
      </c>
    </row>
    <row r="280" spans="1:8" x14ac:dyDescent="0.3">
      <c r="A280" s="28" t="b">
        <v>1</v>
      </c>
      <c r="B280" s="29" t="str">
        <f t="shared" si="39"/>
        <v>업적설명 - [전설] 룬스톤을 100개 획득하세요</v>
      </c>
      <c r="C280" s="17">
        <f t="shared" si="36"/>
        <v>52550</v>
      </c>
      <c r="D280" s="29" t="str">
        <f t="shared" si="45"/>
        <v>[전설] 룬스톤을 100개 획득하세요</v>
      </c>
      <c r="E280" s="29" t="str">
        <f t="shared" si="46"/>
        <v>[Legendary] Obtain 100 runestones</v>
      </c>
      <c r="F280" s="29" t="str">
        <f t="shared" si="42"/>
        <v>[전설] 룬스톤을 100개 획득하세요</v>
      </c>
      <c r="H280" s="28">
        <f>Achievement!J255</f>
        <v>100</v>
      </c>
    </row>
    <row r="281" spans="1:8" x14ac:dyDescent="0.3">
      <c r="A281" s="28" t="b">
        <v>1</v>
      </c>
      <c r="B281" s="29" t="str">
        <f t="shared" si="39"/>
        <v>업적설명 - [전설] 룬스톤을 150개 획득하세요</v>
      </c>
      <c r="C281" s="17">
        <f t="shared" si="36"/>
        <v>52551</v>
      </c>
      <c r="D281" s="29" t="str">
        <f t="shared" si="45"/>
        <v>[전설] 룬스톤을 150개 획득하세요</v>
      </c>
      <c r="E281" s="29" t="str">
        <f t="shared" si="46"/>
        <v>[Legendary] Obtain 150 runestones</v>
      </c>
      <c r="F281" s="29" t="str">
        <f t="shared" si="42"/>
        <v>[전설] 룬스톤을 150개 획득하세요</v>
      </c>
      <c r="H281" s="28">
        <f>Achievement!J256</f>
        <v>150</v>
      </c>
    </row>
    <row r="282" spans="1:8" x14ac:dyDescent="0.3">
      <c r="A282" s="28" t="b">
        <v>1</v>
      </c>
      <c r="B282" s="29" t="str">
        <f t="shared" si="39"/>
        <v>업적설명 - [전설] 룬스톤을 200개 획득하세요</v>
      </c>
      <c r="C282" s="17">
        <f t="shared" si="36"/>
        <v>52552</v>
      </c>
      <c r="D282" s="29" t="str">
        <f t="shared" si="45"/>
        <v>[전설] 룬스톤을 200개 획득하세요</v>
      </c>
      <c r="E282" s="29" t="str">
        <f t="shared" si="46"/>
        <v>[Legendary] Obtain 200 runestones</v>
      </c>
      <c r="F282" s="29" t="str">
        <f t="shared" si="42"/>
        <v>[전설] 룬스톤을 200개 획득하세요</v>
      </c>
      <c r="H282" s="28">
        <f>Achievement!J257</f>
        <v>200</v>
      </c>
    </row>
    <row r="283" spans="1:8" x14ac:dyDescent="0.3">
      <c r="A283" s="28" t="b">
        <v>1</v>
      </c>
      <c r="B283" s="29" t="str">
        <f t="shared" si="39"/>
        <v>업적설명 - [전설] 룬스톤을 250개 획득하세요</v>
      </c>
      <c r="C283" s="17">
        <f t="shared" si="36"/>
        <v>52553</v>
      </c>
      <c r="D283" s="29" t="str">
        <f t="shared" si="45"/>
        <v>[전설] 룬스톤을 250개 획득하세요</v>
      </c>
      <c r="E283" s="29" t="str">
        <f t="shared" si="46"/>
        <v>[Legendary] Obtain 250 runestones</v>
      </c>
      <c r="F283" s="29" t="str">
        <f t="shared" si="42"/>
        <v>[전설] 룬스톤을 250개 획득하세요</v>
      </c>
      <c r="H283" s="28">
        <f>Achievement!J258</f>
        <v>250</v>
      </c>
    </row>
    <row r="284" spans="1:8" x14ac:dyDescent="0.3">
      <c r="A284" s="28" t="b">
        <v>1</v>
      </c>
      <c r="B284" s="29" t="str">
        <f t="shared" si="39"/>
        <v>업적설명 - [전설] 룬스톤을 300개 획득하세요</v>
      </c>
      <c r="C284" s="17">
        <f t="shared" si="36"/>
        <v>52554</v>
      </c>
      <c r="D284" s="29" t="str">
        <f t="shared" si="45"/>
        <v>[전설] 룬스톤을 300개 획득하세요</v>
      </c>
      <c r="E284" s="29" t="str">
        <f t="shared" si="46"/>
        <v>[Legendary] Obtain 300 runestones</v>
      </c>
      <c r="F284" s="29" t="str">
        <f t="shared" si="42"/>
        <v>[전설] 룬스톤을 300개 획득하세요</v>
      </c>
      <c r="H284" s="28">
        <f>Achievement!J259</f>
        <v>300</v>
      </c>
    </row>
    <row r="285" spans="1:8" x14ac:dyDescent="0.3">
      <c r="A285" s="28" t="b">
        <v>1</v>
      </c>
      <c r="B285" s="29" t="str">
        <f t="shared" si="39"/>
        <v>업적설명 - [전설] 룬스톤을 350개 획득하세요</v>
      </c>
      <c r="C285" s="17">
        <f t="shared" si="36"/>
        <v>52555</v>
      </c>
      <c r="D285" s="29" t="str">
        <f t="shared" si="45"/>
        <v>[전설] 룬스톤을 350개 획득하세요</v>
      </c>
      <c r="E285" s="29" t="str">
        <f t="shared" si="46"/>
        <v>[Legendary] Obtain 350 runestones</v>
      </c>
      <c r="F285" s="29" t="str">
        <f t="shared" si="42"/>
        <v>[전설] 룬스톤을 350개 획득하세요</v>
      </c>
      <c r="H285" s="28">
        <f>Achievement!J260</f>
        <v>350</v>
      </c>
    </row>
    <row r="286" spans="1:8" x14ac:dyDescent="0.3">
      <c r="A286" s="28" t="b">
        <v>1</v>
      </c>
      <c r="B286" s="29" t="str">
        <f t="shared" si="39"/>
        <v>업적설명 - [전설] 룬스톤을 400개 획득하세요</v>
      </c>
      <c r="C286" s="17">
        <f t="shared" si="36"/>
        <v>52556</v>
      </c>
      <c r="D286" s="29" t="str">
        <f t="shared" si="45"/>
        <v>[전설] 룬스톤을 400개 획득하세요</v>
      </c>
      <c r="E286" s="29" t="str">
        <f t="shared" si="46"/>
        <v>[Legendary] Obtain 400 runestones</v>
      </c>
      <c r="F286" s="29" t="str">
        <f t="shared" si="42"/>
        <v>[전설] 룬스톤을 400개 획득하세요</v>
      </c>
      <c r="H286" s="28">
        <f>Achievement!J261</f>
        <v>400</v>
      </c>
    </row>
    <row r="287" spans="1:8" x14ac:dyDescent="0.3">
      <c r="A287" s="28" t="b">
        <v>1</v>
      </c>
      <c r="B287" s="29" t="str">
        <f t="shared" si="39"/>
        <v>업적설명 - [전설] 룬스톤을 450개 획득하세요</v>
      </c>
      <c r="C287" s="17">
        <f t="shared" si="36"/>
        <v>52557</v>
      </c>
      <c r="D287" s="29" t="str">
        <f t="shared" si="45"/>
        <v>[전설] 룬스톤을 450개 획득하세요</v>
      </c>
      <c r="E287" s="29" t="str">
        <f t="shared" si="46"/>
        <v>[Legendary] Obtain 450 runestones</v>
      </c>
      <c r="F287" s="29" t="str">
        <f t="shared" si="42"/>
        <v>[전설] 룬스톤을 450개 획득하세요</v>
      </c>
      <c r="H287" s="28">
        <f>Achievement!J262</f>
        <v>450</v>
      </c>
    </row>
    <row r="288" spans="1:8" x14ac:dyDescent="0.3">
      <c r="A288" s="28" t="b">
        <v>1</v>
      </c>
      <c r="B288" s="29" t="str">
        <f t="shared" si="39"/>
        <v>업적설명 - [전설] 룬스톤을 500개 획득하세요</v>
      </c>
      <c r="C288" s="17">
        <f t="shared" ref="C288:C351" si="47">C287+1</f>
        <v>52558</v>
      </c>
      <c r="D288" s="29" t="str">
        <f t="shared" si="45"/>
        <v>[전설] 룬스톤을 500개 획득하세요</v>
      </c>
      <c r="E288" s="29" t="str">
        <f t="shared" si="46"/>
        <v>[Legendary] Obtain 500 runestones</v>
      </c>
      <c r="F288" s="29" t="str">
        <f t="shared" si="42"/>
        <v>[전설] 룬스톤을 500개 획득하세요</v>
      </c>
      <c r="H288" s="28">
        <f>Achievement!J263</f>
        <v>500</v>
      </c>
    </row>
    <row r="289" spans="1:8" x14ac:dyDescent="0.3">
      <c r="A289" s="32" t="b">
        <v>1</v>
      </c>
      <c r="B289" s="33" t="str">
        <f t="shared" si="39"/>
        <v>업적설명 - [불멸] 룬스톤을 1개 획득하세요</v>
      </c>
      <c r="C289" s="16">
        <f t="shared" si="47"/>
        <v>52559</v>
      </c>
      <c r="D289" s="33" t="str">
        <f>"[불멸] 룬스톤을 "&amp; H289&amp;"개 획득하세요"</f>
        <v>[불멸] 룬스톤을 1개 획득하세요</v>
      </c>
      <c r="E289" s="33" t="str">
        <f xml:space="preserve"> "[Immortal] Obtain " &amp; H289 &amp; " runestone"</f>
        <v>[Immortal] Obtain 1 runestone</v>
      </c>
      <c r="F289" s="33" t="str">
        <f t="shared" si="42"/>
        <v>[불멸] 룬스톤을 1개 획득하세요</v>
      </c>
      <c r="H289" s="32">
        <f>Achievement!J264</f>
        <v>1</v>
      </c>
    </row>
    <row r="290" spans="1:8" x14ac:dyDescent="0.3">
      <c r="A290" s="32" t="b">
        <v>1</v>
      </c>
      <c r="B290" s="33" t="str">
        <f t="shared" si="39"/>
        <v>업적설명 - [불멸] 룬스톤을 10개 획득하세요</v>
      </c>
      <c r="C290" s="14">
        <f t="shared" si="47"/>
        <v>52560</v>
      </c>
      <c r="D290" s="33" t="str">
        <f t="shared" ref="D290:D302" si="48">"[불멸] 룬스톤을 "&amp; H290&amp;"개 획득하세요"</f>
        <v>[불멸] 룬스톤을 10개 획득하세요</v>
      </c>
      <c r="E290" s="33" t="str">
        <f xml:space="preserve"> "[Immortal] Obtain " &amp; H290 &amp; " runestones"</f>
        <v>[Immortal] Obtain 10 runestones</v>
      </c>
      <c r="F290" s="33" t="str">
        <f t="shared" si="42"/>
        <v>[불멸] 룬스톤을 10개 획득하세요</v>
      </c>
      <c r="H290" s="32">
        <f>Achievement!J265</f>
        <v>10</v>
      </c>
    </row>
    <row r="291" spans="1:8" x14ac:dyDescent="0.3">
      <c r="A291" s="32" t="b">
        <v>1</v>
      </c>
      <c r="B291" s="33" t="str">
        <f t="shared" si="39"/>
        <v>업적설명 - [불멸] 룬스톤을 20개 획득하세요</v>
      </c>
      <c r="C291" s="14">
        <f t="shared" si="47"/>
        <v>52561</v>
      </c>
      <c r="D291" s="33" t="str">
        <f t="shared" si="48"/>
        <v>[불멸] 룬스톤을 20개 획득하세요</v>
      </c>
      <c r="E291" s="33" t="str">
        <f t="shared" ref="E291:E302" si="49" xml:space="preserve"> "[Immortal] Obtain " &amp; H291 &amp; " runestones"</f>
        <v>[Immortal] Obtain 20 runestones</v>
      </c>
      <c r="F291" s="33" t="str">
        <f t="shared" si="42"/>
        <v>[불멸] 룬스톤을 20개 획득하세요</v>
      </c>
      <c r="H291" s="32">
        <f>Achievement!J266</f>
        <v>20</v>
      </c>
    </row>
    <row r="292" spans="1:8" x14ac:dyDescent="0.3">
      <c r="A292" s="32" t="b">
        <v>1</v>
      </c>
      <c r="B292" s="33" t="str">
        <f t="shared" si="39"/>
        <v>업적설명 - [불멸] 룬스톤을 30개 획득하세요</v>
      </c>
      <c r="C292" s="14">
        <f t="shared" si="47"/>
        <v>52562</v>
      </c>
      <c r="D292" s="33" t="str">
        <f t="shared" si="48"/>
        <v>[불멸] 룬스톤을 30개 획득하세요</v>
      </c>
      <c r="E292" s="33" t="str">
        <f t="shared" si="49"/>
        <v>[Immortal] Obtain 30 runestones</v>
      </c>
      <c r="F292" s="33" t="str">
        <f t="shared" si="42"/>
        <v>[불멸] 룬스톤을 30개 획득하세요</v>
      </c>
      <c r="H292" s="32">
        <f>Achievement!J267</f>
        <v>30</v>
      </c>
    </row>
    <row r="293" spans="1:8" x14ac:dyDescent="0.3">
      <c r="A293" s="32" t="b">
        <v>1</v>
      </c>
      <c r="B293" s="33" t="str">
        <f t="shared" si="39"/>
        <v>업적설명 - [불멸] 룬스톤을 50개 획득하세요</v>
      </c>
      <c r="C293" s="14">
        <f t="shared" si="47"/>
        <v>52563</v>
      </c>
      <c r="D293" s="33" t="str">
        <f t="shared" si="48"/>
        <v>[불멸] 룬스톤을 50개 획득하세요</v>
      </c>
      <c r="E293" s="33" t="str">
        <f t="shared" si="49"/>
        <v>[Immortal] Obtain 50 runestones</v>
      </c>
      <c r="F293" s="33" t="str">
        <f t="shared" si="42"/>
        <v>[불멸] 룬스톤을 50개 획득하세요</v>
      </c>
      <c r="H293" s="32">
        <f>Achievement!J268</f>
        <v>50</v>
      </c>
    </row>
    <row r="294" spans="1:8" x14ac:dyDescent="0.3">
      <c r="A294" s="32" t="b">
        <v>1</v>
      </c>
      <c r="B294" s="33" t="str">
        <f t="shared" si="39"/>
        <v>업적설명 - [불멸] 룬스톤을 100개 획득하세요</v>
      </c>
      <c r="C294" s="14">
        <f t="shared" si="47"/>
        <v>52564</v>
      </c>
      <c r="D294" s="33" t="str">
        <f t="shared" si="48"/>
        <v>[불멸] 룬스톤을 100개 획득하세요</v>
      </c>
      <c r="E294" s="33" t="str">
        <f t="shared" si="49"/>
        <v>[Immortal] Obtain 100 runestones</v>
      </c>
      <c r="F294" s="33" t="str">
        <f t="shared" si="42"/>
        <v>[불멸] 룬스톤을 100개 획득하세요</v>
      </c>
      <c r="H294" s="32">
        <f>Achievement!J269</f>
        <v>100</v>
      </c>
    </row>
    <row r="295" spans="1:8" x14ac:dyDescent="0.3">
      <c r="A295" s="32" t="b">
        <v>1</v>
      </c>
      <c r="B295" s="33" t="str">
        <f t="shared" ref="B295:B358" si="50">"업적설명 - " &amp;D295</f>
        <v>업적설명 - [불멸] 룬스톤을 150개 획득하세요</v>
      </c>
      <c r="C295" s="14">
        <f t="shared" si="47"/>
        <v>52565</v>
      </c>
      <c r="D295" s="33" t="str">
        <f t="shared" si="48"/>
        <v>[불멸] 룬스톤을 150개 획득하세요</v>
      </c>
      <c r="E295" s="33" t="str">
        <f t="shared" si="49"/>
        <v>[Immortal] Obtain 150 runestones</v>
      </c>
      <c r="F295" s="33" t="str">
        <f t="shared" si="42"/>
        <v>[불멸] 룬스톤을 150개 획득하세요</v>
      </c>
      <c r="H295" s="32">
        <f>Achievement!J270</f>
        <v>150</v>
      </c>
    </row>
    <row r="296" spans="1:8" x14ac:dyDescent="0.3">
      <c r="A296" s="32" t="b">
        <v>1</v>
      </c>
      <c r="B296" s="33" t="str">
        <f t="shared" si="50"/>
        <v>업적설명 - [불멸] 룬스톤을 200개 획득하세요</v>
      </c>
      <c r="C296" s="14">
        <f t="shared" si="47"/>
        <v>52566</v>
      </c>
      <c r="D296" s="33" t="str">
        <f t="shared" si="48"/>
        <v>[불멸] 룬스톤을 200개 획득하세요</v>
      </c>
      <c r="E296" s="33" t="str">
        <f t="shared" si="49"/>
        <v>[Immortal] Obtain 200 runestones</v>
      </c>
      <c r="F296" s="33" t="str">
        <f t="shared" si="42"/>
        <v>[불멸] 룬스톤을 200개 획득하세요</v>
      </c>
      <c r="H296" s="32">
        <f>Achievement!J271</f>
        <v>200</v>
      </c>
    </row>
    <row r="297" spans="1:8" x14ac:dyDescent="0.3">
      <c r="A297" s="32" t="b">
        <v>1</v>
      </c>
      <c r="B297" s="33" t="str">
        <f t="shared" si="50"/>
        <v>업적설명 - [불멸] 룬스톤을 250개 획득하세요</v>
      </c>
      <c r="C297" s="14">
        <f t="shared" si="47"/>
        <v>52567</v>
      </c>
      <c r="D297" s="33" t="str">
        <f t="shared" si="48"/>
        <v>[불멸] 룬스톤을 250개 획득하세요</v>
      </c>
      <c r="E297" s="33" t="str">
        <f t="shared" si="49"/>
        <v>[Immortal] Obtain 250 runestones</v>
      </c>
      <c r="F297" s="33" t="str">
        <f t="shared" si="42"/>
        <v>[불멸] 룬스톤을 250개 획득하세요</v>
      </c>
      <c r="H297" s="32">
        <f>Achievement!J272</f>
        <v>250</v>
      </c>
    </row>
    <row r="298" spans="1:8" x14ac:dyDescent="0.3">
      <c r="A298" s="32" t="b">
        <v>1</v>
      </c>
      <c r="B298" s="33" t="str">
        <f t="shared" si="50"/>
        <v>업적설명 - [불멸] 룬스톤을 300개 획득하세요</v>
      </c>
      <c r="C298" s="14">
        <f t="shared" si="47"/>
        <v>52568</v>
      </c>
      <c r="D298" s="33" t="str">
        <f t="shared" si="48"/>
        <v>[불멸] 룬스톤을 300개 획득하세요</v>
      </c>
      <c r="E298" s="33" t="str">
        <f t="shared" si="49"/>
        <v>[Immortal] Obtain 300 runestones</v>
      </c>
      <c r="F298" s="33" t="str">
        <f t="shared" si="42"/>
        <v>[불멸] 룬스톤을 300개 획득하세요</v>
      </c>
      <c r="H298" s="32">
        <f>Achievement!J273</f>
        <v>300</v>
      </c>
    </row>
    <row r="299" spans="1:8" x14ac:dyDescent="0.3">
      <c r="A299" s="32" t="b">
        <v>1</v>
      </c>
      <c r="B299" s="33" t="str">
        <f t="shared" si="50"/>
        <v>업적설명 - [불멸] 룬스톤을 350개 획득하세요</v>
      </c>
      <c r="C299" s="14">
        <f t="shared" si="47"/>
        <v>52569</v>
      </c>
      <c r="D299" s="33" t="str">
        <f t="shared" si="48"/>
        <v>[불멸] 룬스톤을 350개 획득하세요</v>
      </c>
      <c r="E299" s="33" t="str">
        <f t="shared" si="49"/>
        <v>[Immortal] Obtain 350 runestones</v>
      </c>
      <c r="F299" s="33" t="str">
        <f t="shared" si="42"/>
        <v>[불멸] 룬스톤을 350개 획득하세요</v>
      </c>
      <c r="H299" s="32">
        <f>Achievement!J274</f>
        <v>350</v>
      </c>
    </row>
    <row r="300" spans="1:8" x14ac:dyDescent="0.3">
      <c r="A300" s="32" t="b">
        <v>1</v>
      </c>
      <c r="B300" s="33" t="str">
        <f t="shared" si="50"/>
        <v>업적설명 - [불멸] 룬스톤을 400개 획득하세요</v>
      </c>
      <c r="C300" s="14">
        <f t="shared" si="47"/>
        <v>52570</v>
      </c>
      <c r="D300" s="33" t="str">
        <f t="shared" si="48"/>
        <v>[불멸] 룬스톤을 400개 획득하세요</v>
      </c>
      <c r="E300" s="33" t="str">
        <f t="shared" si="49"/>
        <v>[Immortal] Obtain 400 runestones</v>
      </c>
      <c r="F300" s="33" t="str">
        <f t="shared" si="42"/>
        <v>[불멸] 룬스톤을 400개 획득하세요</v>
      </c>
      <c r="H300" s="32">
        <f>Achievement!J275</f>
        <v>400</v>
      </c>
    </row>
    <row r="301" spans="1:8" x14ac:dyDescent="0.3">
      <c r="A301" s="32" t="b">
        <v>1</v>
      </c>
      <c r="B301" s="33" t="str">
        <f t="shared" si="50"/>
        <v>업적설명 - [불멸] 룬스톤을 450개 획득하세요</v>
      </c>
      <c r="C301" s="14">
        <f t="shared" si="47"/>
        <v>52571</v>
      </c>
      <c r="D301" s="33" t="str">
        <f t="shared" si="48"/>
        <v>[불멸] 룬스톤을 450개 획득하세요</v>
      </c>
      <c r="E301" s="33" t="str">
        <f t="shared" si="49"/>
        <v>[Immortal] Obtain 450 runestones</v>
      </c>
      <c r="F301" s="33" t="str">
        <f t="shared" si="42"/>
        <v>[불멸] 룬스톤을 450개 획득하세요</v>
      </c>
      <c r="H301" s="32">
        <f>Achievement!J276</f>
        <v>450</v>
      </c>
    </row>
    <row r="302" spans="1:8" x14ac:dyDescent="0.3">
      <c r="A302" s="32" t="b">
        <v>1</v>
      </c>
      <c r="B302" s="33" t="str">
        <f t="shared" si="50"/>
        <v>업적설명 - [불멸] 룬스톤을 500개 획득하세요</v>
      </c>
      <c r="C302" s="14">
        <f t="shared" si="47"/>
        <v>52572</v>
      </c>
      <c r="D302" s="33" t="str">
        <f t="shared" si="48"/>
        <v>[불멸] 룬스톤을 500개 획득하세요</v>
      </c>
      <c r="E302" s="33" t="str">
        <f t="shared" si="49"/>
        <v>[Immortal] Obtain 500 runestones</v>
      </c>
      <c r="F302" s="33" t="str">
        <f t="shared" si="42"/>
        <v>[불멸] 룬스톤을 500개 획득하세요</v>
      </c>
      <c r="H302" s="32">
        <f>Achievement!J277</f>
        <v>500</v>
      </c>
    </row>
    <row r="303" spans="1:8" x14ac:dyDescent="0.3">
      <c r="A303" s="28" t="b">
        <v>1</v>
      </c>
      <c r="B303" s="29" t="str">
        <f t="shared" si="50"/>
        <v>업적설명 - 장비아이템을 1회 합성하세요</v>
      </c>
      <c r="C303" s="16">
        <f t="shared" si="47"/>
        <v>52573</v>
      </c>
      <c r="D303" s="29" t="str">
        <f>"장비아이템을 " &amp; H303 &amp; "회 합성하세요"</f>
        <v>장비아이템을 1회 합성하세요</v>
      </c>
      <c r="E303" s="29" t="str">
        <f xml:space="preserve"> "Combine gear item " &amp; H303 &amp; " time"</f>
        <v>Combine gear item 1 time</v>
      </c>
      <c r="F303" s="29" t="str">
        <f t="shared" si="42"/>
        <v>장비아이템을 1회 합성하세요</v>
      </c>
      <c r="H303" s="28">
        <f>Achievement!J278</f>
        <v>1</v>
      </c>
    </row>
    <row r="304" spans="1:8" x14ac:dyDescent="0.3">
      <c r="A304" s="28" t="b">
        <v>1</v>
      </c>
      <c r="B304" s="29" t="str">
        <f t="shared" si="50"/>
        <v>업적설명 - 장비아이템을 5회 합성하세요</v>
      </c>
      <c r="C304" s="17">
        <f t="shared" si="47"/>
        <v>52574</v>
      </c>
      <c r="D304" s="29" t="str">
        <f t="shared" ref="D304:D326" si="51">"장비아이템을 " &amp; H304 &amp; "회 합성하세요"</f>
        <v>장비아이템을 5회 합성하세요</v>
      </c>
      <c r="E304" s="29" t="str">
        <f xml:space="preserve"> "Combine gear item " &amp; H304 &amp; " times"</f>
        <v>Combine gear item 5 times</v>
      </c>
      <c r="F304" s="29" t="str">
        <f t="shared" ref="F304:F367" si="52">D304</f>
        <v>장비아이템을 5회 합성하세요</v>
      </c>
      <c r="H304" s="28">
        <f>Achievement!J279</f>
        <v>5</v>
      </c>
    </row>
    <row r="305" spans="1:8" x14ac:dyDescent="0.3">
      <c r="A305" s="28" t="b">
        <v>1</v>
      </c>
      <c r="B305" s="29" t="str">
        <f t="shared" si="50"/>
        <v>업적설명 - 장비아이템을 10회 합성하세요</v>
      </c>
      <c r="C305" s="17">
        <f t="shared" si="47"/>
        <v>52575</v>
      </c>
      <c r="D305" s="29" t="str">
        <f t="shared" si="51"/>
        <v>장비아이템을 10회 합성하세요</v>
      </c>
      <c r="E305" s="29" t="str">
        <f t="shared" ref="E305:E326" si="53" xml:space="preserve"> "Combine gear item " &amp; H305 &amp; " times"</f>
        <v>Combine gear item 10 times</v>
      </c>
      <c r="F305" s="29" t="str">
        <f t="shared" si="52"/>
        <v>장비아이템을 10회 합성하세요</v>
      </c>
      <c r="H305" s="28">
        <f>Achievement!J280</f>
        <v>10</v>
      </c>
    </row>
    <row r="306" spans="1:8" x14ac:dyDescent="0.3">
      <c r="A306" s="28" t="b">
        <v>1</v>
      </c>
      <c r="B306" s="29" t="str">
        <f t="shared" si="50"/>
        <v>업적설명 - 장비아이템을 15회 합성하세요</v>
      </c>
      <c r="C306" s="17">
        <f t="shared" si="47"/>
        <v>52576</v>
      </c>
      <c r="D306" s="29" t="str">
        <f t="shared" si="51"/>
        <v>장비아이템을 15회 합성하세요</v>
      </c>
      <c r="E306" s="29" t="str">
        <f t="shared" si="53"/>
        <v>Combine gear item 15 times</v>
      </c>
      <c r="F306" s="29" t="str">
        <f t="shared" si="52"/>
        <v>장비아이템을 15회 합성하세요</v>
      </c>
      <c r="H306" s="28">
        <f>Achievement!J281</f>
        <v>15</v>
      </c>
    </row>
    <row r="307" spans="1:8" x14ac:dyDescent="0.3">
      <c r="A307" s="28" t="b">
        <v>1</v>
      </c>
      <c r="B307" s="29" t="str">
        <f t="shared" si="50"/>
        <v>업적설명 - 장비아이템을 20회 합성하세요</v>
      </c>
      <c r="C307" s="17">
        <f t="shared" si="47"/>
        <v>52577</v>
      </c>
      <c r="D307" s="29" t="str">
        <f t="shared" si="51"/>
        <v>장비아이템을 20회 합성하세요</v>
      </c>
      <c r="E307" s="29" t="str">
        <f t="shared" si="53"/>
        <v>Combine gear item 20 times</v>
      </c>
      <c r="F307" s="29" t="str">
        <f t="shared" si="52"/>
        <v>장비아이템을 20회 합성하세요</v>
      </c>
      <c r="H307" s="28">
        <f>Achievement!J282</f>
        <v>20</v>
      </c>
    </row>
    <row r="308" spans="1:8" x14ac:dyDescent="0.3">
      <c r="A308" s="28" t="b">
        <v>1</v>
      </c>
      <c r="B308" s="29" t="str">
        <f t="shared" si="50"/>
        <v>업적설명 - 장비아이템을 25회 합성하세요</v>
      </c>
      <c r="C308" s="17">
        <f t="shared" si="47"/>
        <v>52578</v>
      </c>
      <c r="D308" s="29" t="str">
        <f t="shared" si="51"/>
        <v>장비아이템을 25회 합성하세요</v>
      </c>
      <c r="E308" s="29" t="str">
        <f t="shared" si="53"/>
        <v>Combine gear item 25 times</v>
      </c>
      <c r="F308" s="29" t="str">
        <f t="shared" si="52"/>
        <v>장비아이템을 25회 합성하세요</v>
      </c>
      <c r="H308" s="28">
        <f>Achievement!J283</f>
        <v>25</v>
      </c>
    </row>
    <row r="309" spans="1:8" x14ac:dyDescent="0.3">
      <c r="A309" s="28" t="b">
        <v>1</v>
      </c>
      <c r="B309" s="29" t="str">
        <f t="shared" si="50"/>
        <v>업적설명 - 장비아이템을 30회 합성하세요</v>
      </c>
      <c r="C309" s="17">
        <f t="shared" si="47"/>
        <v>52579</v>
      </c>
      <c r="D309" s="29" t="str">
        <f t="shared" si="51"/>
        <v>장비아이템을 30회 합성하세요</v>
      </c>
      <c r="E309" s="29" t="str">
        <f t="shared" si="53"/>
        <v>Combine gear item 30 times</v>
      </c>
      <c r="F309" s="29" t="str">
        <f t="shared" si="52"/>
        <v>장비아이템을 30회 합성하세요</v>
      </c>
      <c r="H309" s="28">
        <f>Achievement!J284</f>
        <v>30</v>
      </c>
    </row>
    <row r="310" spans="1:8" x14ac:dyDescent="0.3">
      <c r="A310" s="28" t="b">
        <v>1</v>
      </c>
      <c r="B310" s="29" t="str">
        <f t="shared" si="50"/>
        <v>업적설명 - 장비아이템을 35회 합성하세요</v>
      </c>
      <c r="C310" s="17">
        <f t="shared" si="47"/>
        <v>52580</v>
      </c>
      <c r="D310" s="29" t="str">
        <f t="shared" si="51"/>
        <v>장비아이템을 35회 합성하세요</v>
      </c>
      <c r="E310" s="29" t="str">
        <f t="shared" si="53"/>
        <v>Combine gear item 35 times</v>
      </c>
      <c r="F310" s="29" t="str">
        <f t="shared" si="52"/>
        <v>장비아이템을 35회 합성하세요</v>
      </c>
      <c r="H310" s="28">
        <f>Achievement!J285</f>
        <v>35</v>
      </c>
    </row>
    <row r="311" spans="1:8" x14ac:dyDescent="0.3">
      <c r="A311" s="28" t="b">
        <v>1</v>
      </c>
      <c r="B311" s="29" t="str">
        <f t="shared" si="50"/>
        <v>업적설명 - 장비아이템을 40회 합성하세요</v>
      </c>
      <c r="C311" s="17">
        <f t="shared" si="47"/>
        <v>52581</v>
      </c>
      <c r="D311" s="29" t="str">
        <f t="shared" si="51"/>
        <v>장비아이템을 40회 합성하세요</v>
      </c>
      <c r="E311" s="29" t="str">
        <f t="shared" si="53"/>
        <v>Combine gear item 40 times</v>
      </c>
      <c r="F311" s="29" t="str">
        <f t="shared" si="52"/>
        <v>장비아이템을 40회 합성하세요</v>
      </c>
      <c r="H311" s="28">
        <f>Achievement!J286</f>
        <v>40</v>
      </c>
    </row>
    <row r="312" spans="1:8" x14ac:dyDescent="0.3">
      <c r="A312" s="28" t="b">
        <v>1</v>
      </c>
      <c r="B312" s="29" t="str">
        <f t="shared" si="50"/>
        <v>업적설명 - 장비아이템을 45회 합성하세요</v>
      </c>
      <c r="C312" s="17">
        <f t="shared" si="47"/>
        <v>52582</v>
      </c>
      <c r="D312" s="29" t="str">
        <f t="shared" si="51"/>
        <v>장비아이템을 45회 합성하세요</v>
      </c>
      <c r="E312" s="29" t="str">
        <f t="shared" si="53"/>
        <v>Combine gear item 45 times</v>
      </c>
      <c r="F312" s="29" t="str">
        <f t="shared" si="52"/>
        <v>장비아이템을 45회 합성하세요</v>
      </c>
      <c r="H312" s="28">
        <f>Achievement!J287</f>
        <v>45</v>
      </c>
    </row>
    <row r="313" spans="1:8" x14ac:dyDescent="0.3">
      <c r="A313" s="28" t="b">
        <v>1</v>
      </c>
      <c r="B313" s="29" t="str">
        <f t="shared" si="50"/>
        <v>업적설명 - 장비아이템을 50회 합성하세요</v>
      </c>
      <c r="C313" s="17">
        <f t="shared" si="47"/>
        <v>52583</v>
      </c>
      <c r="D313" s="29" t="str">
        <f t="shared" si="51"/>
        <v>장비아이템을 50회 합성하세요</v>
      </c>
      <c r="E313" s="29" t="str">
        <f t="shared" si="53"/>
        <v>Combine gear item 50 times</v>
      </c>
      <c r="F313" s="29" t="str">
        <f t="shared" si="52"/>
        <v>장비아이템을 50회 합성하세요</v>
      </c>
      <c r="H313" s="28">
        <f>Achievement!J288</f>
        <v>50</v>
      </c>
    </row>
    <row r="314" spans="1:8" x14ac:dyDescent="0.3">
      <c r="A314" s="28" t="b">
        <v>1</v>
      </c>
      <c r="B314" s="29" t="str">
        <f t="shared" si="50"/>
        <v>업적설명 - 장비아이템을 60회 합성하세요</v>
      </c>
      <c r="C314" s="17">
        <f t="shared" si="47"/>
        <v>52584</v>
      </c>
      <c r="D314" s="29" t="str">
        <f t="shared" si="51"/>
        <v>장비아이템을 60회 합성하세요</v>
      </c>
      <c r="E314" s="29" t="str">
        <f t="shared" si="53"/>
        <v>Combine gear item 60 times</v>
      </c>
      <c r="F314" s="29" t="str">
        <f t="shared" si="52"/>
        <v>장비아이템을 60회 합성하세요</v>
      </c>
      <c r="H314" s="28">
        <f>Achievement!J289</f>
        <v>60</v>
      </c>
    </row>
    <row r="315" spans="1:8" x14ac:dyDescent="0.3">
      <c r="A315" s="28" t="b">
        <v>1</v>
      </c>
      <c r="B315" s="29" t="str">
        <f t="shared" si="50"/>
        <v>업적설명 - 장비아이템을 70회 합성하세요</v>
      </c>
      <c r="C315" s="17">
        <f t="shared" si="47"/>
        <v>52585</v>
      </c>
      <c r="D315" s="29" t="str">
        <f t="shared" si="51"/>
        <v>장비아이템을 70회 합성하세요</v>
      </c>
      <c r="E315" s="29" t="str">
        <f t="shared" si="53"/>
        <v>Combine gear item 70 times</v>
      </c>
      <c r="F315" s="29" t="str">
        <f t="shared" si="52"/>
        <v>장비아이템을 70회 합성하세요</v>
      </c>
      <c r="H315" s="28">
        <f>Achievement!J290</f>
        <v>70</v>
      </c>
    </row>
    <row r="316" spans="1:8" x14ac:dyDescent="0.3">
      <c r="A316" s="28" t="b">
        <v>1</v>
      </c>
      <c r="B316" s="29" t="str">
        <f t="shared" si="50"/>
        <v>업적설명 - 장비아이템을 80회 합성하세요</v>
      </c>
      <c r="C316" s="17">
        <f t="shared" si="47"/>
        <v>52586</v>
      </c>
      <c r="D316" s="29" t="str">
        <f t="shared" si="51"/>
        <v>장비아이템을 80회 합성하세요</v>
      </c>
      <c r="E316" s="29" t="str">
        <f t="shared" si="53"/>
        <v>Combine gear item 80 times</v>
      </c>
      <c r="F316" s="29" t="str">
        <f t="shared" si="52"/>
        <v>장비아이템을 80회 합성하세요</v>
      </c>
      <c r="H316" s="28">
        <f>Achievement!J291</f>
        <v>80</v>
      </c>
    </row>
    <row r="317" spans="1:8" x14ac:dyDescent="0.3">
      <c r="A317" s="28" t="b">
        <v>1</v>
      </c>
      <c r="B317" s="29" t="str">
        <f t="shared" si="50"/>
        <v>업적설명 - 장비아이템을 90회 합성하세요</v>
      </c>
      <c r="C317" s="17">
        <f t="shared" si="47"/>
        <v>52587</v>
      </c>
      <c r="D317" s="29" t="str">
        <f t="shared" si="51"/>
        <v>장비아이템을 90회 합성하세요</v>
      </c>
      <c r="E317" s="29" t="str">
        <f t="shared" si="53"/>
        <v>Combine gear item 90 times</v>
      </c>
      <c r="F317" s="29" t="str">
        <f t="shared" si="52"/>
        <v>장비아이템을 90회 합성하세요</v>
      </c>
      <c r="H317" s="28">
        <f>Achievement!J292</f>
        <v>90</v>
      </c>
    </row>
    <row r="318" spans="1:8" x14ac:dyDescent="0.3">
      <c r="A318" s="28" t="b">
        <v>1</v>
      </c>
      <c r="B318" s="29" t="str">
        <f t="shared" si="50"/>
        <v>업적설명 - 장비아이템을 100회 합성하세요</v>
      </c>
      <c r="C318" s="17">
        <f t="shared" si="47"/>
        <v>52588</v>
      </c>
      <c r="D318" s="29" t="str">
        <f t="shared" si="51"/>
        <v>장비아이템을 100회 합성하세요</v>
      </c>
      <c r="E318" s="29" t="str">
        <f t="shared" si="53"/>
        <v>Combine gear item 100 times</v>
      </c>
      <c r="F318" s="29" t="str">
        <f t="shared" si="52"/>
        <v>장비아이템을 100회 합성하세요</v>
      </c>
      <c r="H318" s="28">
        <f>Achievement!J293</f>
        <v>100</v>
      </c>
    </row>
    <row r="319" spans="1:8" x14ac:dyDescent="0.3">
      <c r="A319" s="28" t="b">
        <v>1</v>
      </c>
      <c r="B319" s="29" t="str">
        <f t="shared" si="50"/>
        <v>업적설명 - 장비아이템을 150회 합성하세요</v>
      </c>
      <c r="C319" s="17">
        <f t="shared" si="47"/>
        <v>52589</v>
      </c>
      <c r="D319" s="29" t="str">
        <f t="shared" si="51"/>
        <v>장비아이템을 150회 합성하세요</v>
      </c>
      <c r="E319" s="29" t="str">
        <f t="shared" si="53"/>
        <v>Combine gear item 150 times</v>
      </c>
      <c r="F319" s="29" t="str">
        <f t="shared" si="52"/>
        <v>장비아이템을 150회 합성하세요</v>
      </c>
      <c r="H319" s="28">
        <f>Achievement!J294</f>
        <v>150</v>
      </c>
    </row>
    <row r="320" spans="1:8" x14ac:dyDescent="0.3">
      <c r="A320" s="28" t="b">
        <v>1</v>
      </c>
      <c r="B320" s="29" t="str">
        <f t="shared" si="50"/>
        <v>업적설명 - 장비아이템을 200회 합성하세요</v>
      </c>
      <c r="C320" s="17">
        <f t="shared" si="47"/>
        <v>52590</v>
      </c>
      <c r="D320" s="29" t="str">
        <f t="shared" si="51"/>
        <v>장비아이템을 200회 합성하세요</v>
      </c>
      <c r="E320" s="29" t="str">
        <f t="shared" si="53"/>
        <v>Combine gear item 200 times</v>
      </c>
      <c r="F320" s="29" t="str">
        <f t="shared" si="52"/>
        <v>장비아이템을 200회 합성하세요</v>
      </c>
      <c r="H320" s="28">
        <f>Achievement!J295</f>
        <v>200</v>
      </c>
    </row>
    <row r="321" spans="1:8" x14ac:dyDescent="0.3">
      <c r="A321" s="28" t="b">
        <v>1</v>
      </c>
      <c r="B321" s="29" t="str">
        <f t="shared" si="50"/>
        <v>업적설명 - 장비아이템을 250회 합성하세요</v>
      </c>
      <c r="C321" s="17">
        <f t="shared" si="47"/>
        <v>52591</v>
      </c>
      <c r="D321" s="29" t="str">
        <f t="shared" si="51"/>
        <v>장비아이템을 250회 합성하세요</v>
      </c>
      <c r="E321" s="29" t="str">
        <f t="shared" si="53"/>
        <v>Combine gear item 250 times</v>
      </c>
      <c r="F321" s="29" t="str">
        <f t="shared" si="52"/>
        <v>장비아이템을 250회 합성하세요</v>
      </c>
      <c r="H321" s="28">
        <f>Achievement!J296</f>
        <v>250</v>
      </c>
    </row>
    <row r="322" spans="1:8" x14ac:dyDescent="0.3">
      <c r="A322" s="28" t="b">
        <v>1</v>
      </c>
      <c r="B322" s="29" t="str">
        <f t="shared" si="50"/>
        <v>업적설명 - 장비아이템을 300회 합성하세요</v>
      </c>
      <c r="C322" s="17">
        <f t="shared" si="47"/>
        <v>52592</v>
      </c>
      <c r="D322" s="29" t="str">
        <f t="shared" si="51"/>
        <v>장비아이템을 300회 합성하세요</v>
      </c>
      <c r="E322" s="29" t="str">
        <f t="shared" si="53"/>
        <v>Combine gear item 300 times</v>
      </c>
      <c r="F322" s="29" t="str">
        <f t="shared" si="52"/>
        <v>장비아이템을 300회 합성하세요</v>
      </c>
      <c r="H322" s="28">
        <f>Achievement!J297</f>
        <v>300</v>
      </c>
    </row>
    <row r="323" spans="1:8" x14ac:dyDescent="0.3">
      <c r="A323" s="28" t="b">
        <v>1</v>
      </c>
      <c r="B323" s="29" t="str">
        <f t="shared" si="50"/>
        <v>업적설명 - 장비아이템을 350회 합성하세요</v>
      </c>
      <c r="C323" s="17">
        <f t="shared" si="47"/>
        <v>52593</v>
      </c>
      <c r="D323" s="29" t="str">
        <f t="shared" si="51"/>
        <v>장비아이템을 350회 합성하세요</v>
      </c>
      <c r="E323" s="29" t="str">
        <f t="shared" si="53"/>
        <v>Combine gear item 350 times</v>
      </c>
      <c r="F323" s="29" t="str">
        <f t="shared" si="52"/>
        <v>장비아이템을 350회 합성하세요</v>
      </c>
      <c r="H323" s="28">
        <f>Achievement!J298</f>
        <v>350</v>
      </c>
    </row>
    <row r="324" spans="1:8" x14ac:dyDescent="0.3">
      <c r="A324" s="28" t="b">
        <v>1</v>
      </c>
      <c r="B324" s="29" t="str">
        <f t="shared" si="50"/>
        <v>업적설명 - 장비아이템을 400회 합성하세요</v>
      </c>
      <c r="C324" s="17">
        <f t="shared" si="47"/>
        <v>52594</v>
      </c>
      <c r="D324" s="29" t="str">
        <f t="shared" si="51"/>
        <v>장비아이템을 400회 합성하세요</v>
      </c>
      <c r="E324" s="29" t="str">
        <f t="shared" si="53"/>
        <v>Combine gear item 400 times</v>
      </c>
      <c r="F324" s="29" t="str">
        <f t="shared" si="52"/>
        <v>장비아이템을 400회 합성하세요</v>
      </c>
      <c r="H324" s="28">
        <f>Achievement!J299</f>
        <v>400</v>
      </c>
    </row>
    <row r="325" spans="1:8" x14ac:dyDescent="0.3">
      <c r="A325" s="28" t="b">
        <v>1</v>
      </c>
      <c r="B325" s="29" t="str">
        <f t="shared" si="50"/>
        <v>업적설명 - 장비아이템을 450회 합성하세요</v>
      </c>
      <c r="C325" s="17">
        <f t="shared" si="47"/>
        <v>52595</v>
      </c>
      <c r="D325" s="29" t="str">
        <f t="shared" si="51"/>
        <v>장비아이템을 450회 합성하세요</v>
      </c>
      <c r="E325" s="29" t="str">
        <f t="shared" si="53"/>
        <v>Combine gear item 450 times</v>
      </c>
      <c r="F325" s="29" t="str">
        <f t="shared" si="52"/>
        <v>장비아이템을 450회 합성하세요</v>
      </c>
      <c r="H325" s="28">
        <f>Achievement!J300</f>
        <v>450</v>
      </c>
    </row>
    <row r="326" spans="1:8" x14ac:dyDescent="0.3">
      <c r="A326" s="28" t="b">
        <v>1</v>
      </c>
      <c r="B326" s="29" t="str">
        <f t="shared" si="50"/>
        <v>업적설명 - 장비아이템을 500회 합성하세요</v>
      </c>
      <c r="C326" s="17">
        <f t="shared" si="47"/>
        <v>52596</v>
      </c>
      <c r="D326" s="29" t="str">
        <f t="shared" si="51"/>
        <v>장비아이템을 500회 합성하세요</v>
      </c>
      <c r="E326" s="29" t="str">
        <f t="shared" si="53"/>
        <v>Combine gear item 500 times</v>
      </c>
      <c r="F326" s="29" t="str">
        <f t="shared" si="52"/>
        <v>장비아이템을 500회 합성하세요</v>
      </c>
      <c r="H326" s="28">
        <f>Achievement!J301</f>
        <v>500</v>
      </c>
    </row>
    <row r="327" spans="1:8" x14ac:dyDescent="0.3">
      <c r="A327" s="32" t="b">
        <v>1</v>
      </c>
      <c r="B327" s="33" t="str">
        <f t="shared" si="50"/>
        <v>업적설명 - 장비아이템을 1회 승급하세요</v>
      </c>
      <c r="C327" s="16">
        <f t="shared" si="47"/>
        <v>52597</v>
      </c>
      <c r="D327" s="33" t="str">
        <f>"장비아이템을 "&amp; H327&amp;"회 승급하세요"</f>
        <v>장비아이템을 1회 승급하세요</v>
      </c>
      <c r="E327" s="33" t="str">
        <f xml:space="preserve"> "Promote gear item " &amp; H327 &amp; " time"</f>
        <v>Promote gear item 1 time</v>
      </c>
      <c r="F327" s="33" t="str">
        <f t="shared" si="52"/>
        <v>장비아이템을 1회 승급하세요</v>
      </c>
      <c r="H327" s="32">
        <f>Achievement!J302</f>
        <v>1</v>
      </c>
    </row>
    <row r="328" spans="1:8" x14ac:dyDescent="0.3">
      <c r="A328" s="32" t="b">
        <v>1</v>
      </c>
      <c r="B328" s="33" t="str">
        <f t="shared" si="50"/>
        <v>업적설명 - 장비아이템을 5회 승급하세요</v>
      </c>
      <c r="C328" s="14">
        <f t="shared" si="47"/>
        <v>52598</v>
      </c>
      <c r="D328" s="33" t="str">
        <f t="shared" ref="D328:D343" si="54">"장비아이템을 "&amp; H328&amp;"회 승급하세요"</f>
        <v>장비아이템을 5회 승급하세요</v>
      </c>
      <c r="E328" s="33" t="str">
        <f xml:space="preserve"> "Promote gear item " &amp; H328 &amp; " times"</f>
        <v>Promote gear item 5 times</v>
      </c>
      <c r="F328" s="33" t="str">
        <f t="shared" si="52"/>
        <v>장비아이템을 5회 승급하세요</v>
      </c>
      <c r="H328" s="32">
        <f>Achievement!J303</f>
        <v>5</v>
      </c>
    </row>
    <row r="329" spans="1:8" x14ac:dyDescent="0.3">
      <c r="A329" s="32" t="b">
        <v>1</v>
      </c>
      <c r="B329" s="33" t="str">
        <f t="shared" si="50"/>
        <v>업적설명 - 장비아이템을 10회 승급하세요</v>
      </c>
      <c r="C329" s="14">
        <f t="shared" si="47"/>
        <v>52599</v>
      </c>
      <c r="D329" s="33" t="str">
        <f t="shared" si="54"/>
        <v>장비아이템을 10회 승급하세요</v>
      </c>
      <c r="E329" s="33" t="str">
        <f t="shared" ref="E329:E343" si="55" xml:space="preserve"> "Promote gear item " &amp; H329 &amp; " times"</f>
        <v>Promote gear item 10 times</v>
      </c>
      <c r="F329" s="33" t="str">
        <f t="shared" si="52"/>
        <v>장비아이템을 10회 승급하세요</v>
      </c>
      <c r="H329" s="32">
        <f>Achievement!J304</f>
        <v>10</v>
      </c>
    </row>
    <row r="330" spans="1:8" x14ac:dyDescent="0.3">
      <c r="A330" s="32" t="b">
        <v>1</v>
      </c>
      <c r="B330" s="33" t="str">
        <f t="shared" si="50"/>
        <v>업적설명 - 장비아이템을 15회 승급하세요</v>
      </c>
      <c r="C330" s="14">
        <f t="shared" si="47"/>
        <v>52600</v>
      </c>
      <c r="D330" s="33" t="str">
        <f t="shared" si="54"/>
        <v>장비아이템을 15회 승급하세요</v>
      </c>
      <c r="E330" s="33" t="str">
        <f t="shared" si="55"/>
        <v>Promote gear item 15 times</v>
      </c>
      <c r="F330" s="33" t="str">
        <f t="shared" si="52"/>
        <v>장비아이템을 15회 승급하세요</v>
      </c>
      <c r="H330" s="32">
        <f>Achievement!J305</f>
        <v>15</v>
      </c>
    </row>
    <row r="331" spans="1:8" x14ac:dyDescent="0.3">
      <c r="A331" s="32" t="b">
        <v>1</v>
      </c>
      <c r="B331" s="33" t="str">
        <f t="shared" si="50"/>
        <v>업적설명 - 장비아이템을 20회 승급하세요</v>
      </c>
      <c r="C331" s="14">
        <f t="shared" si="47"/>
        <v>52601</v>
      </c>
      <c r="D331" s="33" t="str">
        <f t="shared" si="54"/>
        <v>장비아이템을 20회 승급하세요</v>
      </c>
      <c r="E331" s="33" t="str">
        <f t="shared" si="55"/>
        <v>Promote gear item 20 times</v>
      </c>
      <c r="F331" s="33" t="str">
        <f t="shared" si="52"/>
        <v>장비아이템을 20회 승급하세요</v>
      </c>
      <c r="H331" s="32">
        <f>Achievement!J306</f>
        <v>20</v>
      </c>
    </row>
    <row r="332" spans="1:8" x14ac:dyDescent="0.3">
      <c r="A332" s="32" t="b">
        <v>1</v>
      </c>
      <c r="B332" s="33" t="str">
        <f t="shared" si="50"/>
        <v>업적설명 - 장비아이템을 25회 승급하세요</v>
      </c>
      <c r="C332" s="14">
        <f t="shared" si="47"/>
        <v>52602</v>
      </c>
      <c r="D332" s="33" t="str">
        <f t="shared" si="54"/>
        <v>장비아이템을 25회 승급하세요</v>
      </c>
      <c r="E332" s="33" t="str">
        <f t="shared" si="55"/>
        <v>Promote gear item 25 times</v>
      </c>
      <c r="F332" s="33" t="str">
        <f t="shared" si="52"/>
        <v>장비아이템을 25회 승급하세요</v>
      </c>
      <c r="H332" s="32">
        <f>Achievement!J307</f>
        <v>25</v>
      </c>
    </row>
    <row r="333" spans="1:8" x14ac:dyDescent="0.3">
      <c r="A333" s="32" t="b">
        <v>1</v>
      </c>
      <c r="B333" s="33" t="str">
        <f t="shared" si="50"/>
        <v>업적설명 - 장비아이템을 30회 승급하세요</v>
      </c>
      <c r="C333" s="14">
        <f t="shared" si="47"/>
        <v>52603</v>
      </c>
      <c r="D333" s="33" t="str">
        <f t="shared" si="54"/>
        <v>장비아이템을 30회 승급하세요</v>
      </c>
      <c r="E333" s="33" t="str">
        <f t="shared" si="55"/>
        <v>Promote gear item 30 times</v>
      </c>
      <c r="F333" s="33" t="str">
        <f t="shared" si="52"/>
        <v>장비아이템을 30회 승급하세요</v>
      </c>
      <c r="H333" s="32">
        <f>Achievement!J308</f>
        <v>30</v>
      </c>
    </row>
    <row r="334" spans="1:8" x14ac:dyDescent="0.3">
      <c r="A334" s="32" t="b">
        <v>1</v>
      </c>
      <c r="B334" s="33" t="str">
        <f t="shared" si="50"/>
        <v>업적설명 - 장비아이템을 35회 승급하세요</v>
      </c>
      <c r="C334" s="14">
        <f t="shared" si="47"/>
        <v>52604</v>
      </c>
      <c r="D334" s="33" t="str">
        <f t="shared" si="54"/>
        <v>장비아이템을 35회 승급하세요</v>
      </c>
      <c r="E334" s="33" t="str">
        <f t="shared" si="55"/>
        <v>Promote gear item 35 times</v>
      </c>
      <c r="F334" s="33" t="str">
        <f t="shared" si="52"/>
        <v>장비아이템을 35회 승급하세요</v>
      </c>
      <c r="H334" s="32">
        <f>Achievement!J309</f>
        <v>35</v>
      </c>
    </row>
    <row r="335" spans="1:8" x14ac:dyDescent="0.3">
      <c r="A335" s="32" t="b">
        <v>1</v>
      </c>
      <c r="B335" s="33" t="str">
        <f t="shared" si="50"/>
        <v>업적설명 - 장비아이템을 40회 승급하세요</v>
      </c>
      <c r="C335" s="14">
        <f t="shared" si="47"/>
        <v>52605</v>
      </c>
      <c r="D335" s="33" t="str">
        <f t="shared" si="54"/>
        <v>장비아이템을 40회 승급하세요</v>
      </c>
      <c r="E335" s="33" t="str">
        <f t="shared" si="55"/>
        <v>Promote gear item 40 times</v>
      </c>
      <c r="F335" s="33" t="str">
        <f t="shared" si="52"/>
        <v>장비아이템을 40회 승급하세요</v>
      </c>
      <c r="H335" s="32">
        <f>Achievement!J310</f>
        <v>40</v>
      </c>
    </row>
    <row r="336" spans="1:8" x14ac:dyDescent="0.3">
      <c r="A336" s="32" t="b">
        <v>1</v>
      </c>
      <c r="B336" s="33" t="str">
        <f t="shared" si="50"/>
        <v>업적설명 - 장비아이템을 45회 승급하세요</v>
      </c>
      <c r="C336" s="14">
        <f t="shared" si="47"/>
        <v>52606</v>
      </c>
      <c r="D336" s="33" t="str">
        <f t="shared" si="54"/>
        <v>장비아이템을 45회 승급하세요</v>
      </c>
      <c r="E336" s="33" t="str">
        <f t="shared" si="55"/>
        <v>Promote gear item 45 times</v>
      </c>
      <c r="F336" s="33" t="str">
        <f t="shared" si="52"/>
        <v>장비아이템을 45회 승급하세요</v>
      </c>
      <c r="H336" s="32">
        <f>Achievement!J311</f>
        <v>45</v>
      </c>
    </row>
    <row r="337" spans="1:8" x14ac:dyDescent="0.3">
      <c r="A337" s="32" t="b">
        <v>1</v>
      </c>
      <c r="B337" s="33" t="str">
        <f t="shared" si="50"/>
        <v>업적설명 - 장비아이템을 50회 승급하세요</v>
      </c>
      <c r="C337" s="14">
        <f t="shared" si="47"/>
        <v>52607</v>
      </c>
      <c r="D337" s="33" t="str">
        <f t="shared" si="54"/>
        <v>장비아이템을 50회 승급하세요</v>
      </c>
      <c r="E337" s="33" t="str">
        <f t="shared" si="55"/>
        <v>Promote gear item 50 times</v>
      </c>
      <c r="F337" s="33" t="str">
        <f t="shared" si="52"/>
        <v>장비아이템을 50회 승급하세요</v>
      </c>
      <c r="H337" s="32">
        <f>Achievement!J312</f>
        <v>50</v>
      </c>
    </row>
    <row r="338" spans="1:8" x14ac:dyDescent="0.3">
      <c r="A338" s="32" t="b">
        <v>1</v>
      </c>
      <c r="B338" s="33" t="str">
        <f t="shared" si="50"/>
        <v>업적설명 - 장비아이템을 60회 승급하세요</v>
      </c>
      <c r="C338" s="14">
        <f t="shared" si="47"/>
        <v>52608</v>
      </c>
      <c r="D338" s="33" t="str">
        <f t="shared" si="54"/>
        <v>장비아이템을 60회 승급하세요</v>
      </c>
      <c r="E338" s="33" t="str">
        <f t="shared" si="55"/>
        <v>Promote gear item 60 times</v>
      </c>
      <c r="F338" s="33" t="str">
        <f t="shared" si="52"/>
        <v>장비아이템을 60회 승급하세요</v>
      </c>
      <c r="H338" s="32">
        <f>Achievement!J313</f>
        <v>60</v>
      </c>
    </row>
    <row r="339" spans="1:8" x14ac:dyDescent="0.3">
      <c r="A339" s="32" t="b">
        <v>1</v>
      </c>
      <c r="B339" s="33" t="str">
        <f t="shared" si="50"/>
        <v>업적설명 - 장비아이템을 70회 승급하세요</v>
      </c>
      <c r="C339" s="14">
        <f t="shared" si="47"/>
        <v>52609</v>
      </c>
      <c r="D339" s="33" t="str">
        <f t="shared" si="54"/>
        <v>장비아이템을 70회 승급하세요</v>
      </c>
      <c r="E339" s="33" t="str">
        <f t="shared" si="55"/>
        <v>Promote gear item 70 times</v>
      </c>
      <c r="F339" s="33" t="str">
        <f t="shared" si="52"/>
        <v>장비아이템을 70회 승급하세요</v>
      </c>
      <c r="H339" s="32">
        <f>Achievement!J314</f>
        <v>70</v>
      </c>
    </row>
    <row r="340" spans="1:8" x14ac:dyDescent="0.3">
      <c r="A340" s="32" t="b">
        <v>1</v>
      </c>
      <c r="B340" s="33" t="str">
        <f t="shared" si="50"/>
        <v>업적설명 - 장비아이템을 80회 승급하세요</v>
      </c>
      <c r="C340" s="14">
        <f t="shared" si="47"/>
        <v>52610</v>
      </c>
      <c r="D340" s="33" t="str">
        <f t="shared" si="54"/>
        <v>장비아이템을 80회 승급하세요</v>
      </c>
      <c r="E340" s="33" t="str">
        <f t="shared" si="55"/>
        <v>Promote gear item 80 times</v>
      </c>
      <c r="F340" s="33" t="str">
        <f t="shared" si="52"/>
        <v>장비아이템을 80회 승급하세요</v>
      </c>
      <c r="H340" s="32">
        <f>Achievement!J315</f>
        <v>80</v>
      </c>
    </row>
    <row r="341" spans="1:8" x14ac:dyDescent="0.3">
      <c r="A341" s="32" t="b">
        <v>1</v>
      </c>
      <c r="B341" s="33" t="str">
        <f t="shared" si="50"/>
        <v>업적설명 - 장비아이템을 90회 승급하세요</v>
      </c>
      <c r="C341" s="14">
        <f t="shared" si="47"/>
        <v>52611</v>
      </c>
      <c r="D341" s="33" t="str">
        <f t="shared" si="54"/>
        <v>장비아이템을 90회 승급하세요</v>
      </c>
      <c r="E341" s="33" t="str">
        <f t="shared" si="55"/>
        <v>Promote gear item 90 times</v>
      </c>
      <c r="F341" s="33" t="str">
        <f t="shared" si="52"/>
        <v>장비아이템을 90회 승급하세요</v>
      </c>
      <c r="H341" s="32">
        <f>Achievement!J316</f>
        <v>90</v>
      </c>
    </row>
    <row r="342" spans="1:8" x14ac:dyDescent="0.3">
      <c r="A342" s="32" t="b">
        <v>1</v>
      </c>
      <c r="B342" s="33" t="str">
        <f t="shared" si="50"/>
        <v>업적설명 - 장비아이템을 100회 승급하세요</v>
      </c>
      <c r="C342" s="14">
        <f t="shared" si="47"/>
        <v>52612</v>
      </c>
      <c r="D342" s="33" t="str">
        <f t="shared" si="54"/>
        <v>장비아이템을 100회 승급하세요</v>
      </c>
      <c r="E342" s="33" t="str">
        <f t="shared" si="55"/>
        <v>Promote gear item 100 times</v>
      </c>
      <c r="F342" s="33" t="str">
        <f t="shared" si="52"/>
        <v>장비아이템을 100회 승급하세요</v>
      </c>
      <c r="H342" s="32">
        <f>Achievement!J317</f>
        <v>100</v>
      </c>
    </row>
    <row r="343" spans="1:8" x14ac:dyDescent="0.3">
      <c r="A343" s="32" t="b">
        <v>1</v>
      </c>
      <c r="B343" s="33" t="str">
        <f t="shared" si="50"/>
        <v>업적설명 - 장비아이템을 150회 승급하세요</v>
      </c>
      <c r="C343" s="14">
        <f t="shared" si="47"/>
        <v>52613</v>
      </c>
      <c r="D343" s="33" t="str">
        <f t="shared" si="54"/>
        <v>장비아이템을 150회 승급하세요</v>
      </c>
      <c r="E343" s="33" t="str">
        <f t="shared" si="55"/>
        <v>Promote gear item 150 times</v>
      </c>
      <c r="F343" s="33" t="str">
        <f t="shared" si="52"/>
        <v>장비아이템을 150회 승급하세요</v>
      </c>
      <c r="H343" s="32">
        <f>Achievement!J318</f>
        <v>150</v>
      </c>
    </row>
    <row r="344" spans="1:8" x14ac:dyDescent="0.3">
      <c r="A344" s="28" t="b">
        <v>1</v>
      </c>
      <c r="B344" s="29" t="str">
        <f t="shared" si="50"/>
        <v>업적설명 - [영웅] 장비아이템을 1개 획득하세요</v>
      </c>
      <c r="C344" s="16">
        <f t="shared" si="47"/>
        <v>52614</v>
      </c>
      <c r="D344" s="29" t="str">
        <f>"[영웅] 장비아이템을 " &amp; H344 &amp; "개 획득하세요"</f>
        <v>[영웅] 장비아이템을 1개 획득하세요</v>
      </c>
      <c r="E344" s="29" t="str">
        <f xml:space="preserve"> "[Heroic] Obtain " &amp; H344 &amp; " gear item"</f>
        <v>[Heroic] Obtain 1 gear item</v>
      </c>
      <c r="F344" s="29" t="str">
        <f t="shared" si="52"/>
        <v>[영웅] 장비아이템을 1개 획득하세요</v>
      </c>
      <c r="H344" s="28">
        <f>Achievement!J319</f>
        <v>1</v>
      </c>
    </row>
    <row r="345" spans="1:8" x14ac:dyDescent="0.3">
      <c r="A345" s="28" t="b">
        <v>1</v>
      </c>
      <c r="B345" s="29" t="str">
        <f t="shared" si="50"/>
        <v>업적설명 - [영웅] 장비아이템을 10개 획득하세요</v>
      </c>
      <c r="C345" s="17">
        <f t="shared" si="47"/>
        <v>52615</v>
      </c>
      <c r="D345" s="29" t="str">
        <f t="shared" ref="D345:D367" si="56">"[영웅] 장비아이템을 " &amp; H345 &amp; "개 획득하세요"</f>
        <v>[영웅] 장비아이템을 10개 획득하세요</v>
      </c>
      <c r="E345" s="29" t="str">
        <f xml:space="preserve"> "[Heroic] Obtain " &amp; H345 &amp; " gear items"</f>
        <v>[Heroic] Obtain 10 gear items</v>
      </c>
      <c r="F345" s="29" t="str">
        <f t="shared" si="52"/>
        <v>[영웅] 장비아이템을 10개 획득하세요</v>
      </c>
      <c r="H345" s="28">
        <f>Achievement!J320</f>
        <v>10</v>
      </c>
    </row>
    <row r="346" spans="1:8" x14ac:dyDescent="0.3">
      <c r="A346" s="28" t="b">
        <v>1</v>
      </c>
      <c r="B346" s="29" t="str">
        <f t="shared" si="50"/>
        <v>업적설명 - [영웅] 장비아이템을 20개 획득하세요</v>
      </c>
      <c r="C346" s="17">
        <f t="shared" si="47"/>
        <v>52616</v>
      </c>
      <c r="D346" s="29" t="str">
        <f t="shared" si="56"/>
        <v>[영웅] 장비아이템을 20개 획득하세요</v>
      </c>
      <c r="E346" s="29" t="str">
        <f t="shared" ref="E346:E367" si="57" xml:space="preserve"> "[Heroic] Obtain " &amp; H346 &amp; " gear items"</f>
        <v>[Heroic] Obtain 20 gear items</v>
      </c>
      <c r="F346" s="29" t="str">
        <f t="shared" si="52"/>
        <v>[영웅] 장비아이템을 20개 획득하세요</v>
      </c>
      <c r="H346" s="28">
        <f>Achievement!J321</f>
        <v>20</v>
      </c>
    </row>
    <row r="347" spans="1:8" x14ac:dyDescent="0.3">
      <c r="A347" s="28" t="b">
        <v>1</v>
      </c>
      <c r="B347" s="29" t="str">
        <f t="shared" si="50"/>
        <v>업적설명 - [영웅] 장비아이템을 30개 획득하세요</v>
      </c>
      <c r="C347" s="17">
        <f t="shared" si="47"/>
        <v>52617</v>
      </c>
      <c r="D347" s="29" t="str">
        <f t="shared" si="56"/>
        <v>[영웅] 장비아이템을 30개 획득하세요</v>
      </c>
      <c r="E347" s="29" t="str">
        <f t="shared" si="57"/>
        <v>[Heroic] Obtain 30 gear items</v>
      </c>
      <c r="F347" s="29" t="str">
        <f t="shared" si="52"/>
        <v>[영웅] 장비아이템을 30개 획득하세요</v>
      </c>
      <c r="H347" s="28">
        <f>Achievement!J322</f>
        <v>30</v>
      </c>
    </row>
    <row r="348" spans="1:8" x14ac:dyDescent="0.3">
      <c r="A348" s="28" t="b">
        <v>1</v>
      </c>
      <c r="B348" s="29" t="str">
        <f t="shared" si="50"/>
        <v>업적설명 - [영웅] 장비아이템을 50개 획득하세요</v>
      </c>
      <c r="C348" s="17">
        <f t="shared" si="47"/>
        <v>52618</v>
      </c>
      <c r="D348" s="29" t="str">
        <f t="shared" si="56"/>
        <v>[영웅] 장비아이템을 50개 획득하세요</v>
      </c>
      <c r="E348" s="29" t="str">
        <f t="shared" si="57"/>
        <v>[Heroic] Obtain 50 gear items</v>
      </c>
      <c r="F348" s="29" t="str">
        <f t="shared" si="52"/>
        <v>[영웅] 장비아이템을 50개 획득하세요</v>
      </c>
      <c r="H348" s="28">
        <f>Achievement!J323</f>
        <v>50</v>
      </c>
    </row>
    <row r="349" spans="1:8" x14ac:dyDescent="0.3">
      <c r="A349" s="28" t="b">
        <v>1</v>
      </c>
      <c r="B349" s="29" t="str">
        <f t="shared" si="50"/>
        <v>업적설명 - [영웅] 장비아이템을 100개 획득하세요</v>
      </c>
      <c r="C349" s="17">
        <f t="shared" si="47"/>
        <v>52619</v>
      </c>
      <c r="D349" s="29" t="str">
        <f t="shared" si="56"/>
        <v>[영웅] 장비아이템을 100개 획득하세요</v>
      </c>
      <c r="E349" s="29" t="str">
        <f t="shared" si="57"/>
        <v>[Heroic] Obtain 100 gear items</v>
      </c>
      <c r="F349" s="29" t="str">
        <f t="shared" si="52"/>
        <v>[영웅] 장비아이템을 100개 획득하세요</v>
      </c>
      <c r="H349" s="28">
        <f>Achievement!J324</f>
        <v>100</v>
      </c>
    </row>
    <row r="350" spans="1:8" x14ac:dyDescent="0.3">
      <c r="A350" s="28" t="b">
        <v>1</v>
      </c>
      <c r="B350" s="29" t="str">
        <f t="shared" si="50"/>
        <v>업적설명 - [영웅] 장비아이템을 150개 획득하세요</v>
      </c>
      <c r="C350" s="17">
        <f t="shared" si="47"/>
        <v>52620</v>
      </c>
      <c r="D350" s="29" t="str">
        <f t="shared" si="56"/>
        <v>[영웅] 장비아이템을 150개 획득하세요</v>
      </c>
      <c r="E350" s="29" t="str">
        <f t="shared" si="57"/>
        <v>[Heroic] Obtain 150 gear items</v>
      </c>
      <c r="F350" s="29" t="str">
        <f t="shared" si="52"/>
        <v>[영웅] 장비아이템을 150개 획득하세요</v>
      </c>
      <c r="H350" s="28">
        <f>Achievement!J325</f>
        <v>150</v>
      </c>
    </row>
    <row r="351" spans="1:8" x14ac:dyDescent="0.3">
      <c r="A351" s="28" t="b">
        <v>1</v>
      </c>
      <c r="B351" s="29" t="str">
        <f t="shared" si="50"/>
        <v>업적설명 - [영웅] 장비아이템을 200개 획득하세요</v>
      </c>
      <c r="C351" s="17">
        <f t="shared" si="47"/>
        <v>52621</v>
      </c>
      <c r="D351" s="29" t="str">
        <f t="shared" si="56"/>
        <v>[영웅] 장비아이템을 200개 획득하세요</v>
      </c>
      <c r="E351" s="29" t="str">
        <f t="shared" si="57"/>
        <v>[Heroic] Obtain 200 gear items</v>
      </c>
      <c r="F351" s="29" t="str">
        <f t="shared" si="52"/>
        <v>[영웅] 장비아이템을 200개 획득하세요</v>
      </c>
      <c r="H351" s="28">
        <f>Achievement!J326</f>
        <v>200</v>
      </c>
    </row>
    <row r="352" spans="1:8" x14ac:dyDescent="0.3">
      <c r="A352" s="28" t="b">
        <v>1</v>
      </c>
      <c r="B352" s="29" t="str">
        <f t="shared" si="50"/>
        <v>업적설명 - [영웅] 장비아이템을 250개 획득하세요</v>
      </c>
      <c r="C352" s="17">
        <f t="shared" ref="C352:C415" si="58">C351+1</f>
        <v>52622</v>
      </c>
      <c r="D352" s="29" t="str">
        <f t="shared" si="56"/>
        <v>[영웅] 장비아이템을 250개 획득하세요</v>
      </c>
      <c r="E352" s="29" t="str">
        <f t="shared" si="57"/>
        <v>[Heroic] Obtain 250 gear items</v>
      </c>
      <c r="F352" s="29" t="str">
        <f t="shared" si="52"/>
        <v>[영웅] 장비아이템을 250개 획득하세요</v>
      </c>
      <c r="H352" s="28">
        <f>Achievement!J327</f>
        <v>250</v>
      </c>
    </row>
    <row r="353" spans="1:8" x14ac:dyDescent="0.3">
      <c r="A353" s="28" t="b">
        <v>1</v>
      </c>
      <c r="B353" s="29" t="str">
        <f t="shared" si="50"/>
        <v>업적설명 - [영웅] 장비아이템을 300개 획득하세요</v>
      </c>
      <c r="C353" s="17">
        <f t="shared" si="58"/>
        <v>52623</v>
      </c>
      <c r="D353" s="29" t="str">
        <f t="shared" si="56"/>
        <v>[영웅] 장비아이템을 300개 획득하세요</v>
      </c>
      <c r="E353" s="29" t="str">
        <f t="shared" si="57"/>
        <v>[Heroic] Obtain 300 gear items</v>
      </c>
      <c r="F353" s="29" t="str">
        <f t="shared" si="52"/>
        <v>[영웅] 장비아이템을 300개 획득하세요</v>
      </c>
      <c r="H353" s="28">
        <f>Achievement!J328</f>
        <v>300</v>
      </c>
    </row>
    <row r="354" spans="1:8" x14ac:dyDescent="0.3">
      <c r="A354" s="28" t="b">
        <v>1</v>
      </c>
      <c r="B354" s="29" t="str">
        <f t="shared" si="50"/>
        <v>업적설명 - [영웅] 장비아이템을 350개 획득하세요</v>
      </c>
      <c r="C354" s="17">
        <f t="shared" si="58"/>
        <v>52624</v>
      </c>
      <c r="D354" s="29" t="str">
        <f t="shared" si="56"/>
        <v>[영웅] 장비아이템을 350개 획득하세요</v>
      </c>
      <c r="E354" s="29" t="str">
        <f t="shared" si="57"/>
        <v>[Heroic] Obtain 350 gear items</v>
      </c>
      <c r="F354" s="29" t="str">
        <f t="shared" si="52"/>
        <v>[영웅] 장비아이템을 350개 획득하세요</v>
      </c>
      <c r="H354" s="28">
        <f>Achievement!J329</f>
        <v>350</v>
      </c>
    </row>
    <row r="355" spans="1:8" x14ac:dyDescent="0.3">
      <c r="A355" s="28" t="b">
        <v>1</v>
      </c>
      <c r="B355" s="29" t="str">
        <f t="shared" si="50"/>
        <v>업적설명 - [영웅] 장비아이템을 400개 획득하세요</v>
      </c>
      <c r="C355" s="17">
        <f t="shared" si="58"/>
        <v>52625</v>
      </c>
      <c r="D355" s="29" t="str">
        <f t="shared" si="56"/>
        <v>[영웅] 장비아이템을 400개 획득하세요</v>
      </c>
      <c r="E355" s="29" t="str">
        <f t="shared" si="57"/>
        <v>[Heroic] Obtain 400 gear items</v>
      </c>
      <c r="F355" s="29" t="str">
        <f t="shared" si="52"/>
        <v>[영웅] 장비아이템을 400개 획득하세요</v>
      </c>
      <c r="H355" s="28">
        <f>Achievement!J330</f>
        <v>400</v>
      </c>
    </row>
    <row r="356" spans="1:8" x14ac:dyDescent="0.3">
      <c r="A356" s="28" t="b">
        <v>1</v>
      </c>
      <c r="B356" s="29" t="str">
        <f t="shared" si="50"/>
        <v>업적설명 - [영웅] 장비아이템을 450개 획득하세요</v>
      </c>
      <c r="C356" s="17">
        <f t="shared" si="58"/>
        <v>52626</v>
      </c>
      <c r="D356" s="29" t="str">
        <f t="shared" si="56"/>
        <v>[영웅] 장비아이템을 450개 획득하세요</v>
      </c>
      <c r="E356" s="29" t="str">
        <f t="shared" si="57"/>
        <v>[Heroic] Obtain 450 gear items</v>
      </c>
      <c r="F356" s="29" t="str">
        <f t="shared" si="52"/>
        <v>[영웅] 장비아이템을 450개 획득하세요</v>
      </c>
      <c r="H356" s="28">
        <f>Achievement!J331</f>
        <v>450</v>
      </c>
    </row>
    <row r="357" spans="1:8" x14ac:dyDescent="0.3">
      <c r="A357" s="28" t="b">
        <v>1</v>
      </c>
      <c r="B357" s="29" t="str">
        <f t="shared" si="50"/>
        <v>업적설명 - [영웅] 장비아이템을 500개 획득하세요</v>
      </c>
      <c r="C357" s="17">
        <f t="shared" si="58"/>
        <v>52627</v>
      </c>
      <c r="D357" s="29" t="str">
        <f t="shared" si="56"/>
        <v>[영웅] 장비아이템을 500개 획득하세요</v>
      </c>
      <c r="E357" s="29" t="str">
        <f t="shared" si="57"/>
        <v>[Heroic] Obtain 500 gear items</v>
      </c>
      <c r="F357" s="29" t="str">
        <f t="shared" si="52"/>
        <v>[영웅] 장비아이템을 500개 획득하세요</v>
      </c>
      <c r="H357" s="28">
        <f>Achievement!J332</f>
        <v>500</v>
      </c>
    </row>
    <row r="358" spans="1:8" x14ac:dyDescent="0.3">
      <c r="A358" s="28" t="b">
        <v>1</v>
      </c>
      <c r="B358" s="29" t="str">
        <f t="shared" si="50"/>
        <v>업적설명 - [영웅] 장비아이템을 550개 획득하세요</v>
      </c>
      <c r="C358" s="17">
        <f t="shared" si="58"/>
        <v>52628</v>
      </c>
      <c r="D358" s="29" t="str">
        <f t="shared" si="56"/>
        <v>[영웅] 장비아이템을 550개 획득하세요</v>
      </c>
      <c r="E358" s="29" t="str">
        <f t="shared" si="57"/>
        <v>[Heroic] Obtain 550 gear items</v>
      </c>
      <c r="F358" s="29" t="str">
        <f t="shared" si="52"/>
        <v>[영웅] 장비아이템을 550개 획득하세요</v>
      </c>
      <c r="H358" s="28">
        <f>Achievement!J333</f>
        <v>550</v>
      </c>
    </row>
    <row r="359" spans="1:8" x14ac:dyDescent="0.3">
      <c r="A359" s="28" t="b">
        <v>1</v>
      </c>
      <c r="B359" s="29" t="str">
        <f t="shared" ref="B359:B422" si="59">"업적설명 - " &amp;D359</f>
        <v>업적설명 - [영웅] 장비아이템을 600개 획득하세요</v>
      </c>
      <c r="C359" s="17">
        <f t="shared" si="58"/>
        <v>52629</v>
      </c>
      <c r="D359" s="29" t="str">
        <f t="shared" si="56"/>
        <v>[영웅] 장비아이템을 600개 획득하세요</v>
      </c>
      <c r="E359" s="29" t="str">
        <f t="shared" si="57"/>
        <v>[Heroic] Obtain 600 gear items</v>
      </c>
      <c r="F359" s="29" t="str">
        <f t="shared" si="52"/>
        <v>[영웅] 장비아이템을 600개 획득하세요</v>
      </c>
      <c r="H359" s="28">
        <f>Achievement!J334</f>
        <v>600</v>
      </c>
    </row>
    <row r="360" spans="1:8" x14ac:dyDescent="0.3">
      <c r="A360" s="28" t="b">
        <v>1</v>
      </c>
      <c r="B360" s="29" t="str">
        <f t="shared" si="59"/>
        <v>업적설명 - [영웅] 장비아이템을 650개 획득하세요</v>
      </c>
      <c r="C360" s="17">
        <f t="shared" si="58"/>
        <v>52630</v>
      </c>
      <c r="D360" s="29" t="str">
        <f t="shared" si="56"/>
        <v>[영웅] 장비아이템을 650개 획득하세요</v>
      </c>
      <c r="E360" s="29" t="str">
        <f t="shared" si="57"/>
        <v>[Heroic] Obtain 650 gear items</v>
      </c>
      <c r="F360" s="29" t="str">
        <f t="shared" si="52"/>
        <v>[영웅] 장비아이템을 650개 획득하세요</v>
      </c>
      <c r="H360" s="28">
        <f>Achievement!J335</f>
        <v>650</v>
      </c>
    </row>
    <row r="361" spans="1:8" x14ac:dyDescent="0.3">
      <c r="A361" s="28" t="b">
        <v>1</v>
      </c>
      <c r="B361" s="29" t="str">
        <f t="shared" si="59"/>
        <v>업적설명 - [영웅] 장비아이템을 700개 획득하세요</v>
      </c>
      <c r="C361" s="17">
        <f t="shared" si="58"/>
        <v>52631</v>
      </c>
      <c r="D361" s="29" t="str">
        <f t="shared" si="56"/>
        <v>[영웅] 장비아이템을 700개 획득하세요</v>
      </c>
      <c r="E361" s="29" t="str">
        <f t="shared" si="57"/>
        <v>[Heroic] Obtain 700 gear items</v>
      </c>
      <c r="F361" s="29" t="str">
        <f t="shared" si="52"/>
        <v>[영웅] 장비아이템을 700개 획득하세요</v>
      </c>
      <c r="H361" s="28">
        <f>Achievement!J336</f>
        <v>700</v>
      </c>
    </row>
    <row r="362" spans="1:8" x14ac:dyDescent="0.3">
      <c r="A362" s="28" t="b">
        <v>1</v>
      </c>
      <c r="B362" s="29" t="str">
        <f t="shared" si="59"/>
        <v>업적설명 - [영웅] 장비아이템을 750개 획득하세요</v>
      </c>
      <c r="C362" s="17">
        <f t="shared" si="58"/>
        <v>52632</v>
      </c>
      <c r="D362" s="29" t="str">
        <f t="shared" si="56"/>
        <v>[영웅] 장비아이템을 750개 획득하세요</v>
      </c>
      <c r="E362" s="29" t="str">
        <f t="shared" si="57"/>
        <v>[Heroic] Obtain 750 gear items</v>
      </c>
      <c r="F362" s="29" t="str">
        <f t="shared" si="52"/>
        <v>[영웅] 장비아이템을 750개 획득하세요</v>
      </c>
      <c r="H362" s="28">
        <f>Achievement!J337</f>
        <v>750</v>
      </c>
    </row>
    <row r="363" spans="1:8" x14ac:dyDescent="0.3">
      <c r="A363" s="28" t="b">
        <v>1</v>
      </c>
      <c r="B363" s="29" t="str">
        <f t="shared" si="59"/>
        <v>업적설명 - [영웅] 장비아이템을 800개 획득하세요</v>
      </c>
      <c r="C363" s="17">
        <f t="shared" si="58"/>
        <v>52633</v>
      </c>
      <c r="D363" s="29" t="str">
        <f t="shared" si="56"/>
        <v>[영웅] 장비아이템을 800개 획득하세요</v>
      </c>
      <c r="E363" s="29" t="str">
        <f t="shared" si="57"/>
        <v>[Heroic] Obtain 800 gear items</v>
      </c>
      <c r="F363" s="29" t="str">
        <f t="shared" si="52"/>
        <v>[영웅] 장비아이템을 800개 획득하세요</v>
      </c>
      <c r="H363" s="28">
        <f>Achievement!J338</f>
        <v>800</v>
      </c>
    </row>
    <row r="364" spans="1:8" x14ac:dyDescent="0.3">
      <c r="A364" s="28" t="b">
        <v>1</v>
      </c>
      <c r="B364" s="29" t="str">
        <f t="shared" si="59"/>
        <v>업적설명 - [영웅] 장비아이템을 850개 획득하세요</v>
      </c>
      <c r="C364" s="17">
        <f t="shared" si="58"/>
        <v>52634</v>
      </c>
      <c r="D364" s="29" t="str">
        <f t="shared" si="56"/>
        <v>[영웅] 장비아이템을 850개 획득하세요</v>
      </c>
      <c r="E364" s="29" t="str">
        <f t="shared" si="57"/>
        <v>[Heroic] Obtain 850 gear items</v>
      </c>
      <c r="F364" s="29" t="str">
        <f t="shared" si="52"/>
        <v>[영웅] 장비아이템을 850개 획득하세요</v>
      </c>
      <c r="H364" s="28">
        <f>Achievement!J339</f>
        <v>850</v>
      </c>
    </row>
    <row r="365" spans="1:8" x14ac:dyDescent="0.3">
      <c r="A365" s="28" t="b">
        <v>1</v>
      </c>
      <c r="B365" s="29" t="str">
        <f t="shared" si="59"/>
        <v>업적설명 - [영웅] 장비아이템을 900개 획득하세요</v>
      </c>
      <c r="C365" s="17">
        <f t="shared" si="58"/>
        <v>52635</v>
      </c>
      <c r="D365" s="29" t="str">
        <f t="shared" si="56"/>
        <v>[영웅] 장비아이템을 900개 획득하세요</v>
      </c>
      <c r="E365" s="29" t="str">
        <f t="shared" si="57"/>
        <v>[Heroic] Obtain 900 gear items</v>
      </c>
      <c r="F365" s="29" t="str">
        <f t="shared" si="52"/>
        <v>[영웅] 장비아이템을 900개 획득하세요</v>
      </c>
      <c r="H365" s="28">
        <f>Achievement!J340</f>
        <v>900</v>
      </c>
    </row>
    <row r="366" spans="1:8" x14ac:dyDescent="0.3">
      <c r="A366" s="28" t="b">
        <v>1</v>
      </c>
      <c r="B366" s="29" t="str">
        <f t="shared" si="59"/>
        <v>업적설명 - [영웅] 장비아이템을 950개 획득하세요</v>
      </c>
      <c r="C366" s="17">
        <f t="shared" si="58"/>
        <v>52636</v>
      </c>
      <c r="D366" s="29" t="str">
        <f t="shared" si="56"/>
        <v>[영웅] 장비아이템을 950개 획득하세요</v>
      </c>
      <c r="E366" s="29" t="str">
        <f t="shared" si="57"/>
        <v>[Heroic] Obtain 950 gear items</v>
      </c>
      <c r="F366" s="29" t="str">
        <f t="shared" si="52"/>
        <v>[영웅] 장비아이템을 950개 획득하세요</v>
      </c>
      <c r="H366" s="28">
        <f>Achievement!J341</f>
        <v>950</v>
      </c>
    </row>
    <row r="367" spans="1:8" x14ac:dyDescent="0.3">
      <c r="A367" s="28" t="b">
        <v>1</v>
      </c>
      <c r="B367" s="29" t="str">
        <f t="shared" si="59"/>
        <v>업적설명 - [영웅] 장비아이템을 1000개 획득하세요</v>
      </c>
      <c r="C367" s="17">
        <f t="shared" si="58"/>
        <v>52637</v>
      </c>
      <c r="D367" s="29" t="str">
        <f t="shared" si="56"/>
        <v>[영웅] 장비아이템을 1000개 획득하세요</v>
      </c>
      <c r="E367" s="29" t="str">
        <f t="shared" si="57"/>
        <v>[Heroic] Obtain 1000 gear items</v>
      </c>
      <c r="F367" s="29" t="str">
        <f t="shared" si="52"/>
        <v>[영웅] 장비아이템을 1000개 획득하세요</v>
      </c>
      <c r="H367" s="28">
        <f>Achievement!J342</f>
        <v>1000</v>
      </c>
    </row>
    <row r="368" spans="1:8" x14ac:dyDescent="0.3">
      <c r="A368" s="32" t="b">
        <v>1</v>
      </c>
      <c r="B368" s="33" t="str">
        <f t="shared" si="59"/>
        <v>업적설명 - [전설] 장비아이템을 1개 획득하세요</v>
      </c>
      <c r="C368" s="16">
        <f t="shared" si="58"/>
        <v>52638</v>
      </c>
      <c r="D368" s="33" t="str">
        <f>"[전설] 장비아이템을 "&amp; H368&amp;"개 획득하세요"</f>
        <v>[전설] 장비아이템을 1개 획득하세요</v>
      </c>
      <c r="E368" s="33" t="str">
        <f xml:space="preserve"> "[Legendary] Obtain " &amp; H368 &amp; " gear item"</f>
        <v>[Legendary] Obtain 1 gear item</v>
      </c>
      <c r="F368" s="33" t="str">
        <f t="shared" ref="F368:F431" si="60">D368</f>
        <v>[전설] 장비아이템을 1개 획득하세요</v>
      </c>
      <c r="H368" s="32">
        <f>Achievement!J343</f>
        <v>1</v>
      </c>
    </row>
    <row r="369" spans="1:8" x14ac:dyDescent="0.3">
      <c r="A369" s="32" t="b">
        <v>1</v>
      </c>
      <c r="B369" s="33" t="str">
        <f t="shared" si="59"/>
        <v>업적설명 - [전설] 장비아이템을 10개 획득하세요</v>
      </c>
      <c r="C369" s="14">
        <f t="shared" si="58"/>
        <v>52639</v>
      </c>
      <c r="D369" s="33" t="str">
        <f t="shared" ref="D369:D391" si="61">"[전설] 장비아이템을 "&amp; H369&amp;"개 획득하세요"</f>
        <v>[전설] 장비아이템을 10개 획득하세요</v>
      </c>
      <c r="E369" s="33" t="str">
        <f xml:space="preserve"> "[Legendary] Obtain " &amp; H369 &amp; " gear items"</f>
        <v>[Legendary] Obtain 10 gear items</v>
      </c>
      <c r="F369" s="33" t="str">
        <f t="shared" si="60"/>
        <v>[전설] 장비아이템을 10개 획득하세요</v>
      </c>
      <c r="H369" s="32">
        <f>Achievement!J344</f>
        <v>10</v>
      </c>
    </row>
    <row r="370" spans="1:8" x14ac:dyDescent="0.3">
      <c r="A370" s="32" t="b">
        <v>1</v>
      </c>
      <c r="B370" s="33" t="str">
        <f t="shared" si="59"/>
        <v>업적설명 - [전설] 장비아이템을 20개 획득하세요</v>
      </c>
      <c r="C370" s="14">
        <f t="shared" si="58"/>
        <v>52640</v>
      </c>
      <c r="D370" s="33" t="str">
        <f t="shared" si="61"/>
        <v>[전설] 장비아이템을 20개 획득하세요</v>
      </c>
      <c r="E370" s="33" t="str">
        <f t="shared" ref="E370:E391" si="62" xml:space="preserve"> "[Legendary] Obtain " &amp; H370 &amp; " gear items"</f>
        <v>[Legendary] Obtain 20 gear items</v>
      </c>
      <c r="F370" s="33" t="str">
        <f t="shared" si="60"/>
        <v>[전설] 장비아이템을 20개 획득하세요</v>
      </c>
      <c r="H370" s="32">
        <f>Achievement!J345</f>
        <v>20</v>
      </c>
    </row>
    <row r="371" spans="1:8" x14ac:dyDescent="0.3">
      <c r="A371" s="32" t="b">
        <v>1</v>
      </c>
      <c r="B371" s="33" t="str">
        <f t="shared" si="59"/>
        <v>업적설명 - [전설] 장비아이템을 30개 획득하세요</v>
      </c>
      <c r="C371" s="14">
        <f t="shared" si="58"/>
        <v>52641</v>
      </c>
      <c r="D371" s="33" t="str">
        <f t="shared" si="61"/>
        <v>[전설] 장비아이템을 30개 획득하세요</v>
      </c>
      <c r="E371" s="33" t="str">
        <f t="shared" si="62"/>
        <v>[Legendary] Obtain 30 gear items</v>
      </c>
      <c r="F371" s="33" t="str">
        <f t="shared" si="60"/>
        <v>[전설] 장비아이템을 30개 획득하세요</v>
      </c>
      <c r="H371" s="32">
        <f>Achievement!J346</f>
        <v>30</v>
      </c>
    </row>
    <row r="372" spans="1:8" x14ac:dyDescent="0.3">
      <c r="A372" s="32" t="b">
        <v>1</v>
      </c>
      <c r="B372" s="33" t="str">
        <f t="shared" si="59"/>
        <v>업적설명 - [전설] 장비아이템을 50개 획득하세요</v>
      </c>
      <c r="C372" s="14">
        <f t="shared" si="58"/>
        <v>52642</v>
      </c>
      <c r="D372" s="33" t="str">
        <f t="shared" si="61"/>
        <v>[전설] 장비아이템을 50개 획득하세요</v>
      </c>
      <c r="E372" s="33" t="str">
        <f t="shared" si="62"/>
        <v>[Legendary] Obtain 50 gear items</v>
      </c>
      <c r="F372" s="33" t="str">
        <f t="shared" si="60"/>
        <v>[전설] 장비아이템을 50개 획득하세요</v>
      </c>
      <c r="H372" s="32">
        <f>Achievement!J347</f>
        <v>50</v>
      </c>
    </row>
    <row r="373" spans="1:8" x14ac:dyDescent="0.3">
      <c r="A373" s="32" t="b">
        <v>1</v>
      </c>
      <c r="B373" s="33" t="str">
        <f t="shared" si="59"/>
        <v>업적설명 - [전설] 장비아이템을 100개 획득하세요</v>
      </c>
      <c r="C373" s="14">
        <f t="shared" si="58"/>
        <v>52643</v>
      </c>
      <c r="D373" s="33" t="str">
        <f t="shared" si="61"/>
        <v>[전설] 장비아이템을 100개 획득하세요</v>
      </c>
      <c r="E373" s="33" t="str">
        <f t="shared" si="62"/>
        <v>[Legendary] Obtain 100 gear items</v>
      </c>
      <c r="F373" s="33" t="str">
        <f t="shared" si="60"/>
        <v>[전설] 장비아이템을 100개 획득하세요</v>
      </c>
      <c r="H373" s="32">
        <f>Achievement!J348</f>
        <v>100</v>
      </c>
    </row>
    <row r="374" spans="1:8" x14ac:dyDescent="0.3">
      <c r="A374" s="32" t="b">
        <v>1</v>
      </c>
      <c r="B374" s="33" t="str">
        <f t="shared" si="59"/>
        <v>업적설명 - [전설] 장비아이템을 150개 획득하세요</v>
      </c>
      <c r="C374" s="14">
        <f t="shared" si="58"/>
        <v>52644</v>
      </c>
      <c r="D374" s="33" t="str">
        <f t="shared" si="61"/>
        <v>[전설] 장비아이템을 150개 획득하세요</v>
      </c>
      <c r="E374" s="33" t="str">
        <f t="shared" si="62"/>
        <v>[Legendary] Obtain 150 gear items</v>
      </c>
      <c r="F374" s="33" t="str">
        <f t="shared" si="60"/>
        <v>[전설] 장비아이템을 150개 획득하세요</v>
      </c>
      <c r="H374" s="32">
        <f>Achievement!J349</f>
        <v>150</v>
      </c>
    </row>
    <row r="375" spans="1:8" x14ac:dyDescent="0.3">
      <c r="A375" s="32" t="b">
        <v>1</v>
      </c>
      <c r="B375" s="33" t="str">
        <f t="shared" si="59"/>
        <v>업적설명 - [전설] 장비아이템을 200개 획득하세요</v>
      </c>
      <c r="C375" s="14">
        <f t="shared" si="58"/>
        <v>52645</v>
      </c>
      <c r="D375" s="33" t="str">
        <f t="shared" si="61"/>
        <v>[전설] 장비아이템을 200개 획득하세요</v>
      </c>
      <c r="E375" s="33" t="str">
        <f t="shared" si="62"/>
        <v>[Legendary] Obtain 200 gear items</v>
      </c>
      <c r="F375" s="33" t="str">
        <f t="shared" si="60"/>
        <v>[전설] 장비아이템을 200개 획득하세요</v>
      </c>
      <c r="H375" s="32">
        <f>Achievement!J350</f>
        <v>200</v>
      </c>
    </row>
    <row r="376" spans="1:8" x14ac:dyDescent="0.3">
      <c r="A376" s="32" t="b">
        <v>1</v>
      </c>
      <c r="B376" s="33" t="str">
        <f t="shared" si="59"/>
        <v>업적설명 - [전설] 장비아이템을 250개 획득하세요</v>
      </c>
      <c r="C376" s="14">
        <f t="shared" si="58"/>
        <v>52646</v>
      </c>
      <c r="D376" s="33" t="str">
        <f t="shared" si="61"/>
        <v>[전설] 장비아이템을 250개 획득하세요</v>
      </c>
      <c r="E376" s="33" t="str">
        <f t="shared" si="62"/>
        <v>[Legendary] Obtain 250 gear items</v>
      </c>
      <c r="F376" s="33" t="str">
        <f t="shared" si="60"/>
        <v>[전설] 장비아이템을 250개 획득하세요</v>
      </c>
      <c r="H376" s="32">
        <f>Achievement!J351</f>
        <v>250</v>
      </c>
    </row>
    <row r="377" spans="1:8" x14ac:dyDescent="0.3">
      <c r="A377" s="32" t="b">
        <v>1</v>
      </c>
      <c r="B377" s="33" t="str">
        <f t="shared" si="59"/>
        <v>업적설명 - [전설] 장비아이템을 300개 획득하세요</v>
      </c>
      <c r="C377" s="14">
        <f t="shared" si="58"/>
        <v>52647</v>
      </c>
      <c r="D377" s="33" t="str">
        <f t="shared" si="61"/>
        <v>[전설] 장비아이템을 300개 획득하세요</v>
      </c>
      <c r="E377" s="33" t="str">
        <f t="shared" si="62"/>
        <v>[Legendary] Obtain 300 gear items</v>
      </c>
      <c r="F377" s="33" t="str">
        <f t="shared" si="60"/>
        <v>[전설] 장비아이템을 300개 획득하세요</v>
      </c>
      <c r="H377" s="32">
        <f>Achievement!J352</f>
        <v>300</v>
      </c>
    </row>
    <row r="378" spans="1:8" x14ac:dyDescent="0.3">
      <c r="A378" s="32" t="b">
        <v>1</v>
      </c>
      <c r="B378" s="33" t="str">
        <f t="shared" si="59"/>
        <v>업적설명 - [전설] 장비아이템을 350개 획득하세요</v>
      </c>
      <c r="C378" s="14">
        <f t="shared" si="58"/>
        <v>52648</v>
      </c>
      <c r="D378" s="33" t="str">
        <f t="shared" si="61"/>
        <v>[전설] 장비아이템을 350개 획득하세요</v>
      </c>
      <c r="E378" s="33" t="str">
        <f t="shared" si="62"/>
        <v>[Legendary] Obtain 350 gear items</v>
      </c>
      <c r="F378" s="33" t="str">
        <f t="shared" si="60"/>
        <v>[전설] 장비아이템을 350개 획득하세요</v>
      </c>
      <c r="H378" s="32">
        <f>Achievement!J353</f>
        <v>350</v>
      </c>
    </row>
    <row r="379" spans="1:8" x14ac:dyDescent="0.3">
      <c r="A379" s="32" t="b">
        <v>1</v>
      </c>
      <c r="B379" s="33" t="str">
        <f t="shared" si="59"/>
        <v>업적설명 - [전설] 장비아이템을 400개 획득하세요</v>
      </c>
      <c r="C379" s="14">
        <f t="shared" si="58"/>
        <v>52649</v>
      </c>
      <c r="D379" s="33" t="str">
        <f t="shared" si="61"/>
        <v>[전설] 장비아이템을 400개 획득하세요</v>
      </c>
      <c r="E379" s="33" t="str">
        <f t="shared" si="62"/>
        <v>[Legendary] Obtain 400 gear items</v>
      </c>
      <c r="F379" s="33" t="str">
        <f t="shared" si="60"/>
        <v>[전설] 장비아이템을 400개 획득하세요</v>
      </c>
      <c r="H379" s="32">
        <f>Achievement!J354</f>
        <v>400</v>
      </c>
    </row>
    <row r="380" spans="1:8" x14ac:dyDescent="0.3">
      <c r="A380" s="32" t="b">
        <v>1</v>
      </c>
      <c r="B380" s="33" t="str">
        <f t="shared" si="59"/>
        <v>업적설명 - [전설] 장비아이템을 450개 획득하세요</v>
      </c>
      <c r="C380" s="14">
        <f t="shared" si="58"/>
        <v>52650</v>
      </c>
      <c r="D380" s="33" t="str">
        <f t="shared" si="61"/>
        <v>[전설] 장비아이템을 450개 획득하세요</v>
      </c>
      <c r="E380" s="33" t="str">
        <f t="shared" si="62"/>
        <v>[Legendary] Obtain 450 gear items</v>
      </c>
      <c r="F380" s="33" t="str">
        <f t="shared" si="60"/>
        <v>[전설] 장비아이템을 450개 획득하세요</v>
      </c>
      <c r="H380" s="32">
        <f>Achievement!J355</f>
        <v>450</v>
      </c>
    </row>
    <row r="381" spans="1:8" x14ac:dyDescent="0.3">
      <c r="A381" s="32" t="b">
        <v>1</v>
      </c>
      <c r="B381" s="33" t="str">
        <f t="shared" si="59"/>
        <v>업적설명 - [전설] 장비아이템을 500개 획득하세요</v>
      </c>
      <c r="C381" s="14">
        <f t="shared" si="58"/>
        <v>52651</v>
      </c>
      <c r="D381" s="33" t="str">
        <f t="shared" si="61"/>
        <v>[전설] 장비아이템을 500개 획득하세요</v>
      </c>
      <c r="E381" s="33" t="str">
        <f t="shared" si="62"/>
        <v>[Legendary] Obtain 500 gear items</v>
      </c>
      <c r="F381" s="33" t="str">
        <f t="shared" si="60"/>
        <v>[전설] 장비아이템을 500개 획득하세요</v>
      </c>
      <c r="H381" s="32">
        <f>Achievement!J356</f>
        <v>500</v>
      </c>
    </row>
    <row r="382" spans="1:8" x14ac:dyDescent="0.3">
      <c r="A382" s="32" t="b">
        <v>1</v>
      </c>
      <c r="B382" s="33" t="str">
        <f t="shared" si="59"/>
        <v>업적설명 - [전설] 장비아이템을 550개 획득하세요</v>
      </c>
      <c r="C382" s="14">
        <f t="shared" si="58"/>
        <v>52652</v>
      </c>
      <c r="D382" s="33" t="str">
        <f t="shared" si="61"/>
        <v>[전설] 장비아이템을 550개 획득하세요</v>
      </c>
      <c r="E382" s="33" t="str">
        <f t="shared" si="62"/>
        <v>[Legendary] Obtain 550 gear items</v>
      </c>
      <c r="F382" s="33" t="str">
        <f t="shared" si="60"/>
        <v>[전설] 장비아이템을 550개 획득하세요</v>
      </c>
      <c r="H382" s="32">
        <f>Achievement!J357</f>
        <v>550</v>
      </c>
    </row>
    <row r="383" spans="1:8" x14ac:dyDescent="0.3">
      <c r="A383" s="32" t="b">
        <v>1</v>
      </c>
      <c r="B383" s="33" t="str">
        <f t="shared" si="59"/>
        <v>업적설명 - [전설] 장비아이템을 600개 획득하세요</v>
      </c>
      <c r="C383" s="14">
        <f t="shared" si="58"/>
        <v>52653</v>
      </c>
      <c r="D383" s="33" t="str">
        <f t="shared" si="61"/>
        <v>[전설] 장비아이템을 600개 획득하세요</v>
      </c>
      <c r="E383" s="33" t="str">
        <f t="shared" si="62"/>
        <v>[Legendary] Obtain 600 gear items</v>
      </c>
      <c r="F383" s="33" t="str">
        <f t="shared" si="60"/>
        <v>[전설] 장비아이템을 600개 획득하세요</v>
      </c>
      <c r="H383" s="32">
        <f>Achievement!J358</f>
        <v>600</v>
      </c>
    </row>
    <row r="384" spans="1:8" x14ac:dyDescent="0.3">
      <c r="A384" s="32" t="b">
        <v>1</v>
      </c>
      <c r="B384" s="33" t="str">
        <f t="shared" si="59"/>
        <v>업적설명 - [전설] 장비아이템을 650개 획득하세요</v>
      </c>
      <c r="C384" s="14">
        <f t="shared" si="58"/>
        <v>52654</v>
      </c>
      <c r="D384" s="33" t="str">
        <f t="shared" si="61"/>
        <v>[전설] 장비아이템을 650개 획득하세요</v>
      </c>
      <c r="E384" s="33" t="str">
        <f t="shared" si="62"/>
        <v>[Legendary] Obtain 650 gear items</v>
      </c>
      <c r="F384" s="33" t="str">
        <f t="shared" si="60"/>
        <v>[전설] 장비아이템을 650개 획득하세요</v>
      </c>
      <c r="H384" s="32">
        <f>Achievement!J359</f>
        <v>650</v>
      </c>
    </row>
    <row r="385" spans="1:8" x14ac:dyDescent="0.3">
      <c r="A385" s="32" t="b">
        <v>1</v>
      </c>
      <c r="B385" s="33" t="str">
        <f t="shared" si="59"/>
        <v>업적설명 - [전설] 장비아이템을 700개 획득하세요</v>
      </c>
      <c r="C385" s="14">
        <f t="shared" si="58"/>
        <v>52655</v>
      </c>
      <c r="D385" s="33" t="str">
        <f t="shared" si="61"/>
        <v>[전설] 장비아이템을 700개 획득하세요</v>
      </c>
      <c r="E385" s="33" t="str">
        <f t="shared" si="62"/>
        <v>[Legendary] Obtain 700 gear items</v>
      </c>
      <c r="F385" s="33" t="str">
        <f t="shared" si="60"/>
        <v>[전설] 장비아이템을 700개 획득하세요</v>
      </c>
      <c r="H385" s="32">
        <f>Achievement!J360</f>
        <v>700</v>
      </c>
    </row>
    <row r="386" spans="1:8" x14ac:dyDescent="0.3">
      <c r="A386" s="32" t="b">
        <v>1</v>
      </c>
      <c r="B386" s="33" t="str">
        <f t="shared" si="59"/>
        <v>업적설명 - [전설] 장비아이템을 750개 획득하세요</v>
      </c>
      <c r="C386" s="14">
        <f t="shared" si="58"/>
        <v>52656</v>
      </c>
      <c r="D386" s="33" t="str">
        <f t="shared" si="61"/>
        <v>[전설] 장비아이템을 750개 획득하세요</v>
      </c>
      <c r="E386" s="33" t="str">
        <f t="shared" si="62"/>
        <v>[Legendary] Obtain 750 gear items</v>
      </c>
      <c r="F386" s="33" t="str">
        <f t="shared" si="60"/>
        <v>[전설] 장비아이템을 750개 획득하세요</v>
      </c>
      <c r="H386" s="32">
        <f>Achievement!J361</f>
        <v>750</v>
      </c>
    </row>
    <row r="387" spans="1:8" x14ac:dyDescent="0.3">
      <c r="A387" s="32" t="b">
        <v>1</v>
      </c>
      <c r="B387" s="33" t="str">
        <f t="shared" si="59"/>
        <v>업적설명 - [전설] 장비아이템을 800개 획득하세요</v>
      </c>
      <c r="C387" s="14">
        <f t="shared" si="58"/>
        <v>52657</v>
      </c>
      <c r="D387" s="33" t="str">
        <f t="shared" si="61"/>
        <v>[전설] 장비아이템을 800개 획득하세요</v>
      </c>
      <c r="E387" s="33" t="str">
        <f t="shared" si="62"/>
        <v>[Legendary] Obtain 800 gear items</v>
      </c>
      <c r="F387" s="33" t="str">
        <f t="shared" si="60"/>
        <v>[전설] 장비아이템을 800개 획득하세요</v>
      </c>
      <c r="H387" s="32">
        <f>Achievement!J362</f>
        <v>800</v>
      </c>
    </row>
    <row r="388" spans="1:8" x14ac:dyDescent="0.3">
      <c r="A388" s="32" t="b">
        <v>1</v>
      </c>
      <c r="B388" s="33" t="str">
        <f t="shared" si="59"/>
        <v>업적설명 - [전설] 장비아이템을 850개 획득하세요</v>
      </c>
      <c r="C388" s="14">
        <f t="shared" si="58"/>
        <v>52658</v>
      </c>
      <c r="D388" s="33" t="str">
        <f t="shared" si="61"/>
        <v>[전설] 장비아이템을 850개 획득하세요</v>
      </c>
      <c r="E388" s="33" t="str">
        <f t="shared" si="62"/>
        <v>[Legendary] Obtain 850 gear items</v>
      </c>
      <c r="F388" s="33" t="str">
        <f t="shared" si="60"/>
        <v>[전설] 장비아이템을 850개 획득하세요</v>
      </c>
      <c r="H388" s="32">
        <f>Achievement!J363</f>
        <v>850</v>
      </c>
    </row>
    <row r="389" spans="1:8" x14ac:dyDescent="0.3">
      <c r="A389" s="32" t="b">
        <v>1</v>
      </c>
      <c r="B389" s="33" t="str">
        <f t="shared" si="59"/>
        <v>업적설명 - [전설] 장비아이템을 900개 획득하세요</v>
      </c>
      <c r="C389" s="14">
        <f t="shared" si="58"/>
        <v>52659</v>
      </c>
      <c r="D389" s="33" t="str">
        <f t="shared" si="61"/>
        <v>[전설] 장비아이템을 900개 획득하세요</v>
      </c>
      <c r="E389" s="33" t="str">
        <f t="shared" si="62"/>
        <v>[Legendary] Obtain 900 gear items</v>
      </c>
      <c r="F389" s="33" t="str">
        <f t="shared" si="60"/>
        <v>[전설] 장비아이템을 900개 획득하세요</v>
      </c>
      <c r="H389" s="32">
        <f>Achievement!J364</f>
        <v>900</v>
      </c>
    </row>
    <row r="390" spans="1:8" x14ac:dyDescent="0.3">
      <c r="A390" s="32" t="b">
        <v>1</v>
      </c>
      <c r="B390" s="33" t="str">
        <f t="shared" si="59"/>
        <v>업적설명 - [전설] 장비아이템을 950개 획득하세요</v>
      </c>
      <c r="C390" s="14">
        <f t="shared" si="58"/>
        <v>52660</v>
      </c>
      <c r="D390" s="33" t="str">
        <f t="shared" si="61"/>
        <v>[전설] 장비아이템을 950개 획득하세요</v>
      </c>
      <c r="E390" s="33" t="str">
        <f t="shared" si="62"/>
        <v>[Legendary] Obtain 950 gear items</v>
      </c>
      <c r="F390" s="33" t="str">
        <f t="shared" si="60"/>
        <v>[전설] 장비아이템을 950개 획득하세요</v>
      </c>
      <c r="H390" s="32">
        <f>Achievement!J365</f>
        <v>950</v>
      </c>
    </row>
    <row r="391" spans="1:8" x14ac:dyDescent="0.3">
      <c r="A391" s="32" t="b">
        <v>1</v>
      </c>
      <c r="B391" s="33" t="str">
        <f t="shared" si="59"/>
        <v>업적설명 - [전설] 장비아이템을 1000개 획득하세요</v>
      </c>
      <c r="C391" s="14">
        <f t="shared" si="58"/>
        <v>52661</v>
      </c>
      <c r="D391" s="33" t="str">
        <f t="shared" si="61"/>
        <v>[전설] 장비아이템을 1000개 획득하세요</v>
      </c>
      <c r="E391" s="33" t="str">
        <f t="shared" si="62"/>
        <v>[Legendary] Obtain 1000 gear items</v>
      </c>
      <c r="F391" s="33" t="str">
        <f t="shared" si="60"/>
        <v>[전설] 장비아이템을 1000개 획득하세요</v>
      </c>
      <c r="H391" s="32">
        <f>Achievement!J366</f>
        <v>1000</v>
      </c>
    </row>
    <row r="392" spans="1:8" x14ac:dyDescent="0.3">
      <c r="A392" s="28" t="b">
        <v>1</v>
      </c>
      <c r="B392" s="29" t="str">
        <f t="shared" si="59"/>
        <v>업적설명 - [불멸] 장비아이템을 1개 획득하세요</v>
      </c>
      <c r="C392" s="16">
        <f t="shared" si="58"/>
        <v>52662</v>
      </c>
      <c r="D392" s="29" t="str">
        <f>"[불멸] 장비아이템을 " &amp; H392 &amp; "개 획득하세요"</f>
        <v>[불멸] 장비아이템을 1개 획득하세요</v>
      </c>
      <c r="E392" s="29" t="str">
        <f xml:space="preserve"> "[Immortal] Obtain " &amp; H392 &amp; " gear item"</f>
        <v>[Immortal] Obtain 1 gear item</v>
      </c>
      <c r="F392" s="29" t="str">
        <f t="shared" si="60"/>
        <v>[불멸] 장비아이템을 1개 획득하세요</v>
      </c>
      <c r="H392" s="28">
        <f>Achievement!J367</f>
        <v>1</v>
      </c>
    </row>
    <row r="393" spans="1:8" x14ac:dyDescent="0.3">
      <c r="A393" s="28" t="b">
        <v>1</v>
      </c>
      <c r="B393" s="29" t="str">
        <f t="shared" si="59"/>
        <v>업적설명 - [불멸] 장비아이템을 10개 획득하세요</v>
      </c>
      <c r="C393" s="17">
        <f t="shared" si="58"/>
        <v>52663</v>
      </c>
      <c r="D393" s="29" t="str">
        <f t="shared" ref="D393:D405" si="63">"[불멸] 장비아이템을 " &amp; H393 &amp; "개 획득하세요"</f>
        <v>[불멸] 장비아이템을 10개 획득하세요</v>
      </c>
      <c r="E393" s="29" t="str">
        <f xml:space="preserve"> "[Immortal] Obtain " &amp; H393 &amp; " gear items"</f>
        <v>[Immortal] Obtain 10 gear items</v>
      </c>
      <c r="F393" s="29" t="str">
        <f t="shared" si="60"/>
        <v>[불멸] 장비아이템을 10개 획득하세요</v>
      </c>
      <c r="H393" s="28">
        <f>Achievement!J368</f>
        <v>10</v>
      </c>
    </row>
    <row r="394" spans="1:8" x14ac:dyDescent="0.3">
      <c r="A394" s="28" t="b">
        <v>1</v>
      </c>
      <c r="B394" s="29" t="str">
        <f t="shared" si="59"/>
        <v>업적설명 - [불멸] 장비아이템을 20개 획득하세요</v>
      </c>
      <c r="C394" s="17">
        <f t="shared" si="58"/>
        <v>52664</v>
      </c>
      <c r="D394" s="29" t="str">
        <f t="shared" si="63"/>
        <v>[불멸] 장비아이템을 20개 획득하세요</v>
      </c>
      <c r="E394" s="29" t="str">
        <f t="shared" ref="E394:E405" si="64" xml:space="preserve"> "[Immortal] Obtain " &amp; H394 &amp; " gear items"</f>
        <v>[Immortal] Obtain 20 gear items</v>
      </c>
      <c r="F394" s="29" t="str">
        <f t="shared" si="60"/>
        <v>[불멸] 장비아이템을 20개 획득하세요</v>
      </c>
      <c r="H394" s="28">
        <f>Achievement!J369</f>
        <v>20</v>
      </c>
    </row>
    <row r="395" spans="1:8" x14ac:dyDescent="0.3">
      <c r="A395" s="28" t="b">
        <v>1</v>
      </c>
      <c r="B395" s="29" t="str">
        <f t="shared" si="59"/>
        <v>업적설명 - [불멸] 장비아이템을 30개 획득하세요</v>
      </c>
      <c r="C395" s="17">
        <f t="shared" si="58"/>
        <v>52665</v>
      </c>
      <c r="D395" s="29" t="str">
        <f t="shared" si="63"/>
        <v>[불멸] 장비아이템을 30개 획득하세요</v>
      </c>
      <c r="E395" s="29" t="str">
        <f t="shared" si="64"/>
        <v>[Immortal] Obtain 30 gear items</v>
      </c>
      <c r="F395" s="29" t="str">
        <f t="shared" si="60"/>
        <v>[불멸] 장비아이템을 30개 획득하세요</v>
      </c>
      <c r="H395" s="28">
        <f>Achievement!J370</f>
        <v>30</v>
      </c>
    </row>
    <row r="396" spans="1:8" x14ac:dyDescent="0.3">
      <c r="A396" s="28" t="b">
        <v>1</v>
      </c>
      <c r="B396" s="29" t="str">
        <f t="shared" si="59"/>
        <v>업적설명 - [불멸] 장비아이템을 50개 획득하세요</v>
      </c>
      <c r="C396" s="17">
        <f t="shared" si="58"/>
        <v>52666</v>
      </c>
      <c r="D396" s="29" t="str">
        <f t="shared" si="63"/>
        <v>[불멸] 장비아이템을 50개 획득하세요</v>
      </c>
      <c r="E396" s="29" t="str">
        <f t="shared" si="64"/>
        <v>[Immortal] Obtain 50 gear items</v>
      </c>
      <c r="F396" s="29" t="str">
        <f t="shared" si="60"/>
        <v>[불멸] 장비아이템을 50개 획득하세요</v>
      </c>
      <c r="H396" s="28">
        <f>Achievement!J371</f>
        <v>50</v>
      </c>
    </row>
    <row r="397" spans="1:8" x14ac:dyDescent="0.3">
      <c r="A397" s="28" t="b">
        <v>1</v>
      </c>
      <c r="B397" s="29" t="str">
        <f t="shared" si="59"/>
        <v>업적설명 - [불멸] 장비아이템을 100개 획득하세요</v>
      </c>
      <c r="C397" s="17">
        <f t="shared" si="58"/>
        <v>52667</v>
      </c>
      <c r="D397" s="29" t="str">
        <f t="shared" si="63"/>
        <v>[불멸] 장비아이템을 100개 획득하세요</v>
      </c>
      <c r="E397" s="29" t="str">
        <f t="shared" si="64"/>
        <v>[Immortal] Obtain 100 gear items</v>
      </c>
      <c r="F397" s="29" t="str">
        <f t="shared" si="60"/>
        <v>[불멸] 장비아이템을 100개 획득하세요</v>
      </c>
      <c r="H397" s="28">
        <f>Achievement!J372</f>
        <v>100</v>
      </c>
    </row>
    <row r="398" spans="1:8" x14ac:dyDescent="0.3">
      <c r="A398" s="28" t="b">
        <v>1</v>
      </c>
      <c r="B398" s="29" t="str">
        <f t="shared" si="59"/>
        <v>업적설명 - [불멸] 장비아이템을 150개 획득하세요</v>
      </c>
      <c r="C398" s="17">
        <f t="shared" si="58"/>
        <v>52668</v>
      </c>
      <c r="D398" s="29" t="str">
        <f t="shared" si="63"/>
        <v>[불멸] 장비아이템을 150개 획득하세요</v>
      </c>
      <c r="E398" s="29" t="str">
        <f t="shared" si="64"/>
        <v>[Immortal] Obtain 150 gear items</v>
      </c>
      <c r="F398" s="29" t="str">
        <f t="shared" si="60"/>
        <v>[불멸] 장비아이템을 150개 획득하세요</v>
      </c>
      <c r="H398" s="28">
        <f>Achievement!J373</f>
        <v>150</v>
      </c>
    </row>
    <row r="399" spans="1:8" x14ac:dyDescent="0.3">
      <c r="A399" s="28" t="b">
        <v>1</v>
      </c>
      <c r="B399" s="29" t="str">
        <f t="shared" si="59"/>
        <v>업적설명 - [불멸] 장비아이템을 200개 획득하세요</v>
      </c>
      <c r="C399" s="17">
        <f t="shared" si="58"/>
        <v>52669</v>
      </c>
      <c r="D399" s="29" t="str">
        <f t="shared" si="63"/>
        <v>[불멸] 장비아이템을 200개 획득하세요</v>
      </c>
      <c r="E399" s="29" t="str">
        <f t="shared" si="64"/>
        <v>[Immortal] Obtain 200 gear items</v>
      </c>
      <c r="F399" s="29" t="str">
        <f t="shared" si="60"/>
        <v>[불멸] 장비아이템을 200개 획득하세요</v>
      </c>
      <c r="H399" s="28">
        <f>Achievement!J374</f>
        <v>200</v>
      </c>
    </row>
    <row r="400" spans="1:8" x14ac:dyDescent="0.3">
      <c r="A400" s="28" t="b">
        <v>1</v>
      </c>
      <c r="B400" s="29" t="str">
        <f t="shared" si="59"/>
        <v>업적설명 - [불멸] 장비아이템을 250개 획득하세요</v>
      </c>
      <c r="C400" s="17">
        <f t="shared" si="58"/>
        <v>52670</v>
      </c>
      <c r="D400" s="29" t="str">
        <f t="shared" si="63"/>
        <v>[불멸] 장비아이템을 250개 획득하세요</v>
      </c>
      <c r="E400" s="29" t="str">
        <f t="shared" si="64"/>
        <v>[Immortal] Obtain 250 gear items</v>
      </c>
      <c r="F400" s="29" t="str">
        <f t="shared" si="60"/>
        <v>[불멸] 장비아이템을 250개 획득하세요</v>
      </c>
      <c r="H400" s="28">
        <f>Achievement!J375</f>
        <v>250</v>
      </c>
    </row>
    <row r="401" spans="1:8" x14ac:dyDescent="0.3">
      <c r="A401" s="28" t="b">
        <v>1</v>
      </c>
      <c r="B401" s="29" t="str">
        <f t="shared" si="59"/>
        <v>업적설명 - [불멸] 장비아이템을 300개 획득하세요</v>
      </c>
      <c r="C401" s="17">
        <f t="shared" si="58"/>
        <v>52671</v>
      </c>
      <c r="D401" s="29" t="str">
        <f t="shared" si="63"/>
        <v>[불멸] 장비아이템을 300개 획득하세요</v>
      </c>
      <c r="E401" s="29" t="str">
        <f t="shared" si="64"/>
        <v>[Immortal] Obtain 300 gear items</v>
      </c>
      <c r="F401" s="29" t="str">
        <f t="shared" si="60"/>
        <v>[불멸] 장비아이템을 300개 획득하세요</v>
      </c>
      <c r="H401" s="28">
        <f>Achievement!J376</f>
        <v>300</v>
      </c>
    </row>
    <row r="402" spans="1:8" x14ac:dyDescent="0.3">
      <c r="A402" s="28" t="b">
        <v>1</v>
      </c>
      <c r="B402" s="29" t="str">
        <f t="shared" si="59"/>
        <v>업적설명 - [불멸] 장비아이템을 350개 획득하세요</v>
      </c>
      <c r="C402" s="17">
        <f t="shared" si="58"/>
        <v>52672</v>
      </c>
      <c r="D402" s="29" t="str">
        <f t="shared" si="63"/>
        <v>[불멸] 장비아이템을 350개 획득하세요</v>
      </c>
      <c r="E402" s="29" t="str">
        <f t="shared" si="64"/>
        <v>[Immortal] Obtain 350 gear items</v>
      </c>
      <c r="F402" s="29" t="str">
        <f t="shared" si="60"/>
        <v>[불멸] 장비아이템을 350개 획득하세요</v>
      </c>
      <c r="H402" s="28">
        <f>Achievement!J377</f>
        <v>350</v>
      </c>
    </row>
    <row r="403" spans="1:8" x14ac:dyDescent="0.3">
      <c r="A403" s="28" t="b">
        <v>1</v>
      </c>
      <c r="B403" s="29" t="str">
        <f t="shared" si="59"/>
        <v>업적설명 - [불멸] 장비아이템을 400개 획득하세요</v>
      </c>
      <c r="C403" s="17">
        <f t="shared" si="58"/>
        <v>52673</v>
      </c>
      <c r="D403" s="29" t="str">
        <f t="shared" si="63"/>
        <v>[불멸] 장비아이템을 400개 획득하세요</v>
      </c>
      <c r="E403" s="29" t="str">
        <f t="shared" si="64"/>
        <v>[Immortal] Obtain 400 gear items</v>
      </c>
      <c r="F403" s="29" t="str">
        <f t="shared" si="60"/>
        <v>[불멸] 장비아이템을 400개 획득하세요</v>
      </c>
      <c r="H403" s="28">
        <f>Achievement!J378</f>
        <v>400</v>
      </c>
    </row>
    <row r="404" spans="1:8" x14ac:dyDescent="0.3">
      <c r="A404" s="28" t="b">
        <v>1</v>
      </c>
      <c r="B404" s="29" t="str">
        <f t="shared" si="59"/>
        <v>업적설명 - [불멸] 장비아이템을 450개 획득하세요</v>
      </c>
      <c r="C404" s="17">
        <f t="shared" si="58"/>
        <v>52674</v>
      </c>
      <c r="D404" s="29" t="str">
        <f t="shared" si="63"/>
        <v>[불멸] 장비아이템을 450개 획득하세요</v>
      </c>
      <c r="E404" s="29" t="str">
        <f t="shared" si="64"/>
        <v>[Immortal] Obtain 450 gear items</v>
      </c>
      <c r="F404" s="29" t="str">
        <f t="shared" si="60"/>
        <v>[불멸] 장비아이템을 450개 획득하세요</v>
      </c>
      <c r="H404" s="28">
        <f>Achievement!J379</f>
        <v>450</v>
      </c>
    </row>
    <row r="405" spans="1:8" x14ac:dyDescent="0.3">
      <c r="A405" s="28" t="b">
        <v>1</v>
      </c>
      <c r="B405" s="29" t="str">
        <f t="shared" si="59"/>
        <v>업적설명 - [불멸] 장비아이템을 500개 획득하세요</v>
      </c>
      <c r="C405" s="17">
        <f t="shared" si="58"/>
        <v>52675</v>
      </c>
      <c r="D405" s="29" t="str">
        <f t="shared" si="63"/>
        <v>[불멸] 장비아이템을 500개 획득하세요</v>
      </c>
      <c r="E405" s="29" t="str">
        <f t="shared" si="64"/>
        <v>[Immortal] Obtain 500 gear items</v>
      </c>
      <c r="F405" s="29" t="str">
        <f t="shared" si="60"/>
        <v>[불멸] 장비아이템을 500개 획득하세요</v>
      </c>
      <c r="H405" s="28">
        <f>Achievement!J380</f>
        <v>500</v>
      </c>
    </row>
    <row r="406" spans="1:8" x14ac:dyDescent="0.3">
      <c r="A406" s="32" t="b">
        <v>1</v>
      </c>
      <c r="B406" s="33" t="str">
        <f t="shared" si="59"/>
        <v>업적설명 - 장비아이템 랜덤옵션변경을 1회 변경하세요</v>
      </c>
      <c r="C406" s="16">
        <f t="shared" si="58"/>
        <v>52676</v>
      </c>
      <c r="D406" s="33" t="str">
        <f>"장비아이템 랜덤옵션변경을 "&amp; H406&amp;"회 변경하세요"</f>
        <v>장비아이템 랜덤옵션변경을 1회 변경하세요</v>
      </c>
      <c r="E406" s="33" t="str">
        <f xml:space="preserve"> "Use random option change to gear " &amp; H406 &amp; " time"</f>
        <v>Use random option change to gear 1 time</v>
      </c>
      <c r="F406" s="33" t="str">
        <f t="shared" si="60"/>
        <v>장비아이템 랜덤옵션변경을 1회 변경하세요</v>
      </c>
      <c r="H406" s="32">
        <f>Achievement!J381</f>
        <v>1</v>
      </c>
    </row>
    <row r="407" spans="1:8" x14ac:dyDescent="0.3">
      <c r="A407" s="32" t="b">
        <v>1</v>
      </c>
      <c r="B407" s="33" t="str">
        <f t="shared" si="59"/>
        <v>업적설명 - 장비아이템 랜덤옵션변경을 5회 변경하세요</v>
      </c>
      <c r="C407" s="14">
        <f t="shared" si="58"/>
        <v>52677</v>
      </c>
      <c r="D407" s="33" t="str">
        <f t="shared" ref="D407:D426" si="65">"장비아이템 랜덤옵션변경을 "&amp; H407&amp;"회 변경하세요"</f>
        <v>장비아이템 랜덤옵션변경을 5회 변경하세요</v>
      </c>
      <c r="E407" s="33" t="str">
        <f xml:space="preserve"> "Use random option change to gear " &amp; H407 &amp; " times"</f>
        <v>Use random option change to gear 5 times</v>
      </c>
      <c r="F407" s="33" t="str">
        <f t="shared" si="60"/>
        <v>장비아이템 랜덤옵션변경을 5회 변경하세요</v>
      </c>
      <c r="H407" s="32">
        <f>Achievement!J382</f>
        <v>5</v>
      </c>
    </row>
    <row r="408" spans="1:8" x14ac:dyDescent="0.3">
      <c r="A408" s="32" t="b">
        <v>1</v>
      </c>
      <c r="B408" s="33" t="str">
        <f t="shared" si="59"/>
        <v>업적설명 - 장비아이템 랜덤옵션변경을 10회 변경하세요</v>
      </c>
      <c r="C408" s="14">
        <f t="shared" si="58"/>
        <v>52678</v>
      </c>
      <c r="D408" s="33" t="str">
        <f t="shared" si="65"/>
        <v>장비아이템 랜덤옵션변경을 10회 변경하세요</v>
      </c>
      <c r="E408" s="33" t="str">
        <f t="shared" ref="E408:E444" si="66" xml:space="preserve"> "Use random option change to gear " &amp; H408 &amp; " times"</f>
        <v>Use random option change to gear 10 times</v>
      </c>
      <c r="F408" s="33" t="str">
        <f t="shared" si="60"/>
        <v>장비아이템 랜덤옵션변경을 10회 변경하세요</v>
      </c>
      <c r="H408" s="32">
        <f>Achievement!J383</f>
        <v>10</v>
      </c>
    </row>
    <row r="409" spans="1:8" x14ac:dyDescent="0.3">
      <c r="A409" s="32" t="b">
        <v>1</v>
      </c>
      <c r="B409" s="33" t="str">
        <f t="shared" si="59"/>
        <v>업적설명 - 장비아이템 랜덤옵션변경을 15회 변경하세요</v>
      </c>
      <c r="C409" s="14">
        <f t="shared" si="58"/>
        <v>52679</v>
      </c>
      <c r="D409" s="33" t="str">
        <f t="shared" si="65"/>
        <v>장비아이템 랜덤옵션변경을 15회 변경하세요</v>
      </c>
      <c r="E409" s="33" t="str">
        <f t="shared" si="66"/>
        <v>Use random option change to gear 15 times</v>
      </c>
      <c r="F409" s="33" t="str">
        <f t="shared" si="60"/>
        <v>장비아이템 랜덤옵션변경을 15회 변경하세요</v>
      </c>
      <c r="H409" s="32">
        <f>Achievement!J384</f>
        <v>15</v>
      </c>
    </row>
    <row r="410" spans="1:8" x14ac:dyDescent="0.3">
      <c r="A410" s="32" t="b">
        <v>1</v>
      </c>
      <c r="B410" s="33" t="str">
        <f t="shared" si="59"/>
        <v>업적설명 - 장비아이템 랜덤옵션변경을 20회 변경하세요</v>
      </c>
      <c r="C410" s="14">
        <f t="shared" si="58"/>
        <v>52680</v>
      </c>
      <c r="D410" s="33" t="str">
        <f t="shared" si="65"/>
        <v>장비아이템 랜덤옵션변경을 20회 변경하세요</v>
      </c>
      <c r="E410" s="33" t="str">
        <f t="shared" si="66"/>
        <v>Use random option change to gear 20 times</v>
      </c>
      <c r="F410" s="33" t="str">
        <f t="shared" si="60"/>
        <v>장비아이템 랜덤옵션변경을 20회 변경하세요</v>
      </c>
      <c r="H410" s="32">
        <f>Achievement!J385</f>
        <v>20</v>
      </c>
    </row>
    <row r="411" spans="1:8" x14ac:dyDescent="0.3">
      <c r="A411" s="32" t="b">
        <v>1</v>
      </c>
      <c r="B411" s="33" t="str">
        <f t="shared" si="59"/>
        <v>업적설명 - 장비아이템 랜덤옵션변경을 25회 변경하세요</v>
      </c>
      <c r="C411" s="14">
        <f t="shared" si="58"/>
        <v>52681</v>
      </c>
      <c r="D411" s="33" t="str">
        <f t="shared" si="65"/>
        <v>장비아이템 랜덤옵션변경을 25회 변경하세요</v>
      </c>
      <c r="E411" s="33" t="str">
        <f t="shared" si="66"/>
        <v>Use random option change to gear 25 times</v>
      </c>
      <c r="F411" s="33" t="str">
        <f t="shared" si="60"/>
        <v>장비아이템 랜덤옵션변경을 25회 변경하세요</v>
      </c>
      <c r="H411" s="32">
        <f>Achievement!J386</f>
        <v>25</v>
      </c>
    </row>
    <row r="412" spans="1:8" x14ac:dyDescent="0.3">
      <c r="A412" s="32" t="b">
        <v>1</v>
      </c>
      <c r="B412" s="33" t="str">
        <f t="shared" si="59"/>
        <v>업적설명 - 장비아이템 랜덤옵션변경을 30회 변경하세요</v>
      </c>
      <c r="C412" s="14">
        <f t="shared" si="58"/>
        <v>52682</v>
      </c>
      <c r="D412" s="33" t="str">
        <f t="shared" si="65"/>
        <v>장비아이템 랜덤옵션변경을 30회 변경하세요</v>
      </c>
      <c r="E412" s="33" t="str">
        <f t="shared" si="66"/>
        <v>Use random option change to gear 30 times</v>
      </c>
      <c r="F412" s="33" t="str">
        <f t="shared" si="60"/>
        <v>장비아이템 랜덤옵션변경을 30회 변경하세요</v>
      </c>
      <c r="H412" s="32">
        <f>Achievement!J387</f>
        <v>30</v>
      </c>
    </row>
    <row r="413" spans="1:8" x14ac:dyDescent="0.3">
      <c r="A413" s="32" t="b">
        <v>1</v>
      </c>
      <c r="B413" s="33" t="str">
        <f t="shared" si="59"/>
        <v>업적설명 - 장비아이템 랜덤옵션변경을 35회 변경하세요</v>
      </c>
      <c r="C413" s="14">
        <f t="shared" si="58"/>
        <v>52683</v>
      </c>
      <c r="D413" s="33" t="str">
        <f t="shared" si="65"/>
        <v>장비아이템 랜덤옵션변경을 35회 변경하세요</v>
      </c>
      <c r="E413" s="33" t="str">
        <f t="shared" si="66"/>
        <v>Use random option change to gear 35 times</v>
      </c>
      <c r="F413" s="33" t="str">
        <f t="shared" si="60"/>
        <v>장비아이템 랜덤옵션변경을 35회 변경하세요</v>
      </c>
      <c r="H413" s="32">
        <f>Achievement!J388</f>
        <v>35</v>
      </c>
    </row>
    <row r="414" spans="1:8" x14ac:dyDescent="0.3">
      <c r="A414" s="32" t="b">
        <v>1</v>
      </c>
      <c r="B414" s="33" t="str">
        <f t="shared" si="59"/>
        <v>업적설명 - 장비아이템 랜덤옵션변경을 40회 변경하세요</v>
      </c>
      <c r="C414" s="14">
        <f t="shared" si="58"/>
        <v>52684</v>
      </c>
      <c r="D414" s="33" t="str">
        <f t="shared" si="65"/>
        <v>장비아이템 랜덤옵션변경을 40회 변경하세요</v>
      </c>
      <c r="E414" s="33" t="str">
        <f t="shared" si="66"/>
        <v>Use random option change to gear 40 times</v>
      </c>
      <c r="F414" s="33" t="str">
        <f t="shared" si="60"/>
        <v>장비아이템 랜덤옵션변경을 40회 변경하세요</v>
      </c>
      <c r="H414" s="32">
        <f>Achievement!J389</f>
        <v>40</v>
      </c>
    </row>
    <row r="415" spans="1:8" x14ac:dyDescent="0.3">
      <c r="A415" s="32" t="b">
        <v>1</v>
      </c>
      <c r="B415" s="33" t="str">
        <f t="shared" si="59"/>
        <v>업적설명 - 장비아이템 랜덤옵션변경을 45회 변경하세요</v>
      </c>
      <c r="C415" s="14">
        <f t="shared" si="58"/>
        <v>52685</v>
      </c>
      <c r="D415" s="33" t="str">
        <f t="shared" si="65"/>
        <v>장비아이템 랜덤옵션변경을 45회 변경하세요</v>
      </c>
      <c r="E415" s="33" t="str">
        <f t="shared" si="66"/>
        <v>Use random option change to gear 45 times</v>
      </c>
      <c r="F415" s="33" t="str">
        <f t="shared" si="60"/>
        <v>장비아이템 랜덤옵션변경을 45회 변경하세요</v>
      </c>
      <c r="H415" s="32">
        <f>Achievement!J390</f>
        <v>45</v>
      </c>
    </row>
    <row r="416" spans="1:8" x14ac:dyDescent="0.3">
      <c r="A416" s="32" t="b">
        <v>1</v>
      </c>
      <c r="B416" s="33" t="str">
        <f t="shared" si="59"/>
        <v>업적설명 - 장비아이템 랜덤옵션변경을 50회 변경하세요</v>
      </c>
      <c r="C416" s="14">
        <f t="shared" ref="C416:C444" si="67">C415+1</f>
        <v>52686</v>
      </c>
      <c r="D416" s="33" t="str">
        <f t="shared" si="65"/>
        <v>장비아이템 랜덤옵션변경을 50회 변경하세요</v>
      </c>
      <c r="E416" s="33" t="str">
        <f t="shared" si="66"/>
        <v>Use random option change to gear 50 times</v>
      </c>
      <c r="F416" s="33" t="str">
        <f t="shared" si="60"/>
        <v>장비아이템 랜덤옵션변경을 50회 변경하세요</v>
      </c>
      <c r="H416" s="32">
        <f>Achievement!J391</f>
        <v>50</v>
      </c>
    </row>
    <row r="417" spans="1:8" x14ac:dyDescent="0.3">
      <c r="A417" s="32" t="b">
        <v>1</v>
      </c>
      <c r="B417" s="33" t="str">
        <f t="shared" si="59"/>
        <v>업적설명 - 장비아이템 랜덤옵션변경을 55회 변경하세요</v>
      </c>
      <c r="C417" s="14">
        <f t="shared" si="67"/>
        <v>52687</v>
      </c>
      <c r="D417" s="33" t="str">
        <f t="shared" si="65"/>
        <v>장비아이템 랜덤옵션변경을 55회 변경하세요</v>
      </c>
      <c r="E417" s="33" t="str">
        <f t="shared" si="66"/>
        <v>Use random option change to gear 55 times</v>
      </c>
      <c r="F417" s="33" t="str">
        <f t="shared" si="60"/>
        <v>장비아이템 랜덤옵션변경을 55회 변경하세요</v>
      </c>
      <c r="H417" s="32">
        <f>Achievement!J392</f>
        <v>55</v>
      </c>
    </row>
    <row r="418" spans="1:8" x14ac:dyDescent="0.3">
      <c r="A418" s="32" t="b">
        <v>1</v>
      </c>
      <c r="B418" s="33" t="str">
        <f t="shared" si="59"/>
        <v>업적설명 - 장비아이템 랜덤옵션변경을 60회 변경하세요</v>
      </c>
      <c r="C418" s="14">
        <f t="shared" si="67"/>
        <v>52688</v>
      </c>
      <c r="D418" s="33" t="str">
        <f t="shared" si="65"/>
        <v>장비아이템 랜덤옵션변경을 60회 변경하세요</v>
      </c>
      <c r="E418" s="33" t="str">
        <f t="shared" si="66"/>
        <v>Use random option change to gear 60 times</v>
      </c>
      <c r="F418" s="33" t="str">
        <f t="shared" si="60"/>
        <v>장비아이템 랜덤옵션변경을 60회 변경하세요</v>
      </c>
      <c r="H418" s="32">
        <f>Achievement!J393</f>
        <v>60</v>
      </c>
    </row>
    <row r="419" spans="1:8" x14ac:dyDescent="0.3">
      <c r="A419" s="32" t="b">
        <v>1</v>
      </c>
      <c r="B419" s="33" t="str">
        <f t="shared" si="59"/>
        <v>업적설명 - 장비아이템 랜덤옵션변경을 65회 변경하세요</v>
      </c>
      <c r="C419" s="14">
        <f t="shared" si="67"/>
        <v>52689</v>
      </c>
      <c r="D419" s="33" t="str">
        <f t="shared" si="65"/>
        <v>장비아이템 랜덤옵션변경을 65회 변경하세요</v>
      </c>
      <c r="E419" s="33" t="str">
        <f t="shared" si="66"/>
        <v>Use random option change to gear 65 times</v>
      </c>
      <c r="F419" s="33" t="str">
        <f t="shared" si="60"/>
        <v>장비아이템 랜덤옵션변경을 65회 변경하세요</v>
      </c>
      <c r="H419" s="32">
        <f>Achievement!J394</f>
        <v>65</v>
      </c>
    </row>
    <row r="420" spans="1:8" x14ac:dyDescent="0.3">
      <c r="A420" s="32" t="b">
        <v>1</v>
      </c>
      <c r="B420" s="33" t="str">
        <f t="shared" si="59"/>
        <v>업적설명 - 장비아이템 랜덤옵션변경을 70회 변경하세요</v>
      </c>
      <c r="C420" s="14">
        <f t="shared" si="67"/>
        <v>52690</v>
      </c>
      <c r="D420" s="33" t="str">
        <f t="shared" si="65"/>
        <v>장비아이템 랜덤옵션변경을 70회 변경하세요</v>
      </c>
      <c r="E420" s="33" t="str">
        <f t="shared" si="66"/>
        <v>Use random option change to gear 70 times</v>
      </c>
      <c r="F420" s="33" t="str">
        <f t="shared" si="60"/>
        <v>장비아이템 랜덤옵션변경을 70회 변경하세요</v>
      </c>
      <c r="H420" s="32">
        <f>Achievement!J395</f>
        <v>70</v>
      </c>
    </row>
    <row r="421" spans="1:8" x14ac:dyDescent="0.3">
      <c r="A421" s="32" t="b">
        <v>1</v>
      </c>
      <c r="B421" s="33" t="str">
        <f t="shared" si="59"/>
        <v>업적설명 - 장비아이템 랜덤옵션변경을 75회 변경하세요</v>
      </c>
      <c r="C421" s="14">
        <f t="shared" si="67"/>
        <v>52691</v>
      </c>
      <c r="D421" s="33" t="str">
        <f t="shared" si="65"/>
        <v>장비아이템 랜덤옵션변경을 75회 변경하세요</v>
      </c>
      <c r="E421" s="33" t="str">
        <f t="shared" si="66"/>
        <v>Use random option change to gear 75 times</v>
      </c>
      <c r="F421" s="33" t="str">
        <f t="shared" si="60"/>
        <v>장비아이템 랜덤옵션변경을 75회 변경하세요</v>
      </c>
      <c r="H421" s="32">
        <f>Achievement!J396</f>
        <v>75</v>
      </c>
    </row>
    <row r="422" spans="1:8" x14ac:dyDescent="0.3">
      <c r="A422" s="32" t="b">
        <v>1</v>
      </c>
      <c r="B422" s="33" t="str">
        <f t="shared" si="59"/>
        <v>업적설명 - 장비아이템 랜덤옵션변경을 80회 변경하세요</v>
      </c>
      <c r="C422" s="14">
        <f t="shared" si="67"/>
        <v>52692</v>
      </c>
      <c r="D422" s="33" t="str">
        <f t="shared" si="65"/>
        <v>장비아이템 랜덤옵션변경을 80회 변경하세요</v>
      </c>
      <c r="E422" s="33" t="str">
        <f t="shared" si="66"/>
        <v>Use random option change to gear 80 times</v>
      </c>
      <c r="F422" s="33" t="str">
        <f t="shared" si="60"/>
        <v>장비아이템 랜덤옵션변경을 80회 변경하세요</v>
      </c>
      <c r="H422" s="32">
        <f>Achievement!J397</f>
        <v>80</v>
      </c>
    </row>
    <row r="423" spans="1:8" x14ac:dyDescent="0.3">
      <c r="A423" s="32" t="b">
        <v>1</v>
      </c>
      <c r="B423" s="33" t="str">
        <f t="shared" ref="B423:B426" si="68">"업적설명 - " &amp;D423</f>
        <v>업적설명 - 장비아이템 랜덤옵션변경을 85회 변경하세요</v>
      </c>
      <c r="C423" s="14">
        <f t="shared" si="67"/>
        <v>52693</v>
      </c>
      <c r="D423" s="33" t="str">
        <f t="shared" si="65"/>
        <v>장비아이템 랜덤옵션변경을 85회 변경하세요</v>
      </c>
      <c r="E423" s="33" t="str">
        <f t="shared" si="66"/>
        <v>Use random option change to gear 85 times</v>
      </c>
      <c r="F423" s="33" t="str">
        <f t="shared" si="60"/>
        <v>장비아이템 랜덤옵션변경을 85회 변경하세요</v>
      </c>
      <c r="H423" s="32">
        <f>Achievement!J398</f>
        <v>85</v>
      </c>
    </row>
    <row r="424" spans="1:8" x14ac:dyDescent="0.3">
      <c r="A424" s="32" t="b">
        <v>1</v>
      </c>
      <c r="B424" s="33" t="str">
        <f t="shared" si="68"/>
        <v>업적설명 - 장비아이템 랜덤옵션변경을 90회 변경하세요</v>
      </c>
      <c r="C424" s="14">
        <f t="shared" si="67"/>
        <v>52694</v>
      </c>
      <c r="D424" s="33" t="str">
        <f t="shared" si="65"/>
        <v>장비아이템 랜덤옵션변경을 90회 변경하세요</v>
      </c>
      <c r="E424" s="33" t="str">
        <f t="shared" si="66"/>
        <v>Use random option change to gear 90 times</v>
      </c>
      <c r="F424" s="33" t="str">
        <f t="shared" si="60"/>
        <v>장비아이템 랜덤옵션변경을 90회 변경하세요</v>
      </c>
      <c r="H424" s="32">
        <f>Achievement!J399</f>
        <v>90</v>
      </c>
    </row>
    <row r="425" spans="1:8" x14ac:dyDescent="0.3">
      <c r="A425" s="32" t="b">
        <v>1</v>
      </c>
      <c r="B425" s="33" t="str">
        <f t="shared" si="68"/>
        <v>업적설명 - 장비아이템 랜덤옵션변경을 95회 변경하세요</v>
      </c>
      <c r="C425" s="14">
        <f t="shared" si="67"/>
        <v>52695</v>
      </c>
      <c r="D425" s="33" t="str">
        <f t="shared" si="65"/>
        <v>장비아이템 랜덤옵션변경을 95회 변경하세요</v>
      </c>
      <c r="E425" s="33" t="str">
        <f t="shared" si="66"/>
        <v>Use random option change to gear 95 times</v>
      </c>
      <c r="F425" s="33" t="str">
        <f t="shared" si="60"/>
        <v>장비아이템 랜덤옵션변경을 95회 변경하세요</v>
      </c>
      <c r="H425" s="32">
        <f>Achievement!J400</f>
        <v>95</v>
      </c>
    </row>
    <row r="426" spans="1:8" x14ac:dyDescent="0.3">
      <c r="A426" s="32" t="b">
        <v>1</v>
      </c>
      <c r="B426" s="33" t="str">
        <f t="shared" si="68"/>
        <v>업적설명 - 장비아이템 랜덤옵션변경을 100회 변경하세요</v>
      </c>
      <c r="C426" s="14">
        <f t="shared" si="67"/>
        <v>52696</v>
      </c>
      <c r="D426" s="33" t="str">
        <f t="shared" si="65"/>
        <v>장비아이템 랜덤옵션변경을 100회 변경하세요</v>
      </c>
      <c r="E426" s="33" t="str">
        <f t="shared" si="66"/>
        <v>Use random option change to gear 100 times</v>
      </c>
      <c r="F426" s="33" t="str">
        <f t="shared" si="60"/>
        <v>장비아이템 랜덤옵션변경을 100회 변경하세요</v>
      </c>
      <c r="H426" s="32">
        <f>Achievement!J401</f>
        <v>100</v>
      </c>
    </row>
    <row r="427" spans="1:8" x14ac:dyDescent="0.3">
      <c r="A427" s="32" t="b">
        <v>1</v>
      </c>
      <c r="B427" s="33" t="str">
        <f t="shared" ref="B427:B444" si="69">"업적설명 - " &amp;D427</f>
        <v>업적설명 - 장비아이템 랜덤옵션변경을 150회 변경하세요</v>
      </c>
      <c r="C427" s="14">
        <f t="shared" si="67"/>
        <v>52697</v>
      </c>
      <c r="D427" s="33" t="str">
        <f t="shared" ref="D427:D444" si="70">"장비아이템 랜덤옵션변경을 "&amp; H427&amp;"회 변경하세요"</f>
        <v>장비아이템 랜덤옵션변경을 150회 변경하세요</v>
      </c>
      <c r="E427" s="33" t="str">
        <f t="shared" si="66"/>
        <v>Use random option change to gear 150 times</v>
      </c>
      <c r="F427" s="33" t="str">
        <f t="shared" si="60"/>
        <v>장비아이템 랜덤옵션변경을 150회 변경하세요</v>
      </c>
      <c r="H427" s="32">
        <f>Achievement!J402</f>
        <v>150</v>
      </c>
    </row>
    <row r="428" spans="1:8" x14ac:dyDescent="0.3">
      <c r="A428" s="32" t="b">
        <v>1</v>
      </c>
      <c r="B428" s="33" t="str">
        <f t="shared" si="69"/>
        <v>업적설명 - 장비아이템 랜덤옵션변경을 200회 변경하세요</v>
      </c>
      <c r="C428" s="14">
        <f t="shared" si="67"/>
        <v>52698</v>
      </c>
      <c r="D428" s="33" t="str">
        <f t="shared" si="70"/>
        <v>장비아이템 랜덤옵션변경을 200회 변경하세요</v>
      </c>
      <c r="E428" s="33" t="str">
        <f t="shared" si="66"/>
        <v>Use random option change to gear 200 times</v>
      </c>
      <c r="F428" s="33" t="str">
        <f t="shared" si="60"/>
        <v>장비아이템 랜덤옵션변경을 200회 변경하세요</v>
      </c>
      <c r="H428" s="32">
        <f>Achievement!J403</f>
        <v>200</v>
      </c>
    </row>
    <row r="429" spans="1:8" x14ac:dyDescent="0.3">
      <c r="A429" s="32" t="b">
        <v>1</v>
      </c>
      <c r="B429" s="33" t="str">
        <f t="shared" si="69"/>
        <v>업적설명 - 장비아이템 랜덤옵션변경을 250회 변경하세요</v>
      </c>
      <c r="C429" s="14">
        <f t="shared" si="67"/>
        <v>52699</v>
      </c>
      <c r="D429" s="33" t="str">
        <f t="shared" si="70"/>
        <v>장비아이템 랜덤옵션변경을 250회 변경하세요</v>
      </c>
      <c r="E429" s="33" t="str">
        <f t="shared" si="66"/>
        <v>Use random option change to gear 250 times</v>
      </c>
      <c r="F429" s="33" t="str">
        <f t="shared" si="60"/>
        <v>장비아이템 랜덤옵션변경을 250회 변경하세요</v>
      </c>
      <c r="H429" s="32">
        <f>Achievement!J404</f>
        <v>250</v>
      </c>
    </row>
    <row r="430" spans="1:8" x14ac:dyDescent="0.3">
      <c r="A430" s="32" t="b">
        <v>1</v>
      </c>
      <c r="B430" s="33" t="str">
        <f t="shared" si="69"/>
        <v>업적설명 - 장비아이템 랜덤옵션변경을 300회 변경하세요</v>
      </c>
      <c r="C430" s="14">
        <f t="shared" si="67"/>
        <v>52700</v>
      </c>
      <c r="D430" s="33" t="str">
        <f t="shared" si="70"/>
        <v>장비아이템 랜덤옵션변경을 300회 변경하세요</v>
      </c>
      <c r="E430" s="33" t="str">
        <f t="shared" si="66"/>
        <v>Use random option change to gear 300 times</v>
      </c>
      <c r="F430" s="33" t="str">
        <f t="shared" si="60"/>
        <v>장비아이템 랜덤옵션변경을 300회 변경하세요</v>
      </c>
      <c r="H430" s="32">
        <f>Achievement!J405</f>
        <v>300</v>
      </c>
    </row>
    <row r="431" spans="1:8" x14ac:dyDescent="0.3">
      <c r="A431" s="32" t="b">
        <v>1</v>
      </c>
      <c r="B431" s="33" t="str">
        <f t="shared" si="69"/>
        <v>업적설명 - 장비아이템 랜덤옵션변경을 350회 변경하세요</v>
      </c>
      <c r="C431" s="14">
        <f t="shared" si="67"/>
        <v>52701</v>
      </c>
      <c r="D431" s="33" t="str">
        <f t="shared" si="70"/>
        <v>장비아이템 랜덤옵션변경을 350회 변경하세요</v>
      </c>
      <c r="E431" s="33" t="str">
        <f t="shared" si="66"/>
        <v>Use random option change to gear 350 times</v>
      </c>
      <c r="F431" s="33" t="str">
        <f t="shared" si="60"/>
        <v>장비아이템 랜덤옵션변경을 350회 변경하세요</v>
      </c>
      <c r="H431" s="32">
        <f>Achievement!J406</f>
        <v>350</v>
      </c>
    </row>
    <row r="432" spans="1:8" x14ac:dyDescent="0.3">
      <c r="A432" s="32" t="b">
        <v>1</v>
      </c>
      <c r="B432" s="33" t="str">
        <f t="shared" si="69"/>
        <v>업적설명 - 장비아이템 랜덤옵션변경을 400회 변경하세요</v>
      </c>
      <c r="C432" s="14">
        <f t="shared" si="67"/>
        <v>52702</v>
      </c>
      <c r="D432" s="33" t="str">
        <f t="shared" si="70"/>
        <v>장비아이템 랜덤옵션변경을 400회 변경하세요</v>
      </c>
      <c r="E432" s="33" t="str">
        <f t="shared" si="66"/>
        <v>Use random option change to gear 400 times</v>
      </c>
      <c r="F432" s="33" t="str">
        <f t="shared" ref="F432:F444" si="71">D432</f>
        <v>장비아이템 랜덤옵션변경을 400회 변경하세요</v>
      </c>
      <c r="H432" s="32">
        <f>Achievement!J407</f>
        <v>400</v>
      </c>
    </row>
    <row r="433" spans="1:8" x14ac:dyDescent="0.3">
      <c r="A433" s="32" t="b">
        <v>1</v>
      </c>
      <c r="B433" s="33" t="str">
        <f t="shared" si="69"/>
        <v>업적설명 - 장비아이템 랜덤옵션변경을 450회 변경하세요</v>
      </c>
      <c r="C433" s="14">
        <f t="shared" si="67"/>
        <v>52703</v>
      </c>
      <c r="D433" s="33" t="str">
        <f t="shared" si="70"/>
        <v>장비아이템 랜덤옵션변경을 450회 변경하세요</v>
      </c>
      <c r="E433" s="33" t="str">
        <f t="shared" si="66"/>
        <v>Use random option change to gear 450 times</v>
      </c>
      <c r="F433" s="33" t="str">
        <f t="shared" si="71"/>
        <v>장비아이템 랜덤옵션변경을 450회 변경하세요</v>
      </c>
      <c r="H433" s="32">
        <f>Achievement!J408</f>
        <v>450</v>
      </c>
    </row>
    <row r="434" spans="1:8" x14ac:dyDescent="0.3">
      <c r="A434" s="32" t="b">
        <v>1</v>
      </c>
      <c r="B434" s="33" t="str">
        <f t="shared" si="69"/>
        <v>업적설명 - 장비아이템 랜덤옵션변경을 500회 변경하세요</v>
      </c>
      <c r="C434" s="14">
        <f t="shared" si="67"/>
        <v>52704</v>
      </c>
      <c r="D434" s="33" t="str">
        <f t="shared" si="70"/>
        <v>장비아이템 랜덤옵션변경을 500회 변경하세요</v>
      </c>
      <c r="E434" s="33" t="str">
        <f t="shared" si="66"/>
        <v>Use random option change to gear 500 times</v>
      </c>
      <c r="F434" s="33" t="str">
        <f t="shared" si="71"/>
        <v>장비아이템 랜덤옵션변경을 500회 변경하세요</v>
      </c>
      <c r="H434" s="32">
        <f>Achievement!J409</f>
        <v>500</v>
      </c>
    </row>
    <row r="435" spans="1:8" x14ac:dyDescent="0.3">
      <c r="A435" s="32" t="b">
        <v>1</v>
      </c>
      <c r="B435" s="33" t="str">
        <f t="shared" si="69"/>
        <v>업적설명 - 장비아이템 랜덤옵션변경을 550회 변경하세요</v>
      </c>
      <c r="C435" s="14">
        <f t="shared" si="67"/>
        <v>52705</v>
      </c>
      <c r="D435" s="33" t="str">
        <f t="shared" si="70"/>
        <v>장비아이템 랜덤옵션변경을 550회 변경하세요</v>
      </c>
      <c r="E435" s="33" t="str">
        <f t="shared" si="66"/>
        <v>Use random option change to gear 550 times</v>
      </c>
      <c r="F435" s="33" t="str">
        <f t="shared" si="71"/>
        <v>장비아이템 랜덤옵션변경을 550회 변경하세요</v>
      </c>
      <c r="H435" s="32">
        <f>Achievement!J410</f>
        <v>550</v>
      </c>
    </row>
    <row r="436" spans="1:8" x14ac:dyDescent="0.3">
      <c r="A436" s="32" t="b">
        <v>1</v>
      </c>
      <c r="B436" s="33" t="str">
        <f t="shared" si="69"/>
        <v>업적설명 - 장비아이템 랜덤옵션변경을 600회 변경하세요</v>
      </c>
      <c r="C436" s="14">
        <f t="shared" si="67"/>
        <v>52706</v>
      </c>
      <c r="D436" s="33" t="str">
        <f t="shared" si="70"/>
        <v>장비아이템 랜덤옵션변경을 600회 변경하세요</v>
      </c>
      <c r="E436" s="33" t="str">
        <f t="shared" si="66"/>
        <v>Use random option change to gear 600 times</v>
      </c>
      <c r="F436" s="33" t="str">
        <f t="shared" si="71"/>
        <v>장비아이템 랜덤옵션변경을 600회 변경하세요</v>
      </c>
      <c r="H436" s="32">
        <f>Achievement!J411</f>
        <v>600</v>
      </c>
    </row>
    <row r="437" spans="1:8" x14ac:dyDescent="0.3">
      <c r="A437" s="32" t="b">
        <v>1</v>
      </c>
      <c r="B437" s="33" t="str">
        <f t="shared" si="69"/>
        <v>업적설명 - 장비아이템 랜덤옵션변경을 650회 변경하세요</v>
      </c>
      <c r="C437" s="14">
        <f t="shared" si="67"/>
        <v>52707</v>
      </c>
      <c r="D437" s="33" t="str">
        <f t="shared" si="70"/>
        <v>장비아이템 랜덤옵션변경을 650회 변경하세요</v>
      </c>
      <c r="E437" s="33" t="str">
        <f t="shared" si="66"/>
        <v>Use random option change to gear 650 times</v>
      </c>
      <c r="F437" s="33" t="str">
        <f t="shared" si="71"/>
        <v>장비아이템 랜덤옵션변경을 650회 변경하세요</v>
      </c>
      <c r="H437" s="32">
        <f>Achievement!J412</f>
        <v>650</v>
      </c>
    </row>
    <row r="438" spans="1:8" x14ac:dyDescent="0.3">
      <c r="A438" s="32" t="b">
        <v>1</v>
      </c>
      <c r="B438" s="33" t="str">
        <f t="shared" si="69"/>
        <v>업적설명 - 장비아이템 랜덤옵션변경을 700회 변경하세요</v>
      </c>
      <c r="C438" s="14">
        <f t="shared" si="67"/>
        <v>52708</v>
      </c>
      <c r="D438" s="33" t="str">
        <f t="shared" si="70"/>
        <v>장비아이템 랜덤옵션변경을 700회 변경하세요</v>
      </c>
      <c r="E438" s="33" t="str">
        <f t="shared" si="66"/>
        <v>Use random option change to gear 700 times</v>
      </c>
      <c r="F438" s="33" t="str">
        <f t="shared" si="71"/>
        <v>장비아이템 랜덤옵션변경을 700회 변경하세요</v>
      </c>
      <c r="H438" s="32">
        <f>Achievement!J413</f>
        <v>700</v>
      </c>
    </row>
    <row r="439" spans="1:8" x14ac:dyDescent="0.3">
      <c r="A439" s="32" t="b">
        <v>1</v>
      </c>
      <c r="B439" s="33" t="str">
        <f t="shared" si="69"/>
        <v>업적설명 - 장비아이템 랜덤옵션변경을 750회 변경하세요</v>
      </c>
      <c r="C439" s="14">
        <f t="shared" si="67"/>
        <v>52709</v>
      </c>
      <c r="D439" s="33" t="str">
        <f t="shared" si="70"/>
        <v>장비아이템 랜덤옵션변경을 750회 변경하세요</v>
      </c>
      <c r="E439" s="33" t="str">
        <f t="shared" si="66"/>
        <v>Use random option change to gear 750 times</v>
      </c>
      <c r="F439" s="33" t="str">
        <f t="shared" si="71"/>
        <v>장비아이템 랜덤옵션변경을 750회 변경하세요</v>
      </c>
      <c r="H439" s="32">
        <f>Achievement!J414</f>
        <v>750</v>
      </c>
    </row>
    <row r="440" spans="1:8" x14ac:dyDescent="0.3">
      <c r="A440" s="32" t="b">
        <v>1</v>
      </c>
      <c r="B440" s="33" t="str">
        <f t="shared" si="69"/>
        <v>업적설명 - 장비아이템 랜덤옵션변경을 800회 변경하세요</v>
      </c>
      <c r="C440" s="14">
        <f t="shared" si="67"/>
        <v>52710</v>
      </c>
      <c r="D440" s="33" t="str">
        <f t="shared" si="70"/>
        <v>장비아이템 랜덤옵션변경을 800회 변경하세요</v>
      </c>
      <c r="E440" s="33" t="str">
        <f t="shared" si="66"/>
        <v>Use random option change to gear 800 times</v>
      </c>
      <c r="F440" s="33" t="str">
        <f t="shared" si="71"/>
        <v>장비아이템 랜덤옵션변경을 800회 변경하세요</v>
      </c>
      <c r="H440" s="32">
        <f>Achievement!J415</f>
        <v>800</v>
      </c>
    </row>
    <row r="441" spans="1:8" x14ac:dyDescent="0.3">
      <c r="A441" s="32" t="b">
        <v>1</v>
      </c>
      <c r="B441" s="33" t="str">
        <f t="shared" si="69"/>
        <v>업적설명 - 장비아이템 랜덤옵션변경을 850회 변경하세요</v>
      </c>
      <c r="C441" s="14">
        <f t="shared" si="67"/>
        <v>52711</v>
      </c>
      <c r="D441" s="33" t="str">
        <f t="shared" si="70"/>
        <v>장비아이템 랜덤옵션변경을 850회 변경하세요</v>
      </c>
      <c r="E441" s="33" t="str">
        <f t="shared" si="66"/>
        <v>Use random option change to gear 850 times</v>
      </c>
      <c r="F441" s="33" t="str">
        <f t="shared" si="71"/>
        <v>장비아이템 랜덤옵션변경을 850회 변경하세요</v>
      </c>
      <c r="H441" s="32">
        <f>Achievement!J416</f>
        <v>850</v>
      </c>
    </row>
    <row r="442" spans="1:8" x14ac:dyDescent="0.3">
      <c r="A442" s="32" t="b">
        <v>1</v>
      </c>
      <c r="B442" s="33" t="str">
        <f t="shared" si="69"/>
        <v>업적설명 - 장비아이템 랜덤옵션변경을 900회 변경하세요</v>
      </c>
      <c r="C442" s="14">
        <f t="shared" si="67"/>
        <v>52712</v>
      </c>
      <c r="D442" s="33" t="str">
        <f t="shared" si="70"/>
        <v>장비아이템 랜덤옵션변경을 900회 변경하세요</v>
      </c>
      <c r="E442" s="33" t="str">
        <f t="shared" si="66"/>
        <v>Use random option change to gear 900 times</v>
      </c>
      <c r="F442" s="33" t="str">
        <f t="shared" si="71"/>
        <v>장비아이템 랜덤옵션변경을 900회 변경하세요</v>
      </c>
      <c r="H442" s="32">
        <f>Achievement!J417</f>
        <v>900</v>
      </c>
    </row>
    <row r="443" spans="1:8" x14ac:dyDescent="0.3">
      <c r="A443" s="32" t="b">
        <v>1</v>
      </c>
      <c r="B443" s="33" t="str">
        <f t="shared" si="69"/>
        <v>업적설명 - 장비아이템 랜덤옵션변경을 950회 변경하세요</v>
      </c>
      <c r="C443" s="14">
        <f t="shared" si="67"/>
        <v>52713</v>
      </c>
      <c r="D443" s="33" t="str">
        <f t="shared" si="70"/>
        <v>장비아이템 랜덤옵션변경을 950회 변경하세요</v>
      </c>
      <c r="E443" s="33" t="str">
        <f t="shared" si="66"/>
        <v>Use random option change to gear 950 times</v>
      </c>
      <c r="F443" s="33" t="str">
        <f t="shared" si="71"/>
        <v>장비아이템 랜덤옵션변경을 950회 변경하세요</v>
      </c>
      <c r="H443" s="32">
        <f>Achievement!J418</f>
        <v>950</v>
      </c>
    </row>
    <row r="444" spans="1:8" x14ac:dyDescent="0.3">
      <c r="A444" s="32" t="b">
        <v>1</v>
      </c>
      <c r="B444" s="33" t="str">
        <f t="shared" si="69"/>
        <v>업적설명 - 장비아이템 랜덤옵션변경을 1000회 변경하세요</v>
      </c>
      <c r="C444" s="14">
        <f t="shared" si="67"/>
        <v>52714</v>
      </c>
      <c r="D444" s="33" t="str">
        <f t="shared" si="70"/>
        <v>장비아이템 랜덤옵션변경을 1000회 변경하세요</v>
      </c>
      <c r="E444" s="33" t="str">
        <f t="shared" si="66"/>
        <v>Use random option change to gear 1000 times</v>
      </c>
      <c r="F444" s="33" t="str">
        <f t="shared" si="71"/>
        <v>장비아이템 랜덤옵션변경을 1000회 변경하세요</v>
      </c>
      <c r="H444" s="32">
        <f>Achievement!J419</f>
        <v>1000</v>
      </c>
    </row>
  </sheetData>
  <phoneticPr fontId="21" type="noConversion"/>
  <pageMargins left="0.7" right="0.7" top="0.75" bottom="0.75" header="0.3" footer="0.3"/>
  <ignoredErrors>
    <ignoredError sqref="E2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workbookViewId="0">
      <pane xSplit="1" ySplit="4" topLeftCell="B5" activePane="bottomRight" state="frozen"/>
      <selection pane="topRight" activeCell="D1" sqref="D1"/>
      <selection pane="bottomLeft" activeCell="A6" sqref="A6"/>
      <selection pane="bottomRight" activeCell="B15" sqref="B15"/>
    </sheetView>
  </sheetViews>
  <sheetFormatPr defaultColWidth="9" defaultRowHeight="16.5" customHeight="1" x14ac:dyDescent="0.3"/>
  <cols>
    <col min="1" max="1" width="38.5" style="2" bestFit="1" customWidth="1"/>
    <col min="2" max="2" width="12.75" style="2" bestFit="1" customWidth="1"/>
    <col min="3" max="3" width="12.125" style="2" customWidth="1"/>
    <col min="4" max="4" width="16.5" style="1" customWidth="1"/>
    <col min="5" max="5" width="10.5" style="2" customWidth="1"/>
    <col min="6" max="6" width="3.625" style="1" customWidth="1"/>
    <col min="7" max="8" width="9" style="1"/>
    <col min="9" max="10" width="9.625" style="1" bestFit="1" customWidth="1"/>
    <col min="11" max="11" width="9" style="1"/>
    <col min="12" max="12" width="10.5" style="1" bestFit="1" customWidth="1"/>
    <col min="13" max="16384" width="9" style="1"/>
  </cols>
  <sheetData>
    <row r="1" spans="1:12" ht="16.5" customHeight="1" x14ac:dyDescent="0.3">
      <c r="B1" s="5"/>
      <c r="C1" s="10"/>
      <c r="E1" s="10"/>
      <c r="G1" s="111" t="s">
        <v>252</v>
      </c>
      <c r="H1" s="112"/>
      <c r="I1" s="113" t="s">
        <v>251</v>
      </c>
      <c r="J1" s="114"/>
      <c r="K1" s="115" t="s">
        <v>253</v>
      </c>
      <c r="L1" s="116"/>
    </row>
    <row r="2" spans="1:12" ht="16.5" customHeight="1" x14ac:dyDescent="0.3">
      <c r="A2" s="4" t="s">
        <v>22</v>
      </c>
      <c r="B2" s="5"/>
      <c r="C2" s="10"/>
      <c r="E2" s="10"/>
      <c r="G2" s="66" t="s">
        <v>257</v>
      </c>
      <c r="H2" s="66" t="s">
        <v>258</v>
      </c>
      <c r="I2" s="67" t="s">
        <v>257</v>
      </c>
      <c r="J2" s="67" t="s">
        <v>258</v>
      </c>
      <c r="K2" s="68" t="s">
        <v>257</v>
      </c>
      <c r="L2" s="68" t="s">
        <v>258</v>
      </c>
    </row>
    <row r="3" spans="1:12" ht="16.5" customHeight="1" x14ac:dyDescent="0.3">
      <c r="A3" s="5"/>
      <c r="B3" s="5"/>
      <c r="C3" s="10"/>
      <c r="E3" s="10"/>
      <c r="G3" s="64">
        <f>SUMIF($E5:$E448,G2,G5:G448)</f>
        <v>2975</v>
      </c>
      <c r="H3" s="64">
        <f>SUMIF($E5:$E448,H2,G5:G448)</f>
        <v>445000</v>
      </c>
      <c r="I3" s="64">
        <f>SUMIF($E5:$E448,I2,H5:H448)</f>
        <v>5360</v>
      </c>
      <c r="J3" s="64">
        <f>SUMIF($E5:$E448,J2,H5:H448)</f>
        <v>2187500</v>
      </c>
      <c r="K3" s="64">
        <f>SUMIF($E5:$E448,K2,I5:I448)</f>
        <v>10590</v>
      </c>
      <c r="L3" s="64">
        <f>SUMIF($E5:$E448,L2,I5:I448)</f>
        <v>6102500</v>
      </c>
    </row>
    <row r="4" spans="1:12" ht="16.5" customHeight="1" x14ac:dyDescent="0.3">
      <c r="A4" s="13" t="s">
        <v>10</v>
      </c>
      <c r="B4" s="13" t="s">
        <v>50</v>
      </c>
      <c r="C4" s="13" t="s">
        <v>13</v>
      </c>
      <c r="D4" s="13" t="s">
        <v>240</v>
      </c>
      <c r="E4" s="11" t="s">
        <v>14</v>
      </c>
      <c r="G4" s="69" t="s">
        <v>254</v>
      </c>
      <c r="H4" s="70" t="s">
        <v>255</v>
      </c>
      <c r="I4" s="71" t="s">
        <v>256</v>
      </c>
    </row>
    <row r="5" spans="1:12" ht="16.5" customHeight="1" x14ac:dyDescent="0.3">
      <c r="A5" s="38" t="str">
        <f t="shared" ref="A5:A44" si="0">"업적 - 캐릭터 레벨 달성 " &amp; "Lv." &amp; B5</f>
        <v>업적 - 캐릭터 레벨 달성 Lv.5</v>
      </c>
      <c r="B5" s="37">
        <v>5</v>
      </c>
      <c r="C5" s="37">
        <v>5</v>
      </c>
      <c r="D5" s="37">
        <f>'Achievement Reward List'!F3</f>
        <v>5</v>
      </c>
      <c r="E5" s="37" t="s">
        <v>20</v>
      </c>
      <c r="G5" s="118">
        <f>SUM(D5:D14)</f>
        <v>275</v>
      </c>
      <c r="H5" s="118">
        <f>SUM(D5:D14)</f>
        <v>275</v>
      </c>
      <c r="I5" s="118">
        <f>SUM(D5:D14)</f>
        <v>275</v>
      </c>
    </row>
    <row r="6" spans="1:12" ht="16.5" customHeight="1" x14ac:dyDescent="0.3">
      <c r="A6" s="38" t="str">
        <f t="shared" si="0"/>
        <v>업적 - 캐릭터 레벨 달성 Lv.10</v>
      </c>
      <c r="B6" s="37">
        <f>B5+B$5</f>
        <v>10</v>
      </c>
      <c r="C6" s="37">
        <f>C5+5</f>
        <v>10</v>
      </c>
      <c r="D6" s="37">
        <f>D5+5</f>
        <v>10</v>
      </c>
      <c r="E6" s="37" t="s">
        <v>20</v>
      </c>
      <c r="G6" s="118"/>
      <c r="H6" s="118"/>
      <c r="I6" s="118"/>
    </row>
    <row r="7" spans="1:12" ht="16.5" customHeight="1" x14ac:dyDescent="0.3">
      <c r="A7" s="38" t="str">
        <f t="shared" si="0"/>
        <v>업적 - 캐릭터 레벨 달성 Lv.15</v>
      </c>
      <c r="B7" s="37">
        <f t="shared" ref="B7:B14" si="1">B6+B$5</f>
        <v>15</v>
      </c>
      <c r="C7" s="37">
        <f t="shared" ref="C7:C14" si="2">C6+5</f>
        <v>15</v>
      </c>
      <c r="D7" s="37">
        <f t="shared" ref="D7:D14" si="3">D6+5</f>
        <v>15</v>
      </c>
      <c r="E7" s="37" t="s">
        <v>20</v>
      </c>
      <c r="G7" s="118"/>
      <c r="H7" s="118"/>
      <c r="I7" s="118"/>
    </row>
    <row r="8" spans="1:12" ht="16.5" customHeight="1" x14ac:dyDescent="0.3">
      <c r="A8" s="38" t="str">
        <f t="shared" si="0"/>
        <v>업적 - 캐릭터 레벨 달성 Lv.20</v>
      </c>
      <c r="B8" s="37">
        <f t="shared" si="1"/>
        <v>20</v>
      </c>
      <c r="C8" s="37">
        <f t="shared" si="2"/>
        <v>20</v>
      </c>
      <c r="D8" s="37">
        <f t="shared" si="3"/>
        <v>20</v>
      </c>
      <c r="E8" s="37" t="s">
        <v>20</v>
      </c>
      <c r="G8" s="118"/>
      <c r="H8" s="118"/>
      <c r="I8" s="118"/>
    </row>
    <row r="9" spans="1:12" ht="16.5" customHeight="1" x14ac:dyDescent="0.3">
      <c r="A9" s="38" t="str">
        <f t="shared" si="0"/>
        <v>업적 - 캐릭터 레벨 달성 Lv.25</v>
      </c>
      <c r="B9" s="37">
        <f t="shared" si="1"/>
        <v>25</v>
      </c>
      <c r="C9" s="37">
        <f t="shared" si="2"/>
        <v>25</v>
      </c>
      <c r="D9" s="37">
        <f t="shared" si="3"/>
        <v>25</v>
      </c>
      <c r="E9" s="37" t="s">
        <v>20</v>
      </c>
      <c r="G9" s="118"/>
      <c r="H9" s="118"/>
      <c r="I9" s="118"/>
    </row>
    <row r="10" spans="1:12" ht="16.5" customHeight="1" x14ac:dyDescent="0.3">
      <c r="A10" s="38" t="str">
        <f t="shared" si="0"/>
        <v>업적 - 캐릭터 레벨 달성 Lv.30</v>
      </c>
      <c r="B10" s="37">
        <f t="shared" si="1"/>
        <v>30</v>
      </c>
      <c r="C10" s="37">
        <f t="shared" si="2"/>
        <v>30</v>
      </c>
      <c r="D10" s="37">
        <f t="shared" si="3"/>
        <v>30</v>
      </c>
      <c r="E10" s="37" t="s">
        <v>20</v>
      </c>
      <c r="G10" s="118"/>
      <c r="H10" s="118"/>
      <c r="I10" s="118"/>
    </row>
    <row r="11" spans="1:12" ht="16.5" customHeight="1" x14ac:dyDescent="0.3">
      <c r="A11" s="38" t="str">
        <f t="shared" si="0"/>
        <v>업적 - 캐릭터 레벨 달성 Lv.35</v>
      </c>
      <c r="B11" s="37">
        <f t="shared" si="1"/>
        <v>35</v>
      </c>
      <c r="C11" s="37">
        <f t="shared" si="2"/>
        <v>35</v>
      </c>
      <c r="D11" s="37">
        <f t="shared" si="3"/>
        <v>35</v>
      </c>
      <c r="E11" s="37" t="s">
        <v>20</v>
      </c>
      <c r="G11" s="118"/>
      <c r="H11" s="118"/>
      <c r="I11" s="118"/>
    </row>
    <row r="12" spans="1:12" ht="16.5" customHeight="1" x14ac:dyDescent="0.3">
      <c r="A12" s="38" t="str">
        <f t="shared" si="0"/>
        <v>업적 - 캐릭터 레벨 달성 Lv.40</v>
      </c>
      <c r="B12" s="37">
        <f t="shared" si="1"/>
        <v>40</v>
      </c>
      <c r="C12" s="37">
        <f t="shared" si="2"/>
        <v>40</v>
      </c>
      <c r="D12" s="37">
        <f t="shared" si="3"/>
        <v>40</v>
      </c>
      <c r="E12" s="37" t="s">
        <v>20</v>
      </c>
      <c r="G12" s="118"/>
      <c r="H12" s="118"/>
      <c r="I12" s="118"/>
    </row>
    <row r="13" spans="1:12" ht="16.5" customHeight="1" x14ac:dyDescent="0.3">
      <c r="A13" s="38" t="str">
        <f t="shared" si="0"/>
        <v>업적 - 캐릭터 레벨 달성 Lv.45</v>
      </c>
      <c r="B13" s="37">
        <f t="shared" si="1"/>
        <v>45</v>
      </c>
      <c r="C13" s="37">
        <f t="shared" si="2"/>
        <v>45</v>
      </c>
      <c r="D13" s="37">
        <f t="shared" si="3"/>
        <v>45</v>
      </c>
      <c r="E13" s="37" t="s">
        <v>20</v>
      </c>
      <c r="G13" s="118"/>
      <c r="H13" s="118"/>
      <c r="I13" s="118"/>
    </row>
    <row r="14" spans="1:12" ht="16.5" customHeight="1" x14ac:dyDescent="0.3">
      <c r="A14" s="38" t="str">
        <f t="shared" si="0"/>
        <v>업적 - 캐릭터 레벨 달성 Lv.50</v>
      </c>
      <c r="B14" s="37">
        <f t="shared" si="1"/>
        <v>50</v>
      </c>
      <c r="C14" s="37">
        <f t="shared" si="2"/>
        <v>50</v>
      </c>
      <c r="D14" s="37">
        <f t="shared" si="3"/>
        <v>50</v>
      </c>
      <c r="E14" s="37" t="s">
        <v>20</v>
      </c>
      <c r="G14" s="118"/>
      <c r="H14" s="118"/>
      <c r="I14" s="118"/>
    </row>
    <row r="15" spans="1:12" ht="16.5" customHeight="1" x14ac:dyDescent="0.3">
      <c r="A15" s="40" t="str">
        <f t="shared" si="0"/>
        <v>업적 - 캐릭터 레벨 달성 Lv.5</v>
      </c>
      <c r="B15" s="35">
        <v>5</v>
      </c>
      <c r="C15" s="35">
        <f>C5</f>
        <v>5</v>
      </c>
      <c r="D15" s="47">
        <f t="shared" ref="D15" si="4">D5</f>
        <v>5</v>
      </c>
      <c r="E15" s="35" t="s">
        <v>20</v>
      </c>
      <c r="G15" s="118"/>
      <c r="H15" s="118"/>
      <c r="I15" s="118">
        <f>SUM(D15:D24)</f>
        <v>275</v>
      </c>
    </row>
    <row r="16" spans="1:12" ht="16.5" customHeight="1" x14ac:dyDescent="0.3">
      <c r="A16" s="40" t="str">
        <f t="shared" si="0"/>
        <v>업적 - 캐릭터 레벨 달성 Lv.10</v>
      </c>
      <c r="B16" s="35">
        <f>B15+B$5</f>
        <v>10</v>
      </c>
      <c r="C16" s="35">
        <f t="shared" ref="C16:C24" si="5">C6</f>
        <v>10</v>
      </c>
      <c r="D16" s="47">
        <f>D6</f>
        <v>10</v>
      </c>
      <c r="E16" s="35" t="s">
        <v>20</v>
      </c>
      <c r="G16" s="118"/>
      <c r="H16" s="118"/>
      <c r="I16" s="118"/>
    </row>
    <row r="17" spans="1:9" ht="16.5" customHeight="1" x14ac:dyDescent="0.3">
      <c r="A17" s="40" t="str">
        <f t="shared" si="0"/>
        <v>업적 - 캐릭터 레벨 달성 Lv.15</v>
      </c>
      <c r="B17" s="35">
        <f t="shared" ref="B17:B24" si="6">B16+B$5</f>
        <v>15</v>
      </c>
      <c r="C17" s="35">
        <f t="shared" si="5"/>
        <v>15</v>
      </c>
      <c r="D17" s="47">
        <f t="shared" ref="D17:D44" si="7">D7</f>
        <v>15</v>
      </c>
      <c r="E17" s="35" t="s">
        <v>20</v>
      </c>
      <c r="G17" s="118"/>
      <c r="H17" s="118"/>
      <c r="I17" s="118"/>
    </row>
    <row r="18" spans="1:9" ht="16.5" customHeight="1" x14ac:dyDescent="0.3">
      <c r="A18" s="40" t="str">
        <f t="shared" si="0"/>
        <v>업적 - 캐릭터 레벨 달성 Lv.20</v>
      </c>
      <c r="B18" s="35">
        <f t="shared" si="6"/>
        <v>20</v>
      </c>
      <c r="C18" s="35">
        <f t="shared" si="5"/>
        <v>20</v>
      </c>
      <c r="D18" s="47">
        <f t="shared" si="7"/>
        <v>20</v>
      </c>
      <c r="E18" s="35" t="s">
        <v>20</v>
      </c>
      <c r="G18" s="118"/>
      <c r="H18" s="118"/>
      <c r="I18" s="118"/>
    </row>
    <row r="19" spans="1:9" ht="16.5" customHeight="1" x14ac:dyDescent="0.3">
      <c r="A19" s="40" t="str">
        <f t="shared" si="0"/>
        <v>업적 - 캐릭터 레벨 달성 Lv.25</v>
      </c>
      <c r="B19" s="35">
        <f t="shared" si="6"/>
        <v>25</v>
      </c>
      <c r="C19" s="35">
        <f t="shared" si="5"/>
        <v>25</v>
      </c>
      <c r="D19" s="47">
        <f t="shared" si="7"/>
        <v>25</v>
      </c>
      <c r="E19" s="35" t="s">
        <v>20</v>
      </c>
      <c r="G19" s="118"/>
      <c r="H19" s="118"/>
      <c r="I19" s="118"/>
    </row>
    <row r="20" spans="1:9" ht="16.5" customHeight="1" x14ac:dyDescent="0.3">
      <c r="A20" s="40" t="str">
        <f t="shared" si="0"/>
        <v>업적 - 캐릭터 레벨 달성 Lv.30</v>
      </c>
      <c r="B20" s="35">
        <f t="shared" si="6"/>
        <v>30</v>
      </c>
      <c r="C20" s="35">
        <f t="shared" si="5"/>
        <v>30</v>
      </c>
      <c r="D20" s="47">
        <f t="shared" si="7"/>
        <v>30</v>
      </c>
      <c r="E20" s="35" t="s">
        <v>20</v>
      </c>
      <c r="G20" s="118"/>
      <c r="H20" s="118"/>
      <c r="I20" s="118"/>
    </row>
    <row r="21" spans="1:9" ht="16.5" customHeight="1" x14ac:dyDescent="0.3">
      <c r="A21" s="40" t="str">
        <f t="shared" si="0"/>
        <v>업적 - 캐릭터 레벨 달성 Lv.35</v>
      </c>
      <c r="B21" s="35">
        <f t="shared" si="6"/>
        <v>35</v>
      </c>
      <c r="C21" s="35">
        <f t="shared" si="5"/>
        <v>35</v>
      </c>
      <c r="D21" s="47">
        <f t="shared" si="7"/>
        <v>35</v>
      </c>
      <c r="E21" s="35" t="s">
        <v>20</v>
      </c>
      <c r="G21" s="118"/>
      <c r="H21" s="118"/>
      <c r="I21" s="118"/>
    </row>
    <row r="22" spans="1:9" ht="16.5" customHeight="1" x14ac:dyDescent="0.3">
      <c r="A22" s="40" t="str">
        <f t="shared" si="0"/>
        <v>업적 - 캐릭터 레벨 달성 Lv.40</v>
      </c>
      <c r="B22" s="35">
        <f t="shared" si="6"/>
        <v>40</v>
      </c>
      <c r="C22" s="35">
        <f t="shared" si="5"/>
        <v>40</v>
      </c>
      <c r="D22" s="47">
        <f t="shared" si="7"/>
        <v>40</v>
      </c>
      <c r="E22" s="35" t="s">
        <v>20</v>
      </c>
      <c r="G22" s="118"/>
      <c r="H22" s="118"/>
      <c r="I22" s="118"/>
    </row>
    <row r="23" spans="1:9" ht="16.5" customHeight="1" x14ac:dyDescent="0.3">
      <c r="A23" s="40" t="str">
        <f t="shared" si="0"/>
        <v>업적 - 캐릭터 레벨 달성 Lv.45</v>
      </c>
      <c r="B23" s="35">
        <f t="shared" si="6"/>
        <v>45</v>
      </c>
      <c r="C23" s="35">
        <f t="shared" si="5"/>
        <v>45</v>
      </c>
      <c r="D23" s="47">
        <f t="shared" si="7"/>
        <v>45</v>
      </c>
      <c r="E23" s="35" t="s">
        <v>20</v>
      </c>
      <c r="G23" s="118"/>
      <c r="H23" s="118"/>
      <c r="I23" s="118"/>
    </row>
    <row r="24" spans="1:9" ht="16.5" customHeight="1" x14ac:dyDescent="0.3">
      <c r="A24" s="40" t="str">
        <f t="shared" si="0"/>
        <v>업적 - 캐릭터 레벨 달성 Lv.50</v>
      </c>
      <c r="B24" s="35">
        <f t="shared" si="6"/>
        <v>50</v>
      </c>
      <c r="C24" s="35">
        <f t="shared" si="5"/>
        <v>50</v>
      </c>
      <c r="D24" s="47">
        <f t="shared" si="7"/>
        <v>50</v>
      </c>
      <c r="E24" s="35" t="s">
        <v>20</v>
      </c>
      <c r="G24" s="118"/>
      <c r="H24" s="118"/>
      <c r="I24" s="118"/>
    </row>
    <row r="25" spans="1:9" ht="16.5" customHeight="1" x14ac:dyDescent="0.3">
      <c r="A25" s="38" t="str">
        <f t="shared" si="0"/>
        <v>업적 - 캐릭터 레벨 달성 Lv.5</v>
      </c>
      <c r="B25" s="37">
        <v>5</v>
      </c>
      <c r="C25" s="37">
        <f>C15</f>
        <v>5</v>
      </c>
      <c r="D25" s="47">
        <f t="shared" si="7"/>
        <v>5</v>
      </c>
      <c r="E25" s="37" t="s">
        <v>20</v>
      </c>
      <c r="G25" s="118"/>
      <c r="H25" s="118"/>
      <c r="I25" s="118">
        <f>SUM(D25:D34)</f>
        <v>275</v>
      </c>
    </row>
    <row r="26" spans="1:9" ht="16.5" customHeight="1" x14ac:dyDescent="0.3">
      <c r="A26" s="38" t="str">
        <f t="shared" si="0"/>
        <v>업적 - 캐릭터 레벨 달성 Lv.10</v>
      </c>
      <c r="B26" s="37">
        <f>B25+B$5</f>
        <v>10</v>
      </c>
      <c r="C26" s="37">
        <f t="shared" ref="C26:C44" si="8">C16</f>
        <v>10</v>
      </c>
      <c r="D26" s="47">
        <f t="shared" si="7"/>
        <v>10</v>
      </c>
      <c r="E26" s="37" t="s">
        <v>20</v>
      </c>
      <c r="G26" s="118"/>
      <c r="H26" s="118"/>
      <c r="I26" s="118"/>
    </row>
    <row r="27" spans="1:9" ht="16.5" customHeight="1" x14ac:dyDescent="0.3">
      <c r="A27" s="38" t="str">
        <f t="shared" si="0"/>
        <v>업적 - 캐릭터 레벨 달성 Lv.15</v>
      </c>
      <c r="B27" s="37">
        <f t="shared" ref="B27:B34" si="9">B26+B$5</f>
        <v>15</v>
      </c>
      <c r="C27" s="37">
        <f t="shared" si="8"/>
        <v>15</v>
      </c>
      <c r="D27" s="47">
        <f t="shared" si="7"/>
        <v>15</v>
      </c>
      <c r="E27" s="37" t="s">
        <v>20</v>
      </c>
      <c r="G27" s="118"/>
      <c r="H27" s="118"/>
      <c r="I27" s="118"/>
    </row>
    <row r="28" spans="1:9" ht="16.5" customHeight="1" x14ac:dyDescent="0.3">
      <c r="A28" s="38" t="str">
        <f t="shared" si="0"/>
        <v>업적 - 캐릭터 레벨 달성 Lv.20</v>
      </c>
      <c r="B28" s="37">
        <f t="shared" si="9"/>
        <v>20</v>
      </c>
      <c r="C28" s="37">
        <f t="shared" si="8"/>
        <v>20</v>
      </c>
      <c r="D28" s="47">
        <f t="shared" si="7"/>
        <v>20</v>
      </c>
      <c r="E28" s="37" t="s">
        <v>20</v>
      </c>
      <c r="G28" s="118"/>
      <c r="H28" s="118"/>
      <c r="I28" s="118"/>
    </row>
    <row r="29" spans="1:9" ht="16.5" customHeight="1" x14ac:dyDescent="0.3">
      <c r="A29" s="38" t="str">
        <f t="shared" si="0"/>
        <v>업적 - 캐릭터 레벨 달성 Lv.25</v>
      </c>
      <c r="B29" s="37">
        <f t="shared" si="9"/>
        <v>25</v>
      </c>
      <c r="C29" s="37">
        <f t="shared" si="8"/>
        <v>25</v>
      </c>
      <c r="D29" s="47">
        <f t="shared" si="7"/>
        <v>25</v>
      </c>
      <c r="E29" s="37" t="s">
        <v>20</v>
      </c>
      <c r="G29" s="118"/>
      <c r="H29" s="118"/>
      <c r="I29" s="118"/>
    </row>
    <row r="30" spans="1:9" ht="16.5" customHeight="1" x14ac:dyDescent="0.3">
      <c r="A30" s="38" t="str">
        <f t="shared" si="0"/>
        <v>업적 - 캐릭터 레벨 달성 Lv.30</v>
      </c>
      <c r="B30" s="37">
        <f t="shared" si="9"/>
        <v>30</v>
      </c>
      <c r="C30" s="37">
        <f t="shared" si="8"/>
        <v>30</v>
      </c>
      <c r="D30" s="47">
        <f t="shared" si="7"/>
        <v>30</v>
      </c>
      <c r="E30" s="37" t="s">
        <v>20</v>
      </c>
      <c r="G30" s="118"/>
      <c r="H30" s="118"/>
      <c r="I30" s="118"/>
    </row>
    <row r="31" spans="1:9" ht="16.5" customHeight="1" x14ac:dyDescent="0.3">
      <c r="A31" s="38" t="str">
        <f t="shared" si="0"/>
        <v>업적 - 캐릭터 레벨 달성 Lv.35</v>
      </c>
      <c r="B31" s="37">
        <f t="shared" si="9"/>
        <v>35</v>
      </c>
      <c r="C31" s="37">
        <f t="shared" si="8"/>
        <v>35</v>
      </c>
      <c r="D31" s="47">
        <f t="shared" si="7"/>
        <v>35</v>
      </c>
      <c r="E31" s="37" t="s">
        <v>20</v>
      </c>
      <c r="G31" s="118"/>
      <c r="H31" s="118"/>
      <c r="I31" s="118"/>
    </row>
    <row r="32" spans="1:9" ht="16.5" customHeight="1" x14ac:dyDescent="0.3">
      <c r="A32" s="38" t="str">
        <f t="shared" si="0"/>
        <v>업적 - 캐릭터 레벨 달성 Lv.40</v>
      </c>
      <c r="B32" s="37">
        <f t="shared" si="9"/>
        <v>40</v>
      </c>
      <c r="C32" s="37">
        <f t="shared" si="8"/>
        <v>40</v>
      </c>
      <c r="D32" s="47">
        <f t="shared" si="7"/>
        <v>40</v>
      </c>
      <c r="E32" s="37" t="s">
        <v>20</v>
      </c>
      <c r="G32" s="118"/>
      <c r="H32" s="118"/>
      <c r="I32" s="118"/>
    </row>
    <row r="33" spans="1:9" ht="16.5" customHeight="1" x14ac:dyDescent="0.3">
      <c r="A33" s="38" t="str">
        <f t="shared" si="0"/>
        <v>업적 - 캐릭터 레벨 달성 Lv.45</v>
      </c>
      <c r="B33" s="37">
        <f t="shared" si="9"/>
        <v>45</v>
      </c>
      <c r="C33" s="37">
        <f t="shared" si="8"/>
        <v>45</v>
      </c>
      <c r="D33" s="47">
        <f t="shared" si="7"/>
        <v>45</v>
      </c>
      <c r="E33" s="37" t="s">
        <v>20</v>
      </c>
      <c r="G33" s="118"/>
      <c r="H33" s="118"/>
      <c r="I33" s="118"/>
    </row>
    <row r="34" spans="1:9" ht="16.5" customHeight="1" x14ac:dyDescent="0.3">
      <c r="A34" s="38" t="str">
        <f t="shared" si="0"/>
        <v>업적 - 캐릭터 레벨 달성 Lv.50</v>
      </c>
      <c r="B34" s="37">
        <f t="shared" si="9"/>
        <v>50</v>
      </c>
      <c r="C34" s="37">
        <f t="shared" si="8"/>
        <v>50</v>
      </c>
      <c r="D34" s="47">
        <f t="shared" si="7"/>
        <v>50</v>
      </c>
      <c r="E34" s="37" t="s">
        <v>20</v>
      </c>
      <c r="G34" s="118"/>
      <c r="H34" s="118"/>
      <c r="I34" s="118"/>
    </row>
    <row r="35" spans="1:9" ht="16.5" customHeight="1" x14ac:dyDescent="0.3">
      <c r="A35" s="40" t="str">
        <f t="shared" si="0"/>
        <v>업적 - 캐릭터 레벨 달성 Lv.5</v>
      </c>
      <c r="B35" s="35">
        <v>5</v>
      </c>
      <c r="C35" s="35">
        <f t="shared" si="8"/>
        <v>5</v>
      </c>
      <c r="D35" s="47">
        <f t="shared" si="7"/>
        <v>5</v>
      </c>
      <c r="E35" s="35" t="s">
        <v>20</v>
      </c>
      <c r="G35" s="118"/>
      <c r="H35" s="118"/>
      <c r="I35" s="118">
        <f>SUM(D35:D44)</f>
        <v>275</v>
      </c>
    </row>
    <row r="36" spans="1:9" ht="16.5" customHeight="1" x14ac:dyDescent="0.3">
      <c r="A36" s="40" t="str">
        <f t="shared" si="0"/>
        <v>업적 - 캐릭터 레벨 달성 Lv.10</v>
      </c>
      <c r="B36" s="35">
        <f>B35+B$5</f>
        <v>10</v>
      </c>
      <c r="C36" s="35">
        <f t="shared" si="8"/>
        <v>10</v>
      </c>
      <c r="D36" s="47">
        <f t="shared" si="7"/>
        <v>10</v>
      </c>
      <c r="E36" s="35" t="s">
        <v>20</v>
      </c>
      <c r="G36" s="118"/>
      <c r="H36" s="118"/>
      <c r="I36" s="118"/>
    </row>
    <row r="37" spans="1:9" ht="16.5" customHeight="1" x14ac:dyDescent="0.3">
      <c r="A37" s="40" t="str">
        <f t="shared" si="0"/>
        <v>업적 - 캐릭터 레벨 달성 Lv.15</v>
      </c>
      <c r="B37" s="35">
        <f t="shared" ref="B37:B44" si="10">B36+B$5</f>
        <v>15</v>
      </c>
      <c r="C37" s="35">
        <f t="shared" si="8"/>
        <v>15</v>
      </c>
      <c r="D37" s="47">
        <f t="shared" si="7"/>
        <v>15</v>
      </c>
      <c r="E37" s="35" t="s">
        <v>20</v>
      </c>
      <c r="G37" s="118"/>
      <c r="H37" s="118"/>
      <c r="I37" s="118"/>
    </row>
    <row r="38" spans="1:9" ht="16.5" customHeight="1" x14ac:dyDescent="0.3">
      <c r="A38" s="40" t="str">
        <f t="shared" si="0"/>
        <v>업적 - 캐릭터 레벨 달성 Lv.20</v>
      </c>
      <c r="B38" s="35">
        <f t="shared" si="10"/>
        <v>20</v>
      </c>
      <c r="C38" s="35">
        <f t="shared" si="8"/>
        <v>20</v>
      </c>
      <c r="D38" s="47">
        <f t="shared" si="7"/>
        <v>20</v>
      </c>
      <c r="E38" s="35" t="s">
        <v>20</v>
      </c>
      <c r="G38" s="118"/>
      <c r="H38" s="118"/>
      <c r="I38" s="118"/>
    </row>
    <row r="39" spans="1:9" ht="16.5" customHeight="1" x14ac:dyDescent="0.3">
      <c r="A39" s="40" t="str">
        <f t="shared" si="0"/>
        <v>업적 - 캐릭터 레벨 달성 Lv.25</v>
      </c>
      <c r="B39" s="35">
        <f t="shared" si="10"/>
        <v>25</v>
      </c>
      <c r="C39" s="35">
        <f t="shared" si="8"/>
        <v>25</v>
      </c>
      <c r="D39" s="47">
        <f t="shared" si="7"/>
        <v>25</v>
      </c>
      <c r="E39" s="35" t="s">
        <v>20</v>
      </c>
      <c r="G39" s="118"/>
      <c r="H39" s="118"/>
      <c r="I39" s="118"/>
    </row>
    <row r="40" spans="1:9" ht="16.5" customHeight="1" x14ac:dyDescent="0.3">
      <c r="A40" s="40" t="str">
        <f t="shared" si="0"/>
        <v>업적 - 캐릭터 레벨 달성 Lv.30</v>
      </c>
      <c r="B40" s="35">
        <f t="shared" si="10"/>
        <v>30</v>
      </c>
      <c r="C40" s="35">
        <f t="shared" si="8"/>
        <v>30</v>
      </c>
      <c r="D40" s="47">
        <f t="shared" si="7"/>
        <v>30</v>
      </c>
      <c r="E40" s="35" t="s">
        <v>20</v>
      </c>
      <c r="G40" s="118"/>
      <c r="H40" s="118"/>
      <c r="I40" s="118"/>
    </row>
    <row r="41" spans="1:9" ht="16.5" customHeight="1" x14ac:dyDescent="0.3">
      <c r="A41" s="40" t="str">
        <f t="shared" si="0"/>
        <v>업적 - 캐릭터 레벨 달성 Lv.35</v>
      </c>
      <c r="B41" s="35">
        <f t="shared" si="10"/>
        <v>35</v>
      </c>
      <c r="C41" s="35">
        <f t="shared" si="8"/>
        <v>35</v>
      </c>
      <c r="D41" s="47">
        <f t="shared" si="7"/>
        <v>35</v>
      </c>
      <c r="E41" s="35" t="s">
        <v>20</v>
      </c>
      <c r="G41" s="118"/>
      <c r="H41" s="118"/>
      <c r="I41" s="118"/>
    </row>
    <row r="42" spans="1:9" ht="16.5" customHeight="1" x14ac:dyDescent="0.3">
      <c r="A42" s="40" t="str">
        <f t="shared" si="0"/>
        <v>업적 - 캐릭터 레벨 달성 Lv.40</v>
      </c>
      <c r="B42" s="35">
        <f t="shared" si="10"/>
        <v>40</v>
      </c>
      <c r="C42" s="35">
        <f t="shared" si="8"/>
        <v>40</v>
      </c>
      <c r="D42" s="47">
        <f t="shared" si="7"/>
        <v>40</v>
      </c>
      <c r="E42" s="35" t="s">
        <v>20</v>
      </c>
      <c r="G42" s="118"/>
      <c r="H42" s="118"/>
      <c r="I42" s="118"/>
    </row>
    <row r="43" spans="1:9" ht="16.5" customHeight="1" x14ac:dyDescent="0.3">
      <c r="A43" s="40" t="str">
        <f t="shared" si="0"/>
        <v>업적 - 캐릭터 레벨 달성 Lv.45</v>
      </c>
      <c r="B43" s="35">
        <f t="shared" si="10"/>
        <v>45</v>
      </c>
      <c r="C43" s="35">
        <f t="shared" si="8"/>
        <v>45</v>
      </c>
      <c r="D43" s="47">
        <f t="shared" si="7"/>
        <v>45</v>
      </c>
      <c r="E43" s="35" t="s">
        <v>20</v>
      </c>
      <c r="G43" s="118"/>
      <c r="H43" s="118"/>
      <c r="I43" s="118"/>
    </row>
    <row r="44" spans="1:9" ht="16.5" customHeight="1" x14ac:dyDescent="0.3">
      <c r="A44" s="40" t="str">
        <f t="shared" si="0"/>
        <v>업적 - 캐릭터 레벨 달성 Lv.50</v>
      </c>
      <c r="B44" s="35">
        <f t="shared" si="10"/>
        <v>50</v>
      </c>
      <c r="C44" s="35">
        <f t="shared" si="8"/>
        <v>50</v>
      </c>
      <c r="D44" s="47">
        <f t="shared" si="7"/>
        <v>50</v>
      </c>
      <c r="E44" s="35" t="s">
        <v>20</v>
      </c>
      <c r="G44" s="118"/>
      <c r="H44" s="118"/>
      <c r="I44" s="118"/>
    </row>
    <row r="45" spans="1:9" ht="16.5" customHeight="1" x14ac:dyDescent="0.3">
      <c r="A45" s="18" t="str">
        <f t="shared" ref="A45:A88" si="11">"업적 - 수호자 레벨 달성 " &amp; "Lv." &amp; B45</f>
        <v>업적 - 수호자 레벨 달성 Lv.10</v>
      </c>
      <c r="B45" s="17">
        <v>10</v>
      </c>
      <c r="C45" s="17">
        <v>10</v>
      </c>
      <c r="D45" s="37">
        <f>'Achievement Reward List'!F4</f>
        <v>10</v>
      </c>
      <c r="E45" s="21" t="s">
        <v>20</v>
      </c>
      <c r="G45" s="117">
        <f>SUM(D45:D54)</f>
        <v>325</v>
      </c>
      <c r="H45" s="117">
        <f>SUM(D45:D58)</f>
        <v>595</v>
      </c>
      <c r="I45" s="117">
        <f>SUM(D45:D62)</f>
        <v>945</v>
      </c>
    </row>
    <row r="46" spans="1:9" ht="16.5" customHeight="1" x14ac:dyDescent="0.3">
      <c r="A46" s="18" t="str">
        <f t="shared" si="11"/>
        <v>업적 - 수호자 레벨 달성 Lv.20</v>
      </c>
      <c r="B46" s="17">
        <v>20</v>
      </c>
      <c r="C46" s="17">
        <f>C45+5</f>
        <v>15</v>
      </c>
      <c r="D46" s="45">
        <f>D45+5</f>
        <v>15</v>
      </c>
      <c r="E46" s="21" t="s">
        <v>20</v>
      </c>
      <c r="G46" s="117"/>
      <c r="H46" s="117"/>
      <c r="I46" s="117"/>
    </row>
    <row r="47" spans="1:9" ht="16.5" customHeight="1" x14ac:dyDescent="0.3">
      <c r="A47" s="18" t="str">
        <f t="shared" si="11"/>
        <v>업적 - 수호자 레벨 달성 Lv.30</v>
      </c>
      <c r="B47" s="17">
        <v>30</v>
      </c>
      <c r="C47" s="17">
        <f t="shared" ref="C47:C88" si="12">C46+5</f>
        <v>20</v>
      </c>
      <c r="D47" s="45">
        <f t="shared" ref="D47:D88" si="13">D46+5</f>
        <v>20</v>
      </c>
      <c r="E47" s="21" t="s">
        <v>20</v>
      </c>
      <c r="G47" s="117"/>
      <c r="H47" s="117"/>
      <c r="I47" s="117"/>
    </row>
    <row r="48" spans="1:9" ht="16.5" customHeight="1" x14ac:dyDescent="0.3">
      <c r="A48" s="18" t="str">
        <f t="shared" si="11"/>
        <v>업적 - 수호자 레벨 달성 Lv.50</v>
      </c>
      <c r="B48" s="17">
        <v>50</v>
      </c>
      <c r="C48" s="17">
        <f t="shared" si="12"/>
        <v>25</v>
      </c>
      <c r="D48" s="45">
        <f t="shared" si="13"/>
        <v>25</v>
      </c>
      <c r="E48" s="21" t="s">
        <v>20</v>
      </c>
      <c r="G48" s="117"/>
      <c r="H48" s="117"/>
      <c r="I48" s="117"/>
    </row>
    <row r="49" spans="1:9" ht="16.5" customHeight="1" x14ac:dyDescent="0.3">
      <c r="A49" s="18" t="str">
        <f t="shared" si="11"/>
        <v>업적 - 수호자 레벨 달성 Lv.75</v>
      </c>
      <c r="B49" s="17">
        <v>75</v>
      </c>
      <c r="C49" s="17">
        <f t="shared" si="12"/>
        <v>30</v>
      </c>
      <c r="D49" s="45">
        <f t="shared" si="13"/>
        <v>30</v>
      </c>
      <c r="E49" s="21" t="s">
        <v>20</v>
      </c>
      <c r="G49" s="117"/>
      <c r="H49" s="117"/>
      <c r="I49" s="117"/>
    </row>
    <row r="50" spans="1:9" ht="16.5" customHeight="1" x14ac:dyDescent="0.3">
      <c r="A50" s="18" t="str">
        <f t="shared" si="11"/>
        <v>업적 - 수호자 레벨 달성 Lv.100</v>
      </c>
      <c r="B50" s="17">
        <v>100</v>
      </c>
      <c r="C50" s="17">
        <f t="shared" si="12"/>
        <v>35</v>
      </c>
      <c r="D50" s="45">
        <f t="shared" si="13"/>
        <v>35</v>
      </c>
      <c r="E50" s="21" t="s">
        <v>20</v>
      </c>
      <c r="G50" s="117"/>
      <c r="H50" s="117"/>
      <c r="I50" s="117"/>
    </row>
    <row r="51" spans="1:9" ht="16.5" customHeight="1" x14ac:dyDescent="0.3">
      <c r="A51" s="18" t="str">
        <f t="shared" si="11"/>
        <v>업적 - 수호자 레벨 달성 Lv.150</v>
      </c>
      <c r="B51" s="17">
        <f>B50+50</f>
        <v>150</v>
      </c>
      <c r="C51" s="17">
        <f t="shared" si="12"/>
        <v>40</v>
      </c>
      <c r="D51" s="45">
        <f t="shared" si="13"/>
        <v>40</v>
      </c>
      <c r="E51" s="21" t="s">
        <v>20</v>
      </c>
      <c r="G51" s="117"/>
      <c r="H51" s="117"/>
      <c r="I51" s="117"/>
    </row>
    <row r="52" spans="1:9" ht="16.5" customHeight="1" x14ac:dyDescent="0.3">
      <c r="A52" s="18" t="str">
        <f t="shared" si="11"/>
        <v>업적 - 수호자 레벨 달성 Lv.200</v>
      </c>
      <c r="B52" s="17">
        <f t="shared" ref="B52:B88" si="14">B51+50</f>
        <v>200</v>
      </c>
      <c r="C52" s="17">
        <f t="shared" si="12"/>
        <v>45</v>
      </c>
      <c r="D52" s="45">
        <f t="shared" si="13"/>
        <v>45</v>
      </c>
      <c r="E52" s="21" t="s">
        <v>20</v>
      </c>
      <c r="G52" s="117"/>
      <c r="H52" s="117"/>
      <c r="I52" s="117"/>
    </row>
    <row r="53" spans="1:9" ht="16.5" customHeight="1" x14ac:dyDescent="0.3">
      <c r="A53" s="18" t="str">
        <f t="shared" si="11"/>
        <v>업적 - 수호자 레벨 달성 Lv.250</v>
      </c>
      <c r="B53" s="17">
        <f t="shared" si="14"/>
        <v>250</v>
      </c>
      <c r="C53" s="17">
        <f t="shared" si="12"/>
        <v>50</v>
      </c>
      <c r="D53" s="45">
        <f t="shared" si="13"/>
        <v>50</v>
      </c>
      <c r="E53" s="21" t="s">
        <v>20</v>
      </c>
      <c r="G53" s="117"/>
      <c r="H53" s="117"/>
      <c r="I53" s="117"/>
    </row>
    <row r="54" spans="1:9" ht="16.5" customHeight="1" x14ac:dyDescent="0.3">
      <c r="A54" s="18" t="str">
        <f t="shared" si="11"/>
        <v>업적 - 수호자 레벨 달성 Lv.300</v>
      </c>
      <c r="B54" s="17">
        <f t="shared" si="14"/>
        <v>300</v>
      </c>
      <c r="C54" s="17">
        <f t="shared" si="12"/>
        <v>55</v>
      </c>
      <c r="D54" s="45">
        <f t="shared" si="13"/>
        <v>55</v>
      </c>
      <c r="E54" s="21" t="s">
        <v>20</v>
      </c>
      <c r="G54" s="117"/>
      <c r="H54" s="117"/>
      <c r="I54" s="117"/>
    </row>
    <row r="55" spans="1:9" ht="16.5" customHeight="1" x14ac:dyDescent="0.3">
      <c r="A55" s="18" t="str">
        <f>"업적 - 수호자 레벨 달성 " &amp; "Lv." &amp; B55</f>
        <v>업적 - 수호자 레벨 달성 Lv.350</v>
      </c>
      <c r="B55" s="17">
        <f t="shared" si="14"/>
        <v>350</v>
      </c>
      <c r="C55" s="17">
        <f t="shared" si="12"/>
        <v>60</v>
      </c>
      <c r="D55" s="48">
        <f t="shared" si="13"/>
        <v>60</v>
      </c>
      <c r="E55" s="21" t="s">
        <v>20</v>
      </c>
      <c r="G55" s="117"/>
      <c r="H55" s="117"/>
      <c r="I55" s="117"/>
    </row>
    <row r="56" spans="1:9" ht="16.5" customHeight="1" x14ac:dyDescent="0.3">
      <c r="A56" s="18" t="str">
        <f t="shared" si="11"/>
        <v>업적 - 수호자 레벨 달성 Lv.400</v>
      </c>
      <c r="B56" s="17">
        <f t="shared" si="14"/>
        <v>400</v>
      </c>
      <c r="C56" s="17">
        <f t="shared" si="12"/>
        <v>65</v>
      </c>
      <c r="D56" s="48">
        <f t="shared" si="13"/>
        <v>65</v>
      </c>
      <c r="E56" s="21" t="s">
        <v>20</v>
      </c>
      <c r="G56" s="117"/>
      <c r="H56" s="117"/>
      <c r="I56" s="117"/>
    </row>
    <row r="57" spans="1:9" ht="16.5" customHeight="1" x14ac:dyDescent="0.3">
      <c r="A57" s="18" t="str">
        <f t="shared" si="11"/>
        <v>업적 - 수호자 레벨 달성 Lv.450</v>
      </c>
      <c r="B57" s="17">
        <f t="shared" si="14"/>
        <v>450</v>
      </c>
      <c r="C57" s="17">
        <f t="shared" si="12"/>
        <v>70</v>
      </c>
      <c r="D57" s="48">
        <f t="shared" si="13"/>
        <v>70</v>
      </c>
      <c r="E57" s="21" t="s">
        <v>20</v>
      </c>
      <c r="G57" s="117"/>
      <c r="H57" s="117"/>
      <c r="I57" s="117"/>
    </row>
    <row r="58" spans="1:9" ht="16.5" customHeight="1" x14ac:dyDescent="0.3">
      <c r="A58" s="18" t="str">
        <f t="shared" si="11"/>
        <v>업적 - 수호자 레벨 달성 Lv.500</v>
      </c>
      <c r="B58" s="17">
        <f t="shared" si="14"/>
        <v>500</v>
      </c>
      <c r="C58" s="17">
        <f t="shared" si="12"/>
        <v>75</v>
      </c>
      <c r="D58" s="48">
        <f t="shared" si="13"/>
        <v>75</v>
      </c>
      <c r="E58" s="21" t="s">
        <v>20</v>
      </c>
      <c r="G58" s="117"/>
      <c r="H58" s="117"/>
      <c r="I58" s="117"/>
    </row>
    <row r="59" spans="1:9" ht="16.5" customHeight="1" x14ac:dyDescent="0.3">
      <c r="A59" s="18" t="str">
        <f t="shared" si="11"/>
        <v>업적 - 수호자 레벨 달성 Lv.550</v>
      </c>
      <c r="B59" s="17">
        <f t="shared" si="14"/>
        <v>550</v>
      </c>
      <c r="C59" s="17">
        <f t="shared" si="12"/>
        <v>80</v>
      </c>
      <c r="D59" s="47">
        <f t="shared" si="13"/>
        <v>80</v>
      </c>
      <c r="E59" s="21" t="s">
        <v>20</v>
      </c>
      <c r="G59" s="117"/>
      <c r="H59" s="117"/>
      <c r="I59" s="117"/>
    </row>
    <row r="60" spans="1:9" ht="16.5" customHeight="1" x14ac:dyDescent="0.3">
      <c r="A60" s="18" t="str">
        <f t="shared" si="11"/>
        <v>업적 - 수호자 레벨 달성 Lv.600</v>
      </c>
      <c r="B60" s="17">
        <f t="shared" si="14"/>
        <v>600</v>
      </c>
      <c r="C60" s="17">
        <f t="shared" si="12"/>
        <v>85</v>
      </c>
      <c r="D60" s="47">
        <f t="shared" si="13"/>
        <v>85</v>
      </c>
      <c r="E60" s="21" t="s">
        <v>20</v>
      </c>
      <c r="G60" s="117"/>
      <c r="H60" s="117"/>
      <c r="I60" s="117"/>
    </row>
    <row r="61" spans="1:9" ht="16.5" customHeight="1" x14ac:dyDescent="0.3">
      <c r="A61" s="18" t="str">
        <f t="shared" si="11"/>
        <v>업적 - 수호자 레벨 달성 Lv.650</v>
      </c>
      <c r="B61" s="17">
        <f t="shared" si="14"/>
        <v>650</v>
      </c>
      <c r="C61" s="17">
        <f t="shared" si="12"/>
        <v>90</v>
      </c>
      <c r="D61" s="47">
        <f t="shared" si="13"/>
        <v>90</v>
      </c>
      <c r="E61" s="21" t="s">
        <v>20</v>
      </c>
      <c r="G61" s="117"/>
      <c r="H61" s="117"/>
      <c r="I61" s="117"/>
    </row>
    <row r="62" spans="1:9" ht="16.5" customHeight="1" x14ac:dyDescent="0.3">
      <c r="A62" s="18" t="str">
        <f t="shared" si="11"/>
        <v>업적 - 수호자 레벨 달성 Lv.700</v>
      </c>
      <c r="B62" s="17">
        <f t="shared" si="14"/>
        <v>700</v>
      </c>
      <c r="C62" s="17">
        <f t="shared" si="12"/>
        <v>95</v>
      </c>
      <c r="D62" s="47">
        <f t="shared" si="13"/>
        <v>95</v>
      </c>
      <c r="E62" s="21" t="s">
        <v>20</v>
      </c>
      <c r="G62" s="117"/>
      <c r="H62" s="117"/>
      <c r="I62" s="117"/>
    </row>
    <row r="63" spans="1:9" ht="16.5" customHeight="1" x14ac:dyDescent="0.3">
      <c r="A63" s="18" t="str">
        <f t="shared" si="11"/>
        <v>업적 - 수호자 레벨 달성 Lv.750</v>
      </c>
      <c r="B63" s="17">
        <f t="shared" si="14"/>
        <v>750</v>
      </c>
      <c r="C63" s="17">
        <f t="shared" si="12"/>
        <v>100</v>
      </c>
      <c r="D63" s="63">
        <f t="shared" si="13"/>
        <v>100</v>
      </c>
      <c r="E63" s="21" t="s">
        <v>20</v>
      </c>
      <c r="G63" s="117"/>
      <c r="H63" s="117"/>
      <c r="I63" s="117"/>
    </row>
    <row r="64" spans="1:9" ht="16.5" customHeight="1" x14ac:dyDescent="0.3">
      <c r="A64" s="18" t="str">
        <f t="shared" si="11"/>
        <v>업적 - 수호자 레벨 달성 Lv.800</v>
      </c>
      <c r="B64" s="17">
        <f t="shared" si="14"/>
        <v>800</v>
      </c>
      <c r="C64" s="17">
        <f t="shared" si="12"/>
        <v>105</v>
      </c>
      <c r="D64" s="63">
        <f t="shared" si="13"/>
        <v>105</v>
      </c>
      <c r="E64" s="21" t="s">
        <v>20</v>
      </c>
      <c r="G64" s="117"/>
      <c r="H64" s="117"/>
      <c r="I64" s="117"/>
    </row>
    <row r="65" spans="1:9" ht="16.5" customHeight="1" x14ac:dyDescent="0.3">
      <c r="A65" s="18" t="str">
        <f t="shared" si="11"/>
        <v>업적 - 수호자 레벨 달성 Lv.850</v>
      </c>
      <c r="B65" s="17">
        <f t="shared" si="14"/>
        <v>850</v>
      </c>
      <c r="C65" s="17">
        <f t="shared" si="12"/>
        <v>110</v>
      </c>
      <c r="D65" s="63">
        <f t="shared" si="13"/>
        <v>110</v>
      </c>
      <c r="E65" s="21" t="s">
        <v>20</v>
      </c>
      <c r="G65" s="117"/>
      <c r="H65" s="117"/>
      <c r="I65" s="117"/>
    </row>
    <row r="66" spans="1:9" ht="16.5" customHeight="1" x14ac:dyDescent="0.3">
      <c r="A66" s="18" t="str">
        <f t="shared" si="11"/>
        <v>업적 - 수호자 레벨 달성 Lv.900</v>
      </c>
      <c r="B66" s="17">
        <f t="shared" si="14"/>
        <v>900</v>
      </c>
      <c r="C66" s="17">
        <f t="shared" si="12"/>
        <v>115</v>
      </c>
      <c r="D66" s="63">
        <f t="shared" si="13"/>
        <v>115</v>
      </c>
      <c r="E66" s="21" t="s">
        <v>20</v>
      </c>
      <c r="G66" s="117"/>
      <c r="H66" s="117"/>
      <c r="I66" s="117"/>
    </row>
    <row r="67" spans="1:9" ht="16.5" customHeight="1" x14ac:dyDescent="0.3">
      <c r="A67" s="18" t="str">
        <f t="shared" si="11"/>
        <v>업적 - 수호자 레벨 달성 Lv.950</v>
      </c>
      <c r="B67" s="17">
        <f t="shared" si="14"/>
        <v>950</v>
      </c>
      <c r="C67" s="17">
        <f t="shared" si="12"/>
        <v>120</v>
      </c>
      <c r="D67" s="63">
        <f t="shared" si="13"/>
        <v>120</v>
      </c>
      <c r="E67" s="21" t="s">
        <v>20</v>
      </c>
      <c r="G67" s="117"/>
      <c r="H67" s="117"/>
      <c r="I67" s="117"/>
    </row>
    <row r="68" spans="1:9" ht="16.5" customHeight="1" x14ac:dyDescent="0.3">
      <c r="A68" s="18" t="str">
        <f t="shared" si="11"/>
        <v>업적 - 수호자 레벨 달성 Lv.1000</v>
      </c>
      <c r="B68" s="17">
        <f t="shared" si="14"/>
        <v>1000</v>
      </c>
      <c r="C68" s="17">
        <f t="shared" si="12"/>
        <v>125</v>
      </c>
      <c r="D68" s="63">
        <f t="shared" si="13"/>
        <v>125</v>
      </c>
      <c r="E68" s="21" t="s">
        <v>20</v>
      </c>
      <c r="G68" s="117"/>
      <c r="H68" s="117"/>
      <c r="I68" s="117"/>
    </row>
    <row r="69" spans="1:9" ht="16.5" customHeight="1" x14ac:dyDescent="0.3">
      <c r="A69" s="18" t="str">
        <f t="shared" si="11"/>
        <v>업적 - 수호자 레벨 달성 Lv.1050</v>
      </c>
      <c r="B69" s="17">
        <f t="shared" si="14"/>
        <v>1050</v>
      </c>
      <c r="C69" s="17">
        <f t="shared" si="12"/>
        <v>130</v>
      </c>
      <c r="D69" s="63">
        <f t="shared" si="13"/>
        <v>130</v>
      </c>
      <c r="E69" s="21" t="s">
        <v>20</v>
      </c>
      <c r="G69" s="117"/>
      <c r="H69" s="117"/>
      <c r="I69" s="117"/>
    </row>
    <row r="70" spans="1:9" ht="16.5" customHeight="1" x14ac:dyDescent="0.3">
      <c r="A70" s="18" t="str">
        <f t="shared" si="11"/>
        <v>업적 - 수호자 레벨 달성 Lv.1100</v>
      </c>
      <c r="B70" s="17">
        <f t="shared" si="14"/>
        <v>1100</v>
      </c>
      <c r="C70" s="17">
        <f t="shared" si="12"/>
        <v>135</v>
      </c>
      <c r="D70" s="63">
        <f t="shared" si="13"/>
        <v>135</v>
      </c>
      <c r="E70" s="21" t="s">
        <v>20</v>
      </c>
      <c r="G70" s="117"/>
      <c r="H70" s="117"/>
      <c r="I70" s="117"/>
    </row>
    <row r="71" spans="1:9" ht="16.5" customHeight="1" x14ac:dyDescent="0.3">
      <c r="A71" s="18" t="str">
        <f t="shared" si="11"/>
        <v>업적 - 수호자 레벨 달성 Lv.1150</v>
      </c>
      <c r="B71" s="17">
        <f t="shared" si="14"/>
        <v>1150</v>
      </c>
      <c r="C71" s="17">
        <f t="shared" si="12"/>
        <v>140</v>
      </c>
      <c r="D71" s="63">
        <f t="shared" si="13"/>
        <v>140</v>
      </c>
      <c r="E71" s="21" t="s">
        <v>20</v>
      </c>
      <c r="G71" s="117"/>
      <c r="H71" s="117"/>
      <c r="I71" s="117"/>
    </row>
    <row r="72" spans="1:9" ht="16.5" customHeight="1" x14ac:dyDescent="0.3">
      <c r="A72" s="18" t="str">
        <f t="shared" si="11"/>
        <v>업적 - 수호자 레벨 달성 Lv.1200</v>
      </c>
      <c r="B72" s="17">
        <f t="shared" si="14"/>
        <v>1200</v>
      </c>
      <c r="C72" s="17">
        <f t="shared" si="12"/>
        <v>145</v>
      </c>
      <c r="D72" s="63">
        <f t="shared" si="13"/>
        <v>145</v>
      </c>
      <c r="E72" s="21" t="s">
        <v>20</v>
      </c>
      <c r="G72" s="117"/>
      <c r="H72" s="117"/>
      <c r="I72" s="117"/>
    </row>
    <row r="73" spans="1:9" ht="16.5" customHeight="1" x14ac:dyDescent="0.3">
      <c r="A73" s="18" t="str">
        <f t="shared" si="11"/>
        <v>업적 - 수호자 레벨 달성 Lv.1250</v>
      </c>
      <c r="B73" s="17">
        <f t="shared" si="14"/>
        <v>1250</v>
      </c>
      <c r="C73" s="17">
        <f t="shared" si="12"/>
        <v>150</v>
      </c>
      <c r="D73" s="63">
        <f t="shared" si="13"/>
        <v>150</v>
      </c>
      <c r="E73" s="21" t="s">
        <v>20</v>
      </c>
      <c r="G73" s="117"/>
      <c r="H73" s="117"/>
      <c r="I73" s="117"/>
    </row>
    <row r="74" spans="1:9" ht="16.5" customHeight="1" x14ac:dyDescent="0.3">
      <c r="A74" s="18" t="str">
        <f t="shared" si="11"/>
        <v>업적 - 수호자 레벨 달성 Lv.1300</v>
      </c>
      <c r="B74" s="17">
        <f t="shared" si="14"/>
        <v>1300</v>
      </c>
      <c r="C74" s="17">
        <f t="shared" si="12"/>
        <v>155</v>
      </c>
      <c r="D74" s="63">
        <f t="shared" si="13"/>
        <v>155</v>
      </c>
      <c r="E74" s="21" t="s">
        <v>20</v>
      </c>
      <c r="G74" s="117"/>
      <c r="H74" s="117"/>
      <c r="I74" s="117"/>
    </row>
    <row r="75" spans="1:9" ht="16.5" customHeight="1" x14ac:dyDescent="0.3">
      <c r="A75" s="18" t="str">
        <f t="shared" si="11"/>
        <v>업적 - 수호자 레벨 달성 Lv.1350</v>
      </c>
      <c r="B75" s="17">
        <f t="shared" si="14"/>
        <v>1350</v>
      </c>
      <c r="C75" s="17">
        <f t="shared" si="12"/>
        <v>160</v>
      </c>
      <c r="D75" s="63">
        <f t="shared" si="13"/>
        <v>160</v>
      </c>
      <c r="E75" s="21" t="s">
        <v>20</v>
      </c>
      <c r="G75" s="117"/>
      <c r="H75" s="117"/>
      <c r="I75" s="117"/>
    </row>
    <row r="76" spans="1:9" ht="16.5" customHeight="1" x14ac:dyDescent="0.3">
      <c r="A76" s="18" t="str">
        <f t="shared" si="11"/>
        <v>업적 - 수호자 레벨 달성 Lv.1400</v>
      </c>
      <c r="B76" s="17">
        <f t="shared" si="14"/>
        <v>1400</v>
      </c>
      <c r="C76" s="17">
        <f t="shared" si="12"/>
        <v>165</v>
      </c>
      <c r="D76" s="63">
        <f t="shared" si="13"/>
        <v>165</v>
      </c>
      <c r="E76" s="21" t="s">
        <v>20</v>
      </c>
      <c r="G76" s="117"/>
      <c r="H76" s="117"/>
      <c r="I76" s="117"/>
    </row>
    <row r="77" spans="1:9" ht="16.5" customHeight="1" x14ac:dyDescent="0.3">
      <c r="A77" s="18" t="str">
        <f t="shared" si="11"/>
        <v>업적 - 수호자 레벨 달성 Lv.1450</v>
      </c>
      <c r="B77" s="17">
        <f t="shared" si="14"/>
        <v>1450</v>
      </c>
      <c r="C77" s="17">
        <f t="shared" si="12"/>
        <v>170</v>
      </c>
      <c r="D77" s="63">
        <f t="shared" si="13"/>
        <v>170</v>
      </c>
      <c r="E77" s="21" t="s">
        <v>20</v>
      </c>
      <c r="G77" s="117"/>
      <c r="H77" s="117"/>
      <c r="I77" s="117"/>
    </row>
    <row r="78" spans="1:9" ht="16.5" customHeight="1" x14ac:dyDescent="0.3">
      <c r="A78" s="18" t="str">
        <f t="shared" si="11"/>
        <v>업적 - 수호자 레벨 달성 Lv.1500</v>
      </c>
      <c r="B78" s="17">
        <f t="shared" si="14"/>
        <v>1500</v>
      </c>
      <c r="C78" s="17">
        <f t="shared" si="12"/>
        <v>175</v>
      </c>
      <c r="D78" s="63">
        <f t="shared" si="13"/>
        <v>175</v>
      </c>
      <c r="E78" s="21" t="s">
        <v>20</v>
      </c>
      <c r="G78" s="117"/>
      <c r="H78" s="117"/>
      <c r="I78" s="117"/>
    </row>
    <row r="79" spans="1:9" ht="16.5" customHeight="1" x14ac:dyDescent="0.3">
      <c r="A79" s="18" t="str">
        <f t="shared" si="11"/>
        <v>업적 - 수호자 레벨 달성 Lv.1550</v>
      </c>
      <c r="B79" s="17">
        <f t="shared" si="14"/>
        <v>1550</v>
      </c>
      <c r="C79" s="17">
        <f t="shared" si="12"/>
        <v>180</v>
      </c>
      <c r="D79" s="63">
        <f t="shared" si="13"/>
        <v>180</v>
      </c>
      <c r="E79" s="21" t="s">
        <v>20</v>
      </c>
      <c r="G79" s="117"/>
      <c r="H79" s="117"/>
      <c r="I79" s="117"/>
    </row>
    <row r="80" spans="1:9" ht="16.5" customHeight="1" x14ac:dyDescent="0.3">
      <c r="A80" s="18" t="str">
        <f t="shared" si="11"/>
        <v>업적 - 수호자 레벨 달성 Lv.1600</v>
      </c>
      <c r="B80" s="17">
        <f t="shared" si="14"/>
        <v>1600</v>
      </c>
      <c r="C80" s="17">
        <f t="shared" si="12"/>
        <v>185</v>
      </c>
      <c r="D80" s="63">
        <f t="shared" si="13"/>
        <v>185</v>
      </c>
      <c r="E80" s="21" t="s">
        <v>20</v>
      </c>
      <c r="G80" s="117"/>
      <c r="H80" s="117"/>
      <c r="I80" s="117"/>
    </row>
    <row r="81" spans="1:9" ht="16.5" customHeight="1" x14ac:dyDescent="0.3">
      <c r="A81" s="18" t="str">
        <f t="shared" si="11"/>
        <v>업적 - 수호자 레벨 달성 Lv.1650</v>
      </c>
      <c r="B81" s="17">
        <f t="shared" si="14"/>
        <v>1650</v>
      </c>
      <c r="C81" s="17">
        <f t="shared" si="12"/>
        <v>190</v>
      </c>
      <c r="D81" s="63">
        <f t="shared" si="13"/>
        <v>190</v>
      </c>
      <c r="E81" s="21" t="s">
        <v>20</v>
      </c>
      <c r="G81" s="117"/>
      <c r="H81" s="117"/>
      <c r="I81" s="117"/>
    </row>
    <row r="82" spans="1:9" ht="16.5" customHeight="1" x14ac:dyDescent="0.3">
      <c r="A82" s="18" t="str">
        <f t="shared" si="11"/>
        <v>업적 - 수호자 레벨 달성 Lv.1700</v>
      </c>
      <c r="B82" s="17">
        <f t="shared" si="14"/>
        <v>1700</v>
      </c>
      <c r="C82" s="17">
        <f t="shared" si="12"/>
        <v>195</v>
      </c>
      <c r="D82" s="63">
        <f t="shared" si="13"/>
        <v>195</v>
      </c>
      <c r="E82" s="21" t="s">
        <v>20</v>
      </c>
      <c r="G82" s="117"/>
      <c r="H82" s="117"/>
      <c r="I82" s="117"/>
    </row>
    <row r="83" spans="1:9" ht="16.5" customHeight="1" x14ac:dyDescent="0.3">
      <c r="A83" s="18" t="str">
        <f t="shared" si="11"/>
        <v>업적 - 수호자 레벨 달성 Lv.1750</v>
      </c>
      <c r="B83" s="17">
        <f t="shared" si="14"/>
        <v>1750</v>
      </c>
      <c r="C83" s="17">
        <f t="shared" si="12"/>
        <v>200</v>
      </c>
      <c r="D83" s="63">
        <f t="shared" si="13"/>
        <v>200</v>
      </c>
      <c r="E83" s="21" t="s">
        <v>20</v>
      </c>
      <c r="G83" s="117"/>
      <c r="H83" s="117"/>
      <c r="I83" s="117"/>
    </row>
    <row r="84" spans="1:9" ht="16.5" customHeight="1" x14ac:dyDescent="0.3">
      <c r="A84" s="18" t="str">
        <f t="shared" si="11"/>
        <v>업적 - 수호자 레벨 달성 Lv.1800</v>
      </c>
      <c r="B84" s="17">
        <f t="shared" si="14"/>
        <v>1800</v>
      </c>
      <c r="C84" s="17">
        <f t="shared" si="12"/>
        <v>205</v>
      </c>
      <c r="D84" s="63">
        <f t="shared" si="13"/>
        <v>205</v>
      </c>
      <c r="E84" s="21" t="s">
        <v>20</v>
      </c>
      <c r="G84" s="117"/>
      <c r="H84" s="117"/>
      <c r="I84" s="117"/>
    </row>
    <row r="85" spans="1:9" ht="16.5" customHeight="1" x14ac:dyDescent="0.3">
      <c r="A85" s="18" t="str">
        <f t="shared" si="11"/>
        <v>업적 - 수호자 레벨 달성 Lv.1850</v>
      </c>
      <c r="B85" s="17">
        <f t="shared" si="14"/>
        <v>1850</v>
      </c>
      <c r="C85" s="17">
        <f t="shared" si="12"/>
        <v>210</v>
      </c>
      <c r="D85" s="63">
        <f t="shared" si="13"/>
        <v>210</v>
      </c>
      <c r="E85" s="21" t="s">
        <v>20</v>
      </c>
      <c r="G85" s="117"/>
      <c r="H85" s="117"/>
      <c r="I85" s="117"/>
    </row>
    <row r="86" spans="1:9" ht="16.5" customHeight="1" x14ac:dyDescent="0.3">
      <c r="A86" s="18" t="str">
        <f t="shared" si="11"/>
        <v>업적 - 수호자 레벨 달성 Lv.1900</v>
      </c>
      <c r="B86" s="17">
        <f t="shared" si="14"/>
        <v>1900</v>
      </c>
      <c r="C86" s="17">
        <f t="shared" si="12"/>
        <v>215</v>
      </c>
      <c r="D86" s="63">
        <f t="shared" si="13"/>
        <v>215</v>
      </c>
      <c r="E86" s="21" t="s">
        <v>20</v>
      </c>
      <c r="G86" s="117"/>
      <c r="H86" s="117"/>
      <c r="I86" s="117"/>
    </row>
    <row r="87" spans="1:9" ht="16.5" customHeight="1" x14ac:dyDescent="0.3">
      <c r="A87" s="18" t="str">
        <f t="shared" si="11"/>
        <v>업적 - 수호자 레벨 달성 Lv.1950</v>
      </c>
      <c r="B87" s="17">
        <f t="shared" si="14"/>
        <v>1950</v>
      </c>
      <c r="C87" s="17">
        <f t="shared" si="12"/>
        <v>220</v>
      </c>
      <c r="D87" s="63">
        <f t="shared" si="13"/>
        <v>220</v>
      </c>
      <c r="E87" s="21" t="s">
        <v>20</v>
      </c>
      <c r="G87" s="117"/>
      <c r="H87" s="117"/>
      <c r="I87" s="117"/>
    </row>
    <row r="88" spans="1:9" ht="16.5" customHeight="1" x14ac:dyDescent="0.3">
      <c r="A88" s="18" t="str">
        <f t="shared" si="11"/>
        <v>업적 - 수호자 레벨 달성 Lv.2000</v>
      </c>
      <c r="B88" s="17">
        <f t="shared" si="14"/>
        <v>2000</v>
      </c>
      <c r="C88" s="17">
        <f t="shared" si="12"/>
        <v>225</v>
      </c>
      <c r="D88" s="63">
        <f t="shared" si="13"/>
        <v>225</v>
      </c>
      <c r="E88" s="21" t="s">
        <v>20</v>
      </c>
      <c r="G88" s="117"/>
      <c r="H88" s="117"/>
      <c r="I88" s="117"/>
    </row>
    <row r="89" spans="1:9" ht="16.5" customHeight="1" x14ac:dyDescent="0.3">
      <c r="A89" s="15" t="str">
        <f>"업적 - 캐릭터 스킬 강화 누적 횟수 " &amp; B89 &amp; " 회"</f>
        <v>업적 - 캐릭터 스킬 강화 누적 횟수 5 회</v>
      </c>
      <c r="B89" s="14">
        <v>5</v>
      </c>
      <c r="C89" s="14">
        <v>1500</v>
      </c>
      <c r="D89" s="46">
        <f>'Achievement Reward List'!F5</f>
        <v>1000</v>
      </c>
      <c r="E89" s="20" t="s">
        <v>18</v>
      </c>
      <c r="G89" s="118">
        <f>SUM(D89:D96)</f>
        <v>22000</v>
      </c>
      <c r="H89" s="118">
        <f>SUM(D89:D96)</f>
        <v>22000</v>
      </c>
      <c r="I89" s="118">
        <f>SUM(D89:D96)</f>
        <v>22000</v>
      </c>
    </row>
    <row r="90" spans="1:9" ht="16.5" customHeight="1" x14ac:dyDescent="0.3">
      <c r="A90" s="15" t="str">
        <f t="shared" ref="A90:A96" si="15">"업적 - 캐릭터 스킬 강화 누적 횟수 " &amp; B90 &amp; " 회"</f>
        <v>업적 - 캐릭터 스킬 강화 누적 횟수 10 회</v>
      </c>
      <c r="B90" s="14">
        <f>B89+B$89</f>
        <v>10</v>
      </c>
      <c r="C90" s="14">
        <f>INT(C89+C89*100%)</f>
        <v>3000</v>
      </c>
      <c r="D90" s="46">
        <f>D89+500</f>
        <v>1500</v>
      </c>
      <c r="E90" s="20" t="s">
        <v>18</v>
      </c>
      <c r="G90" s="118"/>
      <c r="H90" s="118"/>
      <c r="I90" s="118"/>
    </row>
    <row r="91" spans="1:9" ht="16.5" customHeight="1" x14ac:dyDescent="0.3">
      <c r="A91" s="15" t="str">
        <f t="shared" si="15"/>
        <v>업적 - 캐릭터 스킬 강화 누적 횟수 15 회</v>
      </c>
      <c r="B91" s="14">
        <f t="shared" ref="B91" si="16">B90+B$89</f>
        <v>15</v>
      </c>
      <c r="C91" s="14">
        <f t="shared" ref="C91" si="17">INT(C90+C90*100%)</f>
        <v>6000</v>
      </c>
      <c r="D91" s="46">
        <f t="shared" ref="D91:D96" si="18">D90+500</f>
        <v>2000</v>
      </c>
      <c r="E91" s="20" t="s">
        <v>18</v>
      </c>
      <c r="G91" s="118"/>
      <c r="H91" s="118"/>
      <c r="I91" s="118"/>
    </row>
    <row r="92" spans="1:9" ht="16.5" customHeight="1" x14ac:dyDescent="0.3">
      <c r="A92" s="15" t="str">
        <f t="shared" si="15"/>
        <v>업적 - 캐릭터 스킬 강화 누적 횟수 20 회</v>
      </c>
      <c r="B92" s="14">
        <f>B91+B$89</f>
        <v>20</v>
      </c>
      <c r="C92" s="14">
        <f>INT(C91+C$91*50%)</f>
        <v>9000</v>
      </c>
      <c r="D92" s="46">
        <f t="shared" si="18"/>
        <v>2500</v>
      </c>
      <c r="E92" s="20" t="s">
        <v>18</v>
      </c>
      <c r="G92" s="118"/>
      <c r="H92" s="118"/>
      <c r="I92" s="118"/>
    </row>
    <row r="93" spans="1:9" ht="16.5" customHeight="1" x14ac:dyDescent="0.3">
      <c r="A93" s="15" t="str">
        <f t="shared" si="15"/>
        <v>업적 - 캐릭터 스킬 강화 누적 횟수 30 회</v>
      </c>
      <c r="B93" s="14">
        <f>B92+B$90</f>
        <v>30</v>
      </c>
      <c r="C93" s="14">
        <f t="shared" ref="C93:C96" si="19">INT(C92+C$91*50%)</f>
        <v>12000</v>
      </c>
      <c r="D93" s="46">
        <f t="shared" si="18"/>
        <v>3000</v>
      </c>
      <c r="E93" s="20" t="s">
        <v>18</v>
      </c>
      <c r="G93" s="118"/>
      <c r="H93" s="118"/>
      <c r="I93" s="118"/>
    </row>
    <row r="94" spans="1:9" ht="16.5" customHeight="1" x14ac:dyDescent="0.3">
      <c r="A94" s="15" t="str">
        <f t="shared" si="15"/>
        <v>업적 - 캐릭터 스킬 강화 누적 횟수 40 회</v>
      </c>
      <c r="B94" s="14">
        <f t="shared" ref="B94:B96" si="20">B93+B$90</f>
        <v>40</v>
      </c>
      <c r="C94" s="14">
        <f t="shared" si="19"/>
        <v>15000</v>
      </c>
      <c r="D94" s="46">
        <f t="shared" si="18"/>
        <v>3500</v>
      </c>
      <c r="E94" s="20" t="s">
        <v>18</v>
      </c>
      <c r="G94" s="118"/>
      <c r="H94" s="118"/>
      <c r="I94" s="118"/>
    </row>
    <row r="95" spans="1:9" ht="16.5" customHeight="1" x14ac:dyDescent="0.3">
      <c r="A95" s="15" t="str">
        <f t="shared" si="15"/>
        <v>업적 - 캐릭터 스킬 강화 누적 횟수 50 회</v>
      </c>
      <c r="B95" s="14">
        <f t="shared" si="20"/>
        <v>50</v>
      </c>
      <c r="C95" s="14">
        <f t="shared" si="19"/>
        <v>18000</v>
      </c>
      <c r="D95" s="46">
        <f t="shared" si="18"/>
        <v>4000</v>
      </c>
      <c r="E95" s="20" t="s">
        <v>18</v>
      </c>
      <c r="G95" s="118"/>
      <c r="H95" s="118"/>
      <c r="I95" s="118"/>
    </row>
    <row r="96" spans="1:9" ht="16.5" customHeight="1" x14ac:dyDescent="0.3">
      <c r="A96" s="15" t="str">
        <f t="shared" si="15"/>
        <v>업적 - 캐릭터 스킬 강화 누적 횟수 60 회</v>
      </c>
      <c r="B96" s="14">
        <f t="shared" si="20"/>
        <v>60</v>
      </c>
      <c r="C96" s="14">
        <f t="shared" si="19"/>
        <v>21000</v>
      </c>
      <c r="D96" s="46">
        <f t="shared" si="18"/>
        <v>4500</v>
      </c>
      <c r="E96" s="20" t="s">
        <v>18</v>
      </c>
      <c r="G96" s="118"/>
      <c r="H96" s="118"/>
      <c r="I96" s="118"/>
    </row>
    <row r="97" spans="1:9" ht="16.5" customHeight="1" x14ac:dyDescent="0.3">
      <c r="A97" s="18" t="str">
        <f>"업적 - 캐릭터 스킬 초기화 누적 횟수 " &amp; B97 &amp; " 회"</f>
        <v>업적 - 캐릭터 스킬 초기화 누적 횟수 1 회</v>
      </c>
      <c r="B97" s="17">
        <v>1</v>
      </c>
      <c r="C97" s="17">
        <v>2000</v>
      </c>
      <c r="D97" s="45">
        <f>'Achievement Reward List'!F6</f>
        <v>3000</v>
      </c>
      <c r="E97" s="21" t="s">
        <v>18</v>
      </c>
      <c r="G97" s="117">
        <f>SUM(D97:D98)</f>
        <v>8000</v>
      </c>
      <c r="H97" s="117">
        <f>SUM(D97:D98)</f>
        <v>8000</v>
      </c>
      <c r="I97" s="117">
        <f>SUM(D97:D98)</f>
        <v>8000</v>
      </c>
    </row>
    <row r="98" spans="1:9" ht="16.5" customHeight="1" x14ac:dyDescent="0.3">
      <c r="A98" s="18" t="str">
        <f t="shared" ref="A98" si="21">"업적 - 캐릭터 스킬 초기화 누적 횟수 " &amp; B98 &amp; " 회"</f>
        <v>업적 - 캐릭터 스킬 초기화 누적 횟수 3 회</v>
      </c>
      <c r="B98" s="17">
        <v>3</v>
      </c>
      <c r="C98" s="17">
        <f>INT(C97+C97*100%)</f>
        <v>4000</v>
      </c>
      <c r="D98" s="45">
        <v>5000</v>
      </c>
      <c r="E98" s="21" t="s">
        <v>18</v>
      </c>
      <c r="G98" s="117"/>
      <c r="H98" s="117"/>
      <c r="I98" s="117"/>
    </row>
    <row r="99" spans="1:9" ht="16.5" customHeight="1" x14ac:dyDescent="0.3">
      <c r="A99" s="15" t="str">
        <f>"업적 - 수호자 스킬 강화 누적 횟수 " &amp; B99 &amp; " 회"</f>
        <v>업적 - 수호자 스킬 강화 누적 횟수 10 회</v>
      </c>
      <c r="B99" s="14">
        <v>10</v>
      </c>
      <c r="C99" s="14">
        <v>1000</v>
      </c>
      <c r="D99" s="35">
        <v>2000</v>
      </c>
      <c r="E99" s="20" t="s">
        <v>18</v>
      </c>
      <c r="G99" s="118">
        <f>SUM(D99:D102)</f>
        <v>11000</v>
      </c>
      <c r="H99" s="118">
        <f>SUM(D99:D104)</f>
        <v>20000</v>
      </c>
      <c r="I99" s="118">
        <f>SUM(D99:D108)</f>
        <v>50000</v>
      </c>
    </row>
    <row r="100" spans="1:9" ht="16.5" customHeight="1" x14ac:dyDescent="0.3">
      <c r="A100" s="15" t="str">
        <f t="shared" ref="A100:A111" si="22">"업적 - 수호자 스킬 강화 누적 횟수 " &amp; B100 &amp; " 회"</f>
        <v>업적 - 수호자 스킬 강화 누적 횟수 30 회</v>
      </c>
      <c r="B100" s="14">
        <v>30</v>
      </c>
      <c r="C100" s="14">
        <f t="shared" ref="C100:C111" si="23">INT(C99+C$99*50%)</f>
        <v>1500</v>
      </c>
      <c r="D100" s="46">
        <f>D99+500</f>
        <v>2500</v>
      </c>
      <c r="E100" s="20" t="s">
        <v>18</v>
      </c>
      <c r="G100" s="118"/>
      <c r="H100" s="118"/>
      <c r="I100" s="118"/>
    </row>
    <row r="101" spans="1:9" ht="16.5" customHeight="1" x14ac:dyDescent="0.3">
      <c r="A101" s="15" t="str">
        <f t="shared" si="22"/>
        <v>업적 - 수호자 스킬 강화 누적 횟수 60 회</v>
      </c>
      <c r="B101" s="14">
        <v>60</v>
      </c>
      <c r="C101" s="14">
        <f t="shared" si="23"/>
        <v>2000</v>
      </c>
      <c r="D101" s="46">
        <f t="shared" ref="D101" si="24">D100+500</f>
        <v>3000</v>
      </c>
      <c r="E101" s="20" t="s">
        <v>18</v>
      </c>
      <c r="G101" s="118"/>
      <c r="H101" s="118"/>
      <c r="I101" s="118"/>
    </row>
    <row r="102" spans="1:9" ht="16.5" customHeight="1" x14ac:dyDescent="0.3">
      <c r="A102" s="15" t="str">
        <f t="shared" si="22"/>
        <v>업적 - 수호자 스킬 강화 누적 횟수 100 회</v>
      </c>
      <c r="B102" s="14">
        <v>100</v>
      </c>
      <c r="C102" s="14">
        <f t="shared" si="23"/>
        <v>2500</v>
      </c>
      <c r="D102" s="46">
        <f>D101+500</f>
        <v>3500</v>
      </c>
      <c r="E102" s="20" t="s">
        <v>18</v>
      </c>
      <c r="G102" s="118"/>
      <c r="H102" s="118"/>
      <c r="I102" s="118"/>
    </row>
    <row r="103" spans="1:9" ht="16.5" customHeight="1" x14ac:dyDescent="0.3">
      <c r="A103" s="15" t="str">
        <f t="shared" si="22"/>
        <v>업적 - 수호자 스킬 강화 누적 횟수 150 회</v>
      </c>
      <c r="B103" s="14">
        <v>150</v>
      </c>
      <c r="C103" s="14">
        <f t="shared" si="23"/>
        <v>3000</v>
      </c>
      <c r="D103" s="46">
        <f>D102+500</f>
        <v>4000</v>
      </c>
      <c r="E103" s="20" t="s">
        <v>18</v>
      </c>
      <c r="G103" s="118"/>
      <c r="H103" s="118"/>
      <c r="I103" s="118"/>
    </row>
    <row r="104" spans="1:9" ht="16.5" customHeight="1" x14ac:dyDescent="0.3">
      <c r="A104" s="15" t="str">
        <f t="shared" si="22"/>
        <v>업적 - 수호자 스킬 강화 누적 횟수 200 회</v>
      </c>
      <c r="B104" s="14">
        <v>200</v>
      </c>
      <c r="C104" s="14">
        <f t="shared" si="23"/>
        <v>3500</v>
      </c>
      <c r="D104" s="46">
        <f t="shared" ref="D104:D111" si="25">D103+1000</f>
        <v>5000</v>
      </c>
      <c r="E104" s="20" t="s">
        <v>18</v>
      </c>
      <c r="G104" s="118"/>
      <c r="H104" s="118"/>
      <c r="I104" s="118"/>
    </row>
    <row r="105" spans="1:9" ht="16.5" customHeight="1" x14ac:dyDescent="0.3">
      <c r="A105" s="15" t="str">
        <f t="shared" si="22"/>
        <v>업적 - 수호자 스킬 강화 누적 횟수 300 회</v>
      </c>
      <c r="B105" s="14">
        <f>B104+100</f>
        <v>300</v>
      </c>
      <c r="C105" s="14">
        <f t="shared" si="23"/>
        <v>4000</v>
      </c>
      <c r="D105" s="46">
        <f t="shared" si="25"/>
        <v>6000</v>
      </c>
      <c r="E105" s="20" t="s">
        <v>18</v>
      </c>
      <c r="G105" s="118"/>
      <c r="H105" s="118"/>
      <c r="I105" s="118"/>
    </row>
    <row r="106" spans="1:9" ht="16.5" customHeight="1" x14ac:dyDescent="0.3">
      <c r="A106" s="15" t="str">
        <f t="shared" si="22"/>
        <v>업적 - 수호자 스킬 강화 누적 횟수 400 회</v>
      </c>
      <c r="B106" s="14">
        <f t="shared" ref="B106:B107" si="26">B105+100</f>
        <v>400</v>
      </c>
      <c r="C106" s="14">
        <f t="shared" si="23"/>
        <v>4500</v>
      </c>
      <c r="D106" s="46">
        <f t="shared" si="25"/>
        <v>7000</v>
      </c>
      <c r="E106" s="20" t="s">
        <v>18</v>
      </c>
      <c r="G106" s="118"/>
      <c r="H106" s="118"/>
      <c r="I106" s="118"/>
    </row>
    <row r="107" spans="1:9" ht="16.5" customHeight="1" x14ac:dyDescent="0.3">
      <c r="A107" s="15" t="str">
        <f t="shared" si="22"/>
        <v>업적 - 수호자 스킬 강화 누적 횟수 500 회</v>
      </c>
      <c r="B107" s="14">
        <f t="shared" si="26"/>
        <v>500</v>
      </c>
      <c r="C107" s="14">
        <f t="shared" si="23"/>
        <v>5000</v>
      </c>
      <c r="D107" s="46">
        <f t="shared" si="25"/>
        <v>8000</v>
      </c>
      <c r="E107" s="20" t="s">
        <v>18</v>
      </c>
      <c r="G107" s="118"/>
      <c r="H107" s="118"/>
      <c r="I107" s="118"/>
    </row>
    <row r="108" spans="1:9" ht="16.5" customHeight="1" x14ac:dyDescent="0.3">
      <c r="A108" s="15" t="str">
        <f t="shared" si="22"/>
        <v>업적 - 수호자 스킬 강화 누적 횟수 750 회</v>
      </c>
      <c r="B108" s="14">
        <f>B107+250</f>
        <v>750</v>
      </c>
      <c r="C108" s="14">
        <f t="shared" si="23"/>
        <v>5500</v>
      </c>
      <c r="D108" s="46">
        <f t="shared" ref="D108" si="27">D107+1000</f>
        <v>9000</v>
      </c>
      <c r="E108" s="20" t="s">
        <v>18</v>
      </c>
      <c r="G108" s="118"/>
      <c r="H108" s="118"/>
      <c r="I108" s="118"/>
    </row>
    <row r="109" spans="1:9" ht="16.5" customHeight="1" x14ac:dyDescent="0.3">
      <c r="A109" s="15" t="str">
        <f t="shared" si="22"/>
        <v>업적 - 수호자 스킬 강화 누적 횟수 1000 회</v>
      </c>
      <c r="B109" s="14">
        <f>B108+250</f>
        <v>1000</v>
      </c>
      <c r="C109" s="14">
        <f t="shared" si="23"/>
        <v>6000</v>
      </c>
      <c r="D109" s="46">
        <f t="shared" si="25"/>
        <v>10000</v>
      </c>
      <c r="E109" s="20" t="s">
        <v>18</v>
      </c>
      <c r="G109" s="118"/>
      <c r="H109" s="118"/>
      <c r="I109" s="118"/>
    </row>
    <row r="110" spans="1:9" ht="16.5" customHeight="1" x14ac:dyDescent="0.3">
      <c r="A110" s="15" t="str">
        <f t="shared" si="22"/>
        <v>업적 - 수호자 스킬 강화 누적 횟수 1500 회</v>
      </c>
      <c r="B110" s="14">
        <f>B109+500</f>
        <v>1500</v>
      </c>
      <c r="C110" s="14">
        <f t="shared" si="23"/>
        <v>6500</v>
      </c>
      <c r="D110" s="46">
        <f t="shared" si="25"/>
        <v>11000</v>
      </c>
      <c r="E110" s="20" t="s">
        <v>18</v>
      </c>
      <c r="G110" s="118"/>
      <c r="H110" s="118"/>
      <c r="I110" s="118"/>
    </row>
    <row r="111" spans="1:9" ht="16.5" customHeight="1" x14ac:dyDescent="0.3">
      <c r="A111" s="15" t="str">
        <f t="shared" si="22"/>
        <v>업적 - 수호자 스킬 강화 누적 횟수 2000 회</v>
      </c>
      <c r="B111" s="14">
        <f>B110+500</f>
        <v>2000</v>
      </c>
      <c r="C111" s="14">
        <f t="shared" si="23"/>
        <v>7000</v>
      </c>
      <c r="D111" s="46">
        <f t="shared" si="25"/>
        <v>12000</v>
      </c>
      <c r="E111" s="20" t="s">
        <v>18</v>
      </c>
      <c r="G111" s="118"/>
      <c r="H111" s="118"/>
      <c r="I111" s="118"/>
    </row>
    <row r="112" spans="1:9" ht="16.5" customHeight="1" x14ac:dyDescent="0.3">
      <c r="A112" s="18" t="str">
        <f>"업적 - 수호자 스킬 초기화 누적 횟수 " &amp; B112 &amp; " 회"</f>
        <v>업적 - 수호자 스킬 초기화 누적 횟수 1 회</v>
      </c>
      <c r="B112" s="17">
        <v>1</v>
      </c>
      <c r="C112" s="17">
        <v>4000</v>
      </c>
      <c r="D112" s="37">
        <f>'Achievement Reward List'!F8</f>
        <v>5000</v>
      </c>
      <c r="E112" s="21" t="s">
        <v>18</v>
      </c>
      <c r="G112" s="117">
        <f>SUM(D112:D113)</f>
        <v>15000</v>
      </c>
      <c r="H112" s="117">
        <f>SUM(D112:D113)</f>
        <v>15000</v>
      </c>
      <c r="I112" s="117">
        <f>SUM(D112:D113)</f>
        <v>15000</v>
      </c>
    </row>
    <row r="113" spans="1:9" ht="16.5" customHeight="1" x14ac:dyDescent="0.3">
      <c r="A113" s="18" t="str">
        <f t="shared" ref="A113" si="28">"업적 - 수호자 스킬 초기화 누적 횟수 " &amp; B113 &amp; " 회"</f>
        <v>업적 - 수호자 스킬 초기화 누적 횟수 3 회</v>
      </c>
      <c r="B113" s="17">
        <v>3</v>
      </c>
      <c r="C113" s="17">
        <f>INT(C112+C112*100%)</f>
        <v>8000</v>
      </c>
      <c r="D113" s="45">
        <v>10000</v>
      </c>
      <c r="E113" s="21" t="s">
        <v>18</v>
      </c>
      <c r="G113" s="117"/>
      <c r="H113" s="117"/>
      <c r="I113" s="117"/>
    </row>
    <row r="114" spans="1:9" ht="16.5" customHeight="1" x14ac:dyDescent="0.3">
      <c r="A114" s="19" t="str">
        <f>"업적 - 수호석 획득 누적 갯수 " &amp; B114&amp; "개"</f>
        <v>업적 - 수호석 획득 누적 갯수 1개</v>
      </c>
      <c r="B114" s="12">
        <v>1</v>
      </c>
      <c r="C114" s="12">
        <v>10</v>
      </c>
      <c r="D114" s="44">
        <f>'Achievement Reward List'!F9</f>
        <v>10</v>
      </c>
      <c r="E114" s="12" t="s">
        <v>55</v>
      </c>
      <c r="G114" s="118">
        <f>SUM(D114:D120)</f>
        <v>325</v>
      </c>
      <c r="H114" s="118">
        <f>SUM(D114:D120)</f>
        <v>325</v>
      </c>
      <c r="I114" s="118">
        <f>SUM(D114:D120)</f>
        <v>325</v>
      </c>
    </row>
    <row r="115" spans="1:9" ht="16.5" customHeight="1" x14ac:dyDescent="0.3">
      <c r="A115" s="19" t="str">
        <f t="shared" ref="A115:A120" si="29">"업적 - 수호석 획득 누적 갯수 " &amp; B115&amp; "개"</f>
        <v>업적 - 수호석 획득 누적 갯수 3개</v>
      </c>
      <c r="B115" s="12">
        <v>3</v>
      </c>
      <c r="C115" s="12">
        <v>25</v>
      </c>
      <c r="D115" s="44">
        <v>20</v>
      </c>
      <c r="E115" s="12" t="s">
        <v>55</v>
      </c>
      <c r="G115" s="118"/>
      <c r="H115" s="118"/>
      <c r="I115" s="118"/>
    </row>
    <row r="116" spans="1:9" ht="16.5" customHeight="1" x14ac:dyDescent="0.3">
      <c r="A116" s="19" t="str">
        <f t="shared" si="29"/>
        <v>업적 - 수호석 획득 누적 갯수 5개</v>
      </c>
      <c r="B116" s="12">
        <v>5</v>
      </c>
      <c r="C116" s="12">
        <v>50</v>
      </c>
      <c r="D116" s="44">
        <v>30</v>
      </c>
      <c r="E116" s="12" t="s">
        <v>55</v>
      </c>
      <c r="G116" s="118"/>
      <c r="H116" s="118"/>
      <c r="I116" s="118"/>
    </row>
    <row r="117" spans="1:9" ht="16.5" customHeight="1" x14ac:dyDescent="0.3">
      <c r="A117" s="19" t="str">
        <f t="shared" si="29"/>
        <v>업적 - 수호석 획득 누적 갯수 7개</v>
      </c>
      <c r="B117" s="12">
        <v>7</v>
      </c>
      <c r="C117" s="12">
        <v>75</v>
      </c>
      <c r="D117" s="44">
        <v>40</v>
      </c>
      <c r="E117" s="12" t="s">
        <v>55</v>
      </c>
      <c r="G117" s="118"/>
      <c r="H117" s="118"/>
      <c r="I117" s="118"/>
    </row>
    <row r="118" spans="1:9" ht="16.5" customHeight="1" x14ac:dyDescent="0.3">
      <c r="A118" s="19" t="str">
        <f t="shared" si="29"/>
        <v>업적 - 수호석 획득 누적 갯수 10개</v>
      </c>
      <c r="B118" s="12">
        <v>10</v>
      </c>
      <c r="C118" s="12">
        <v>100</v>
      </c>
      <c r="D118" s="44">
        <v>50</v>
      </c>
      <c r="E118" s="12" t="s">
        <v>55</v>
      </c>
      <c r="G118" s="118"/>
      <c r="H118" s="118"/>
      <c r="I118" s="118"/>
    </row>
    <row r="119" spans="1:9" ht="16.5" customHeight="1" x14ac:dyDescent="0.3">
      <c r="A119" s="19" t="str">
        <f t="shared" si="29"/>
        <v>업적 - 수호석 획득 누적 갯수 12개</v>
      </c>
      <c r="B119" s="12">
        <v>12</v>
      </c>
      <c r="C119" s="12">
        <v>125</v>
      </c>
      <c r="D119" s="44">
        <v>75</v>
      </c>
      <c r="E119" s="12" t="s">
        <v>55</v>
      </c>
      <c r="G119" s="118"/>
      <c r="H119" s="118"/>
      <c r="I119" s="118"/>
    </row>
    <row r="120" spans="1:9" ht="16.5" customHeight="1" x14ac:dyDescent="0.3">
      <c r="A120" s="19" t="str">
        <f t="shared" si="29"/>
        <v>업적 - 수호석 획득 누적 갯수 15개</v>
      </c>
      <c r="B120" s="12">
        <v>15</v>
      </c>
      <c r="C120" s="12">
        <v>150</v>
      </c>
      <c r="D120" s="44">
        <v>100</v>
      </c>
      <c r="E120" s="12" t="s">
        <v>55</v>
      </c>
      <c r="G120" s="118"/>
      <c r="H120" s="118"/>
      <c r="I120" s="118"/>
    </row>
    <row r="121" spans="1:9" ht="16.5" customHeight="1" x14ac:dyDescent="0.3">
      <c r="A121" s="18" t="str">
        <f>"업적 - 수호석 업그레이드 단계별 달성 " &amp; "Lv."&amp; B121</f>
        <v>업적 - 수호석 업그레이드 단계별 달성 Lv.1</v>
      </c>
      <c r="B121" s="17">
        <v>1</v>
      </c>
      <c r="C121" s="17">
        <v>3000</v>
      </c>
      <c r="D121" s="37">
        <f>'Achievement Reward List'!F10</f>
        <v>2000</v>
      </c>
      <c r="E121" s="21" t="s">
        <v>18</v>
      </c>
      <c r="G121" s="117">
        <f>SUM(D121:D125)</f>
        <v>30000</v>
      </c>
      <c r="H121" s="117">
        <f>SUM(D121:D129)</f>
        <v>120000</v>
      </c>
      <c r="I121" s="117">
        <f>SUM(D121:D134)</f>
        <v>510000</v>
      </c>
    </row>
    <row r="122" spans="1:9" ht="16.5" customHeight="1" x14ac:dyDescent="0.3">
      <c r="A122" s="18" t="str">
        <f t="shared" ref="A122:A142" si="30">"업적 - 수호석 업그레이드 단계별 달성 " &amp; "Lv."&amp; B122</f>
        <v>업적 - 수호석 업그레이드 단계별 달성 Lv.5</v>
      </c>
      <c r="B122" s="17">
        <v>5</v>
      </c>
      <c r="C122" s="17">
        <f>INT(C121+C$121*100%)</f>
        <v>6000</v>
      </c>
      <c r="D122" s="45">
        <f>INT(D121+D$121*100%)</f>
        <v>4000</v>
      </c>
      <c r="E122" s="21" t="s">
        <v>18</v>
      </c>
      <c r="G122" s="117"/>
      <c r="H122" s="117"/>
      <c r="I122" s="117"/>
    </row>
    <row r="123" spans="1:9" ht="16.5" customHeight="1" x14ac:dyDescent="0.3">
      <c r="A123" s="18" t="str">
        <f t="shared" si="30"/>
        <v>업적 - 수호석 업그레이드 단계별 달성 Lv.10</v>
      </c>
      <c r="B123" s="17">
        <v>10</v>
      </c>
      <c r="C123" s="17">
        <f t="shared" ref="C123:C125" si="31">INT(C122+C$121*100%)</f>
        <v>9000</v>
      </c>
      <c r="D123" s="45">
        <f>INT(D122+D$121*100%)</f>
        <v>6000</v>
      </c>
      <c r="E123" s="21" t="s">
        <v>18</v>
      </c>
      <c r="G123" s="117"/>
      <c r="H123" s="117"/>
      <c r="I123" s="117"/>
    </row>
    <row r="124" spans="1:9" ht="16.5" customHeight="1" x14ac:dyDescent="0.3">
      <c r="A124" s="18" t="str">
        <f t="shared" si="30"/>
        <v>업적 - 수호석 업그레이드 단계별 달성 Lv.20</v>
      </c>
      <c r="B124" s="17">
        <f>B123+B$123</f>
        <v>20</v>
      </c>
      <c r="C124" s="17">
        <f t="shared" si="31"/>
        <v>12000</v>
      </c>
      <c r="D124" s="45">
        <f>INT(D123+D$121*100%)</f>
        <v>8000</v>
      </c>
      <c r="E124" s="21" t="s">
        <v>18</v>
      </c>
      <c r="G124" s="117"/>
      <c r="H124" s="117"/>
      <c r="I124" s="117"/>
    </row>
    <row r="125" spans="1:9" ht="16.5" customHeight="1" x14ac:dyDescent="0.3">
      <c r="A125" s="18" t="str">
        <f t="shared" si="30"/>
        <v>업적 - 수호석 업그레이드 단계별 달성 Lv.30</v>
      </c>
      <c r="B125" s="17">
        <f t="shared" ref="B125:B142" si="32">B124+B$123</f>
        <v>30</v>
      </c>
      <c r="C125" s="17">
        <f t="shared" si="31"/>
        <v>15000</v>
      </c>
      <c r="D125" s="45">
        <f>INT(D124+D$121*100%)</f>
        <v>10000</v>
      </c>
      <c r="E125" s="21" t="s">
        <v>18</v>
      </c>
      <c r="G125" s="117"/>
      <c r="H125" s="117"/>
      <c r="I125" s="117"/>
    </row>
    <row r="126" spans="1:9" ht="16.5" customHeight="1" x14ac:dyDescent="0.3">
      <c r="A126" s="18" t="str">
        <f t="shared" si="30"/>
        <v>업적 - 수호석 업그레이드 단계별 달성 Lv.40</v>
      </c>
      <c r="B126" s="17">
        <f t="shared" si="32"/>
        <v>40</v>
      </c>
      <c r="C126" s="17">
        <f>INT(C125+C$125*50%)</f>
        <v>22500</v>
      </c>
      <c r="D126" s="48">
        <f>INT(D125+D$125*50%)</f>
        <v>15000</v>
      </c>
      <c r="E126" s="21" t="s">
        <v>18</v>
      </c>
      <c r="G126" s="117"/>
      <c r="H126" s="117"/>
      <c r="I126" s="117"/>
    </row>
    <row r="127" spans="1:9" ht="16.5" customHeight="1" x14ac:dyDescent="0.3">
      <c r="A127" s="18" t="str">
        <f t="shared" si="30"/>
        <v>업적 - 수호석 업그레이드 단계별 달성 Lv.50</v>
      </c>
      <c r="B127" s="17">
        <f t="shared" si="32"/>
        <v>50</v>
      </c>
      <c r="C127" s="17">
        <f>INT(C126+C$125*50%)</f>
        <v>30000</v>
      </c>
      <c r="D127" s="48">
        <f>INT(D126+D$125*50%)</f>
        <v>20000</v>
      </c>
      <c r="E127" s="21" t="s">
        <v>18</v>
      </c>
      <c r="G127" s="117"/>
      <c r="H127" s="117"/>
      <c r="I127" s="117"/>
    </row>
    <row r="128" spans="1:9" ht="16.5" customHeight="1" x14ac:dyDescent="0.3">
      <c r="A128" s="18" t="str">
        <f t="shared" si="30"/>
        <v>업적 - 수호석 업그레이드 단계별 달성 Lv.60</v>
      </c>
      <c r="B128" s="17">
        <f t="shared" si="32"/>
        <v>60</v>
      </c>
      <c r="C128" s="17">
        <f t="shared" ref="C128:C142" si="33">INT(C127+C$125*50%)</f>
        <v>37500</v>
      </c>
      <c r="D128" s="48">
        <f>INT(D127+D$125*50%)</f>
        <v>25000</v>
      </c>
      <c r="E128" s="21" t="s">
        <v>18</v>
      </c>
      <c r="G128" s="117"/>
      <c r="H128" s="117"/>
      <c r="I128" s="117"/>
    </row>
    <row r="129" spans="1:9" ht="16.5" customHeight="1" x14ac:dyDescent="0.3">
      <c r="A129" s="18" t="str">
        <f t="shared" si="30"/>
        <v>업적 - 수호석 업그레이드 단계별 달성 Lv.70</v>
      </c>
      <c r="B129" s="17">
        <f t="shared" si="32"/>
        <v>70</v>
      </c>
      <c r="C129" s="17">
        <f t="shared" si="33"/>
        <v>45000</v>
      </c>
      <c r="D129" s="48">
        <f>INT(D128+D$125*50%)</f>
        <v>30000</v>
      </c>
      <c r="E129" s="21" t="s">
        <v>18</v>
      </c>
      <c r="G129" s="117"/>
      <c r="H129" s="117"/>
      <c r="I129" s="117"/>
    </row>
    <row r="130" spans="1:9" ht="16.5" customHeight="1" x14ac:dyDescent="0.3">
      <c r="A130" s="18" t="str">
        <f t="shared" si="30"/>
        <v>업적 - 수호석 업그레이드 단계별 달성 Lv.80</v>
      </c>
      <c r="B130" s="17">
        <f t="shared" si="32"/>
        <v>80</v>
      </c>
      <c r="C130" s="21">
        <f t="shared" si="33"/>
        <v>52500</v>
      </c>
      <c r="D130" s="47">
        <f>INT(D129+D$125*100%)</f>
        <v>40000</v>
      </c>
      <c r="E130" s="21" t="s">
        <v>18</v>
      </c>
      <c r="G130" s="117"/>
      <c r="H130" s="117"/>
      <c r="I130" s="117"/>
    </row>
    <row r="131" spans="1:9" ht="16.5" customHeight="1" x14ac:dyDescent="0.3">
      <c r="A131" s="18" t="str">
        <f t="shared" si="30"/>
        <v>업적 - 수호석 업그레이드 단계별 달성 Lv.90</v>
      </c>
      <c r="B131" s="17">
        <f t="shared" si="32"/>
        <v>90</v>
      </c>
      <c r="C131" s="21">
        <f t="shared" si="33"/>
        <v>60000</v>
      </c>
      <c r="D131" s="47">
        <f>INT(D130+D$125*100%)</f>
        <v>50000</v>
      </c>
      <c r="E131" s="21" t="s">
        <v>18</v>
      </c>
      <c r="G131" s="117"/>
      <c r="H131" s="117"/>
      <c r="I131" s="117"/>
    </row>
    <row r="132" spans="1:9" ht="16.5" customHeight="1" x14ac:dyDescent="0.3">
      <c r="A132" s="18" t="str">
        <f t="shared" si="30"/>
        <v>업적 - 수호석 업그레이드 단계별 달성 Lv.100</v>
      </c>
      <c r="B132" s="17">
        <f t="shared" si="32"/>
        <v>100</v>
      </c>
      <c r="C132" s="21">
        <f t="shared" si="33"/>
        <v>67500</v>
      </c>
      <c r="D132" s="47">
        <f t="shared" ref="D132:D142" si="34">INT(D131+D$125*250%)</f>
        <v>75000</v>
      </c>
      <c r="E132" s="21" t="s">
        <v>18</v>
      </c>
      <c r="G132" s="117"/>
      <c r="H132" s="117"/>
      <c r="I132" s="117"/>
    </row>
    <row r="133" spans="1:9" ht="16.5" customHeight="1" x14ac:dyDescent="0.3">
      <c r="A133" s="18" t="str">
        <f t="shared" si="30"/>
        <v>업적 - 수호석 업그레이드 단계별 달성 Lv.110</v>
      </c>
      <c r="B133" s="17">
        <f t="shared" si="32"/>
        <v>110</v>
      </c>
      <c r="C133" s="21">
        <f t="shared" si="33"/>
        <v>75000</v>
      </c>
      <c r="D133" s="47">
        <f t="shared" si="34"/>
        <v>100000</v>
      </c>
      <c r="E133" s="21" t="s">
        <v>18</v>
      </c>
      <c r="G133" s="117"/>
      <c r="H133" s="117"/>
      <c r="I133" s="117"/>
    </row>
    <row r="134" spans="1:9" ht="16.5" customHeight="1" x14ac:dyDescent="0.3">
      <c r="A134" s="18" t="str">
        <f t="shared" si="30"/>
        <v>업적 - 수호석 업그레이드 단계별 달성 Lv.120</v>
      </c>
      <c r="B134" s="17">
        <f t="shared" si="32"/>
        <v>120</v>
      </c>
      <c r="C134" s="21">
        <f t="shared" si="33"/>
        <v>82500</v>
      </c>
      <c r="D134" s="47">
        <f t="shared" si="34"/>
        <v>125000</v>
      </c>
      <c r="E134" s="21" t="s">
        <v>18</v>
      </c>
      <c r="G134" s="117"/>
      <c r="H134" s="117"/>
      <c r="I134" s="117"/>
    </row>
    <row r="135" spans="1:9" ht="16.5" customHeight="1" x14ac:dyDescent="0.3">
      <c r="A135" s="18" t="str">
        <f t="shared" si="30"/>
        <v>업적 - 수호석 업그레이드 단계별 달성 Lv.130</v>
      </c>
      <c r="B135" s="17">
        <f t="shared" si="32"/>
        <v>130</v>
      </c>
      <c r="C135" s="21">
        <f t="shared" si="33"/>
        <v>90000</v>
      </c>
      <c r="D135" s="63">
        <f t="shared" si="34"/>
        <v>150000</v>
      </c>
      <c r="E135" s="21" t="s">
        <v>18</v>
      </c>
      <c r="G135" s="117"/>
      <c r="H135" s="117"/>
      <c r="I135" s="117"/>
    </row>
    <row r="136" spans="1:9" ht="16.5" customHeight="1" x14ac:dyDescent="0.3">
      <c r="A136" s="18" t="str">
        <f t="shared" si="30"/>
        <v>업적 - 수호석 업그레이드 단계별 달성 Lv.140</v>
      </c>
      <c r="B136" s="17">
        <f t="shared" si="32"/>
        <v>140</v>
      </c>
      <c r="C136" s="21">
        <f t="shared" si="33"/>
        <v>97500</v>
      </c>
      <c r="D136" s="63">
        <f t="shared" si="34"/>
        <v>175000</v>
      </c>
      <c r="E136" s="21" t="s">
        <v>18</v>
      </c>
      <c r="G136" s="117"/>
      <c r="H136" s="117"/>
      <c r="I136" s="117"/>
    </row>
    <row r="137" spans="1:9" ht="16.5" customHeight="1" x14ac:dyDescent="0.3">
      <c r="A137" s="18" t="str">
        <f t="shared" si="30"/>
        <v>업적 - 수호석 업그레이드 단계별 달성 Lv.150</v>
      </c>
      <c r="B137" s="17">
        <f t="shared" si="32"/>
        <v>150</v>
      </c>
      <c r="C137" s="21">
        <f t="shared" si="33"/>
        <v>105000</v>
      </c>
      <c r="D137" s="63">
        <f t="shared" si="34"/>
        <v>200000</v>
      </c>
      <c r="E137" s="21" t="s">
        <v>18</v>
      </c>
      <c r="G137" s="117"/>
      <c r="H137" s="117"/>
      <c r="I137" s="117"/>
    </row>
    <row r="138" spans="1:9" ht="16.5" customHeight="1" x14ac:dyDescent="0.3">
      <c r="A138" s="18" t="str">
        <f t="shared" si="30"/>
        <v>업적 - 수호석 업그레이드 단계별 달성 Lv.160</v>
      </c>
      <c r="B138" s="17">
        <f t="shared" si="32"/>
        <v>160</v>
      </c>
      <c r="C138" s="21">
        <f t="shared" si="33"/>
        <v>112500</v>
      </c>
      <c r="D138" s="63">
        <f t="shared" si="34"/>
        <v>225000</v>
      </c>
      <c r="E138" s="21" t="s">
        <v>18</v>
      </c>
      <c r="G138" s="117"/>
      <c r="H138" s="117"/>
      <c r="I138" s="117"/>
    </row>
    <row r="139" spans="1:9" ht="16.5" customHeight="1" x14ac:dyDescent="0.3">
      <c r="A139" s="18" t="str">
        <f t="shared" si="30"/>
        <v>업적 - 수호석 업그레이드 단계별 달성 Lv.170</v>
      </c>
      <c r="B139" s="17">
        <f t="shared" si="32"/>
        <v>170</v>
      </c>
      <c r="C139" s="21">
        <f t="shared" si="33"/>
        <v>120000</v>
      </c>
      <c r="D139" s="63">
        <f t="shared" si="34"/>
        <v>250000</v>
      </c>
      <c r="E139" s="21" t="s">
        <v>18</v>
      </c>
      <c r="G139" s="117"/>
      <c r="H139" s="117"/>
      <c r="I139" s="117"/>
    </row>
    <row r="140" spans="1:9" ht="16.5" customHeight="1" x14ac:dyDescent="0.3">
      <c r="A140" s="18" t="str">
        <f t="shared" si="30"/>
        <v>업적 - 수호석 업그레이드 단계별 달성 Lv.180</v>
      </c>
      <c r="B140" s="17">
        <f t="shared" si="32"/>
        <v>180</v>
      </c>
      <c r="C140" s="21">
        <f t="shared" si="33"/>
        <v>127500</v>
      </c>
      <c r="D140" s="63">
        <f t="shared" si="34"/>
        <v>275000</v>
      </c>
      <c r="E140" s="21" t="s">
        <v>18</v>
      </c>
      <c r="G140" s="117"/>
      <c r="H140" s="117"/>
      <c r="I140" s="117"/>
    </row>
    <row r="141" spans="1:9" ht="16.5" customHeight="1" x14ac:dyDescent="0.3">
      <c r="A141" s="18" t="str">
        <f t="shared" si="30"/>
        <v>업적 - 수호석 업그레이드 단계별 달성 Lv.190</v>
      </c>
      <c r="B141" s="17">
        <f t="shared" si="32"/>
        <v>190</v>
      </c>
      <c r="C141" s="21">
        <f t="shared" si="33"/>
        <v>135000</v>
      </c>
      <c r="D141" s="63">
        <f t="shared" si="34"/>
        <v>300000</v>
      </c>
      <c r="E141" s="21" t="s">
        <v>18</v>
      </c>
      <c r="G141" s="117"/>
      <c r="H141" s="117"/>
      <c r="I141" s="117"/>
    </row>
    <row r="142" spans="1:9" ht="16.5" customHeight="1" x14ac:dyDescent="0.3">
      <c r="A142" s="18" t="str">
        <f t="shared" si="30"/>
        <v>업적 - 수호석 업그레이드 단계별 달성 Lv.200</v>
      </c>
      <c r="B142" s="17">
        <f t="shared" si="32"/>
        <v>200</v>
      </c>
      <c r="C142" s="21">
        <f t="shared" si="33"/>
        <v>142500</v>
      </c>
      <c r="D142" s="63">
        <f t="shared" si="34"/>
        <v>325000</v>
      </c>
      <c r="E142" s="21" t="s">
        <v>18</v>
      </c>
      <c r="G142" s="117"/>
      <c r="H142" s="117"/>
      <c r="I142" s="117"/>
    </row>
    <row r="143" spans="1:9" ht="16.5" customHeight="1" x14ac:dyDescent="0.3">
      <c r="A143" s="15" t="s">
        <v>46</v>
      </c>
      <c r="B143" s="14">
        <v>5</v>
      </c>
      <c r="C143" s="14">
        <v>100</v>
      </c>
      <c r="D143" s="35">
        <v>50</v>
      </c>
      <c r="E143" s="20" t="s">
        <v>20</v>
      </c>
      <c r="G143" s="118">
        <f>SUM(D143:D159)</f>
        <v>850</v>
      </c>
      <c r="H143" s="118">
        <f>SUM(D143:D167)</f>
        <v>1250</v>
      </c>
      <c r="I143" s="118">
        <f>SUM(D143:D182)</f>
        <v>2000</v>
      </c>
    </row>
    <row r="144" spans="1:9" ht="16.5" customHeight="1" x14ac:dyDescent="0.3">
      <c r="A144" s="15" t="s">
        <v>31</v>
      </c>
      <c r="B144" s="14">
        <f>B143+5</f>
        <v>10</v>
      </c>
      <c r="C144" s="14">
        <f>C143</f>
        <v>100</v>
      </c>
      <c r="D144" s="46">
        <f>D143</f>
        <v>50</v>
      </c>
      <c r="E144" s="20" t="s">
        <v>20</v>
      </c>
      <c r="G144" s="118"/>
      <c r="H144" s="118"/>
      <c r="I144" s="118"/>
    </row>
    <row r="145" spans="1:9" ht="16.5" customHeight="1" x14ac:dyDescent="0.3">
      <c r="A145" s="15" t="s">
        <v>32</v>
      </c>
      <c r="B145" s="14">
        <f t="shared" ref="B145:B182" si="35">B144+5</f>
        <v>15</v>
      </c>
      <c r="C145" s="14">
        <f t="shared" ref="C145:C159" si="36">C144</f>
        <v>100</v>
      </c>
      <c r="D145" s="46">
        <f t="shared" ref="D145:D159" si="37">D144</f>
        <v>50</v>
      </c>
      <c r="E145" s="20" t="s">
        <v>20</v>
      </c>
      <c r="G145" s="118"/>
      <c r="H145" s="118"/>
      <c r="I145" s="118"/>
    </row>
    <row r="146" spans="1:9" ht="16.5" customHeight="1" x14ac:dyDescent="0.3">
      <c r="A146" s="15" t="s">
        <v>47</v>
      </c>
      <c r="B146" s="14">
        <f t="shared" si="35"/>
        <v>20</v>
      </c>
      <c r="C146" s="14">
        <f t="shared" si="36"/>
        <v>100</v>
      </c>
      <c r="D146" s="46">
        <f t="shared" si="37"/>
        <v>50</v>
      </c>
      <c r="E146" s="20" t="s">
        <v>20</v>
      </c>
      <c r="G146" s="118"/>
      <c r="H146" s="118"/>
      <c r="I146" s="118"/>
    </row>
    <row r="147" spans="1:9" ht="16.5" customHeight="1" x14ac:dyDescent="0.3">
      <c r="A147" s="15" t="s">
        <v>48</v>
      </c>
      <c r="B147" s="14">
        <f t="shared" si="35"/>
        <v>25</v>
      </c>
      <c r="C147" s="14">
        <f t="shared" si="36"/>
        <v>100</v>
      </c>
      <c r="D147" s="46">
        <f t="shared" si="37"/>
        <v>50</v>
      </c>
      <c r="E147" s="20" t="s">
        <v>20</v>
      </c>
      <c r="G147" s="118"/>
      <c r="H147" s="118"/>
      <c r="I147" s="118"/>
    </row>
    <row r="148" spans="1:9" ht="16.5" customHeight="1" x14ac:dyDescent="0.3">
      <c r="A148" s="15" t="s">
        <v>33</v>
      </c>
      <c r="B148" s="14">
        <f t="shared" si="35"/>
        <v>30</v>
      </c>
      <c r="C148" s="14">
        <f t="shared" si="36"/>
        <v>100</v>
      </c>
      <c r="D148" s="46">
        <f t="shared" si="37"/>
        <v>50</v>
      </c>
      <c r="E148" s="20" t="s">
        <v>20</v>
      </c>
      <c r="G148" s="118"/>
      <c r="H148" s="118"/>
      <c r="I148" s="118"/>
    </row>
    <row r="149" spans="1:9" ht="16.5" customHeight="1" x14ac:dyDescent="0.3">
      <c r="A149" s="15" t="s">
        <v>34</v>
      </c>
      <c r="B149" s="14">
        <f t="shared" si="35"/>
        <v>35</v>
      </c>
      <c r="C149" s="14">
        <f t="shared" si="36"/>
        <v>100</v>
      </c>
      <c r="D149" s="46">
        <f t="shared" si="37"/>
        <v>50</v>
      </c>
      <c r="E149" s="20" t="s">
        <v>20</v>
      </c>
      <c r="G149" s="118"/>
      <c r="H149" s="118"/>
      <c r="I149" s="118"/>
    </row>
    <row r="150" spans="1:9" ht="16.5" customHeight="1" x14ac:dyDescent="0.3">
      <c r="A150" s="15" t="s">
        <v>35</v>
      </c>
      <c r="B150" s="14">
        <f t="shared" si="35"/>
        <v>40</v>
      </c>
      <c r="C150" s="14">
        <f t="shared" si="36"/>
        <v>100</v>
      </c>
      <c r="D150" s="46">
        <f t="shared" si="37"/>
        <v>50</v>
      </c>
      <c r="E150" s="20" t="s">
        <v>20</v>
      </c>
      <c r="G150" s="118"/>
      <c r="H150" s="118"/>
      <c r="I150" s="118"/>
    </row>
    <row r="151" spans="1:9" ht="16.5" customHeight="1" x14ac:dyDescent="0.3">
      <c r="A151" s="15" t="s">
        <v>36</v>
      </c>
      <c r="B151" s="14">
        <f t="shared" si="35"/>
        <v>45</v>
      </c>
      <c r="C151" s="14">
        <f t="shared" si="36"/>
        <v>100</v>
      </c>
      <c r="D151" s="46">
        <f t="shared" si="37"/>
        <v>50</v>
      </c>
      <c r="E151" s="20" t="s">
        <v>20</v>
      </c>
      <c r="G151" s="118"/>
      <c r="H151" s="118"/>
      <c r="I151" s="118"/>
    </row>
    <row r="152" spans="1:9" ht="16.5" customHeight="1" x14ac:dyDescent="0.3">
      <c r="A152" s="15" t="s">
        <v>37</v>
      </c>
      <c r="B152" s="14">
        <f t="shared" si="35"/>
        <v>50</v>
      </c>
      <c r="C152" s="14">
        <f t="shared" si="36"/>
        <v>100</v>
      </c>
      <c r="D152" s="46">
        <f t="shared" si="37"/>
        <v>50</v>
      </c>
      <c r="E152" s="20" t="s">
        <v>20</v>
      </c>
      <c r="G152" s="118"/>
      <c r="H152" s="118"/>
      <c r="I152" s="118"/>
    </row>
    <row r="153" spans="1:9" ht="16.5" customHeight="1" x14ac:dyDescent="0.3">
      <c r="A153" s="15" t="s">
        <v>38</v>
      </c>
      <c r="B153" s="14">
        <f t="shared" si="35"/>
        <v>55</v>
      </c>
      <c r="C153" s="14">
        <f t="shared" si="36"/>
        <v>100</v>
      </c>
      <c r="D153" s="46">
        <f t="shared" si="37"/>
        <v>50</v>
      </c>
      <c r="E153" s="20" t="s">
        <v>20</v>
      </c>
      <c r="G153" s="118"/>
      <c r="H153" s="118"/>
      <c r="I153" s="118"/>
    </row>
    <row r="154" spans="1:9" ht="16.5" customHeight="1" x14ac:dyDescent="0.3">
      <c r="A154" s="15" t="s">
        <v>39</v>
      </c>
      <c r="B154" s="14">
        <f t="shared" si="35"/>
        <v>60</v>
      </c>
      <c r="C154" s="14">
        <f t="shared" si="36"/>
        <v>100</v>
      </c>
      <c r="D154" s="46">
        <f t="shared" si="37"/>
        <v>50</v>
      </c>
      <c r="E154" s="20" t="s">
        <v>20</v>
      </c>
      <c r="G154" s="118"/>
      <c r="H154" s="118"/>
      <c r="I154" s="118"/>
    </row>
    <row r="155" spans="1:9" ht="16.5" customHeight="1" x14ac:dyDescent="0.3">
      <c r="A155" s="15" t="s">
        <v>40</v>
      </c>
      <c r="B155" s="14">
        <f t="shared" si="35"/>
        <v>65</v>
      </c>
      <c r="C155" s="14">
        <f t="shared" si="36"/>
        <v>100</v>
      </c>
      <c r="D155" s="46">
        <f t="shared" si="37"/>
        <v>50</v>
      </c>
      <c r="E155" s="20" t="s">
        <v>20</v>
      </c>
      <c r="G155" s="118"/>
      <c r="H155" s="118"/>
      <c r="I155" s="118"/>
    </row>
    <row r="156" spans="1:9" ht="16.5" customHeight="1" x14ac:dyDescent="0.3">
      <c r="A156" s="15" t="s">
        <v>41</v>
      </c>
      <c r="B156" s="14">
        <f t="shared" si="35"/>
        <v>70</v>
      </c>
      <c r="C156" s="14">
        <f t="shared" si="36"/>
        <v>100</v>
      </c>
      <c r="D156" s="46">
        <f t="shared" si="37"/>
        <v>50</v>
      </c>
      <c r="E156" s="20" t="s">
        <v>20</v>
      </c>
      <c r="G156" s="118"/>
      <c r="H156" s="118"/>
      <c r="I156" s="118"/>
    </row>
    <row r="157" spans="1:9" ht="16.5" customHeight="1" x14ac:dyDescent="0.3">
      <c r="A157" s="15" t="s">
        <v>42</v>
      </c>
      <c r="B157" s="14">
        <f t="shared" si="35"/>
        <v>75</v>
      </c>
      <c r="C157" s="14">
        <f t="shared" si="36"/>
        <v>100</v>
      </c>
      <c r="D157" s="46">
        <f t="shared" si="37"/>
        <v>50</v>
      </c>
      <c r="E157" s="20" t="s">
        <v>20</v>
      </c>
      <c r="G157" s="118"/>
      <c r="H157" s="118"/>
      <c r="I157" s="118"/>
    </row>
    <row r="158" spans="1:9" ht="16.5" customHeight="1" x14ac:dyDescent="0.3">
      <c r="A158" s="15" t="s">
        <v>225</v>
      </c>
      <c r="B158" s="14">
        <f t="shared" si="35"/>
        <v>80</v>
      </c>
      <c r="C158" s="14">
        <f t="shared" si="36"/>
        <v>100</v>
      </c>
      <c r="D158" s="46">
        <f t="shared" si="37"/>
        <v>50</v>
      </c>
      <c r="E158" s="20" t="s">
        <v>20</v>
      </c>
      <c r="G158" s="118"/>
      <c r="H158" s="118"/>
      <c r="I158" s="118"/>
    </row>
    <row r="159" spans="1:9" ht="16.5" customHeight="1" x14ac:dyDescent="0.3">
      <c r="A159" s="15" t="s">
        <v>226</v>
      </c>
      <c r="B159" s="14">
        <f t="shared" si="35"/>
        <v>85</v>
      </c>
      <c r="C159" s="14">
        <f t="shared" si="36"/>
        <v>100</v>
      </c>
      <c r="D159" s="46">
        <f t="shared" si="37"/>
        <v>50</v>
      </c>
      <c r="E159" s="20" t="s">
        <v>20</v>
      </c>
      <c r="G159" s="118"/>
      <c r="H159" s="118"/>
      <c r="I159" s="118"/>
    </row>
    <row r="160" spans="1:9" ht="16.5" customHeight="1" x14ac:dyDescent="0.3">
      <c r="A160" s="15" t="s">
        <v>227</v>
      </c>
      <c r="B160" s="14">
        <f t="shared" si="35"/>
        <v>90</v>
      </c>
      <c r="C160" s="14">
        <f t="shared" ref="C160:C175" si="38">C159</f>
        <v>100</v>
      </c>
      <c r="D160" s="48">
        <f>D159</f>
        <v>50</v>
      </c>
      <c r="E160" s="20" t="s">
        <v>20</v>
      </c>
      <c r="G160" s="118"/>
      <c r="H160" s="118"/>
      <c r="I160" s="118"/>
    </row>
    <row r="161" spans="1:9" ht="16.5" customHeight="1" x14ac:dyDescent="0.3">
      <c r="A161" s="15" t="s">
        <v>228</v>
      </c>
      <c r="B161" s="14">
        <f t="shared" si="35"/>
        <v>95</v>
      </c>
      <c r="C161" s="14">
        <f t="shared" si="38"/>
        <v>100</v>
      </c>
      <c r="D161" s="48">
        <f>D160</f>
        <v>50</v>
      </c>
      <c r="E161" s="20" t="s">
        <v>20</v>
      </c>
      <c r="G161" s="118"/>
      <c r="H161" s="118"/>
      <c r="I161" s="118"/>
    </row>
    <row r="162" spans="1:9" ht="16.5" customHeight="1" x14ac:dyDescent="0.3">
      <c r="A162" s="15" t="s">
        <v>229</v>
      </c>
      <c r="B162" s="14">
        <f t="shared" si="35"/>
        <v>100</v>
      </c>
      <c r="C162" s="14">
        <f t="shared" si="38"/>
        <v>100</v>
      </c>
      <c r="D162" s="48">
        <f>D161</f>
        <v>50</v>
      </c>
      <c r="E162" s="20" t="s">
        <v>20</v>
      </c>
      <c r="G162" s="118"/>
      <c r="H162" s="118"/>
      <c r="I162" s="118"/>
    </row>
    <row r="163" spans="1:9" ht="16.5" customHeight="1" x14ac:dyDescent="0.3">
      <c r="A163" s="15" t="s">
        <v>230</v>
      </c>
      <c r="B163" s="14">
        <f t="shared" si="35"/>
        <v>105</v>
      </c>
      <c r="C163" s="14">
        <f t="shared" si="38"/>
        <v>100</v>
      </c>
      <c r="D163" s="48">
        <f t="shared" ref="D163:D182" si="39">D162</f>
        <v>50</v>
      </c>
      <c r="E163" s="20" t="s">
        <v>20</v>
      </c>
      <c r="G163" s="118"/>
      <c r="H163" s="118"/>
      <c r="I163" s="118"/>
    </row>
    <row r="164" spans="1:9" ht="16.5" customHeight="1" x14ac:dyDescent="0.3">
      <c r="A164" s="15" t="s">
        <v>231</v>
      </c>
      <c r="B164" s="14">
        <f t="shared" si="35"/>
        <v>110</v>
      </c>
      <c r="C164" s="14">
        <f t="shared" si="38"/>
        <v>100</v>
      </c>
      <c r="D164" s="48">
        <f t="shared" si="39"/>
        <v>50</v>
      </c>
      <c r="E164" s="20" t="s">
        <v>20</v>
      </c>
      <c r="G164" s="118"/>
      <c r="H164" s="118"/>
      <c r="I164" s="118"/>
    </row>
    <row r="165" spans="1:9" ht="16.5" customHeight="1" x14ac:dyDescent="0.3">
      <c r="A165" s="15" t="s">
        <v>232</v>
      </c>
      <c r="B165" s="14">
        <f t="shared" si="35"/>
        <v>115</v>
      </c>
      <c r="C165" s="14">
        <f t="shared" si="38"/>
        <v>100</v>
      </c>
      <c r="D165" s="48">
        <f t="shared" si="39"/>
        <v>50</v>
      </c>
      <c r="E165" s="20" t="s">
        <v>20</v>
      </c>
      <c r="G165" s="118"/>
      <c r="H165" s="118"/>
      <c r="I165" s="118"/>
    </row>
    <row r="166" spans="1:9" ht="16.5" customHeight="1" x14ac:dyDescent="0.3">
      <c r="A166" s="15" t="s">
        <v>233</v>
      </c>
      <c r="B166" s="14">
        <f t="shared" si="35"/>
        <v>120</v>
      </c>
      <c r="C166" s="14">
        <f t="shared" si="38"/>
        <v>100</v>
      </c>
      <c r="D166" s="48">
        <f t="shared" si="39"/>
        <v>50</v>
      </c>
      <c r="E166" s="20" t="s">
        <v>20</v>
      </c>
      <c r="G166" s="118"/>
      <c r="H166" s="118"/>
      <c r="I166" s="118"/>
    </row>
    <row r="167" spans="1:9" ht="16.5" customHeight="1" x14ac:dyDescent="0.3">
      <c r="A167" s="15" t="s">
        <v>234</v>
      </c>
      <c r="B167" s="14">
        <f t="shared" si="35"/>
        <v>125</v>
      </c>
      <c r="C167" s="14">
        <f t="shared" si="38"/>
        <v>100</v>
      </c>
      <c r="D167" s="48">
        <f t="shared" si="39"/>
        <v>50</v>
      </c>
      <c r="E167" s="20" t="s">
        <v>20</v>
      </c>
      <c r="G167" s="118"/>
      <c r="H167" s="118"/>
      <c r="I167" s="118"/>
    </row>
    <row r="168" spans="1:9" ht="16.5" customHeight="1" x14ac:dyDescent="0.3">
      <c r="A168" s="15" t="s">
        <v>210</v>
      </c>
      <c r="B168" s="14">
        <f t="shared" si="35"/>
        <v>130</v>
      </c>
      <c r="C168" s="14">
        <f t="shared" si="38"/>
        <v>100</v>
      </c>
      <c r="D168" s="47">
        <f t="shared" si="39"/>
        <v>50</v>
      </c>
      <c r="E168" s="20" t="s">
        <v>20</v>
      </c>
      <c r="G168" s="118"/>
      <c r="H168" s="118"/>
      <c r="I168" s="118"/>
    </row>
    <row r="169" spans="1:9" ht="16.5" customHeight="1" x14ac:dyDescent="0.3">
      <c r="A169" s="15" t="s">
        <v>211</v>
      </c>
      <c r="B169" s="14">
        <f t="shared" si="35"/>
        <v>135</v>
      </c>
      <c r="C169" s="14">
        <f t="shared" si="38"/>
        <v>100</v>
      </c>
      <c r="D169" s="47">
        <f t="shared" si="39"/>
        <v>50</v>
      </c>
      <c r="E169" s="20" t="s">
        <v>20</v>
      </c>
      <c r="G169" s="118"/>
      <c r="H169" s="118"/>
      <c r="I169" s="118"/>
    </row>
    <row r="170" spans="1:9" ht="16.5" customHeight="1" x14ac:dyDescent="0.3">
      <c r="A170" s="15" t="s">
        <v>212</v>
      </c>
      <c r="B170" s="14">
        <f t="shared" si="35"/>
        <v>140</v>
      </c>
      <c r="C170" s="14">
        <f t="shared" si="38"/>
        <v>100</v>
      </c>
      <c r="D170" s="47">
        <f t="shared" si="39"/>
        <v>50</v>
      </c>
      <c r="E170" s="20" t="s">
        <v>20</v>
      </c>
      <c r="G170" s="118"/>
      <c r="H170" s="118"/>
      <c r="I170" s="118"/>
    </row>
    <row r="171" spans="1:9" ht="16.5" customHeight="1" x14ac:dyDescent="0.3">
      <c r="A171" s="15" t="s">
        <v>213</v>
      </c>
      <c r="B171" s="14">
        <f t="shared" si="35"/>
        <v>145</v>
      </c>
      <c r="C171" s="14">
        <f t="shared" si="38"/>
        <v>100</v>
      </c>
      <c r="D171" s="47">
        <f t="shared" si="39"/>
        <v>50</v>
      </c>
      <c r="E171" s="20" t="s">
        <v>20</v>
      </c>
      <c r="G171" s="118"/>
      <c r="H171" s="118"/>
      <c r="I171" s="118"/>
    </row>
    <row r="172" spans="1:9" ht="16.5" customHeight="1" x14ac:dyDescent="0.3">
      <c r="A172" s="15" t="s">
        <v>214</v>
      </c>
      <c r="B172" s="14">
        <f t="shared" si="35"/>
        <v>150</v>
      </c>
      <c r="C172" s="14">
        <f t="shared" si="38"/>
        <v>100</v>
      </c>
      <c r="D172" s="47">
        <f t="shared" si="39"/>
        <v>50</v>
      </c>
      <c r="E172" s="20" t="s">
        <v>20</v>
      </c>
      <c r="G172" s="118"/>
      <c r="H172" s="118"/>
      <c r="I172" s="118"/>
    </row>
    <row r="173" spans="1:9" ht="16.5" customHeight="1" x14ac:dyDescent="0.3">
      <c r="A173" s="15" t="s">
        <v>215</v>
      </c>
      <c r="B173" s="14">
        <f t="shared" si="35"/>
        <v>155</v>
      </c>
      <c r="C173" s="14">
        <f t="shared" si="38"/>
        <v>100</v>
      </c>
      <c r="D173" s="47">
        <f t="shared" si="39"/>
        <v>50</v>
      </c>
      <c r="E173" s="20" t="s">
        <v>20</v>
      </c>
      <c r="G173" s="118"/>
      <c r="H173" s="118"/>
      <c r="I173" s="118"/>
    </row>
    <row r="174" spans="1:9" ht="16.5" customHeight="1" x14ac:dyDescent="0.3">
      <c r="A174" s="15" t="s">
        <v>216</v>
      </c>
      <c r="B174" s="14">
        <f t="shared" si="35"/>
        <v>160</v>
      </c>
      <c r="C174" s="14">
        <f t="shared" si="38"/>
        <v>100</v>
      </c>
      <c r="D174" s="47">
        <f t="shared" si="39"/>
        <v>50</v>
      </c>
      <c r="E174" s="20" t="s">
        <v>20</v>
      </c>
      <c r="G174" s="118"/>
      <c r="H174" s="118"/>
      <c r="I174" s="118"/>
    </row>
    <row r="175" spans="1:9" ht="16.5" customHeight="1" x14ac:dyDescent="0.3">
      <c r="A175" s="15" t="s">
        <v>217</v>
      </c>
      <c r="B175" s="14">
        <f t="shared" si="35"/>
        <v>165</v>
      </c>
      <c r="C175" s="14">
        <f t="shared" si="38"/>
        <v>100</v>
      </c>
      <c r="D175" s="47">
        <f t="shared" si="39"/>
        <v>50</v>
      </c>
      <c r="E175" s="20" t="s">
        <v>20</v>
      </c>
      <c r="G175" s="118"/>
      <c r="H175" s="118"/>
      <c r="I175" s="118"/>
    </row>
    <row r="176" spans="1:9" ht="16.5" customHeight="1" x14ac:dyDescent="0.3">
      <c r="A176" s="15" t="s">
        <v>218</v>
      </c>
      <c r="B176" s="14">
        <f t="shared" si="35"/>
        <v>170</v>
      </c>
      <c r="C176" s="14">
        <f t="shared" ref="C176:C182" si="40">C175</f>
        <v>100</v>
      </c>
      <c r="D176" s="47">
        <f t="shared" si="39"/>
        <v>50</v>
      </c>
      <c r="E176" s="20" t="s">
        <v>20</v>
      </c>
      <c r="G176" s="118"/>
      <c r="H176" s="118"/>
      <c r="I176" s="118"/>
    </row>
    <row r="177" spans="1:9" ht="16.5" customHeight="1" x14ac:dyDescent="0.3">
      <c r="A177" s="15" t="s">
        <v>219</v>
      </c>
      <c r="B177" s="14">
        <f t="shared" si="35"/>
        <v>175</v>
      </c>
      <c r="C177" s="14">
        <f t="shared" si="40"/>
        <v>100</v>
      </c>
      <c r="D177" s="47">
        <f t="shared" si="39"/>
        <v>50</v>
      </c>
      <c r="E177" s="20" t="s">
        <v>20</v>
      </c>
      <c r="G177" s="118"/>
      <c r="H177" s="118"/>
      <c r="I177" s="118"/>
    </row>
    <row r="178" spans="1:9" ht="16.5" customHeight="1" x14ac:dyDescent="0.3">
      <c r="A178" s="15" t="s">
        <v>220</v>
      </c>
      <c r="B178" s="14">
        <f t="shared" si="35"/>
        <v>180</v>
      </c>
      <c r="C178" s="14">
        <f t="shared" si="40"/>
        <v>100</v>
      </c>
      <c r="D178" s="47">
        <f t="shared" si="39"/>
        <v>50</v>
      </c>
      <c r="E178" s="20" t="s">
        <v>20</v>
      </c>
      <c r="G178" s="118"/>
      <c r="H178" s="118"/>
      <c r="I178" s="118"/>
    </row>
    <row r="179" spans="1:9" ht="16.5" customHeight="1" x14ac:dyDescent="0.3">
      <c r="A179" s="15" t="s">
        <v>221</v>
      </c>
      <c r="B179" s="14">
        <f t="shared" si="35"/>
        <v>185</v>
      </c>
      <c r="C179" s="14">
        <f t="shared" si="40"/>
        <v>100</v>
      </c>
      <c r="D179" s="47">
        <f t="shared" si="39"/>
        <v>50</v>
      </c>
      <c r="E179" s="20" t="s">
        <v>20</v>
      </c>
      <c r="G179" s="118"/>
      <c r="H179" s="118"/>
      <c r="I179" s="118"/>
    </row>
    <row r="180" spans="1:9" ht="16.5" customHeight="1" x14ac:dyDescent="0.3">
      <c r="A180" s="15" t="s">
        <v>222</v>
      </c>
      <c r="B180" s="14">
        <f t="shared" si="35"/>
        <v>190</v>
      </c>
      <c r="C180" s="14">
        <f t="shared" si="40"/>
        <v>100</v>
      </c>
      <c r="D180" s="47">
        <f t="shared" si="39"/>
        <v>50</v>
      </c>
      <c r="E180" s="20" t="s">
        <v>20</v>
      </c>
      <c r="G180" s="118"/>
      <c r="H180" s="118"/>
      <c r="I180" s="118"/>
    </row>
    <row r="181" spans="1:9" ht="16.5" customHeight="1" x14ac:dyDescent="0.3">
      <c r="A181" s="15" t="s">
        <v>223</v>
      </c>
      <c r="B181" s="14">
        <f t="shared" si="35"/>
        <v>195</v>
      </c>
      <c r="C181" s="14">
        <f t="shared" si="40"/>
        <v>100</v>
      </c>
      <c r="D181" s="47">
        <f t="shared" si="39"/>
        <v>50</v>
      </c>
      <c r="E181" s="20" t="s">
        <v>20</v>
      </c>
      <c r="G181" s="118"/>
      <c r="H181" s="118"/>
      <c r="I181" s="118"/>
    </row>
    <row r="182" spans="1:9" ht="16.5" customHeight="1" x14ac:dyDescent="0.3">
      <c r="A182" s="15" t="s">
        <v>224</v>
      </c>
      <c r="B182" s="14">
        <f t="shared" si="35"/>
        <v>200</v>
      </c>
      <c r="C182" s="14">
        <f t="shared" si="40"/>
        <v>100</v>
      </c>
      <c r="D182" s="47">
        <f t="shared" si="39"/>
        <v>50</v>
      </c>
      <c r="E182" s="20" t="s">
        <v>20</v>
      </c>
      <c r="G182" s="118"/>
      <c r="H182" s="118"/>
      <c r="I182" s="118"/>
    </row>
    <row r="183" spans="1:9" ht="16.5" customHeight="1" x14ac:dyDescent="0.3">
      <c r="A183" s="18" t="str">
        <f>"업적 - 결투장 "&amp;B183&amp;"연승 달성"</f>
        <v>업적 - 결투장 1연승 달성</v>
      </c>
      <c r="B183" s="17">
        <v>1</v>
      </c>
      <c r="C183" s="17">
        <v>10</v>
      </c>
      <c r="D183" s="17">
        <f>'Achievement Reward List'!F12</f>
        <v>10</v>
      </c>
      <c r="E183" s="21" t="s">
        <v>20</v>
      </c>
      <c r="G183" s="117">
        <f>SUM(D183:D197)</f>
        <v>1200</v>
      </c>
      <c r="H183" s="117">
        <f>SUM(D183:D204)</f>
        <v>2530</v>
      </c>
      <c r="I183" s="117">
        <f>SUM(D183:D208)</f>
        <v>3510</v>
      </c>
    </row>
    <row r="184" spans="1:9" ht="16.5" customHeight="1" x14ac:dyDescent="0.3">
      <c r="A184" s="18" t="str">
        <f t="shared" ref="A184:A213" si="41">"업적 - 결투장 "&amp;B184&amp;"연승 달성"</f>
        <v>업적 - 결투장 2연승 달성</v>
      </c>
      <c r="B184" s="17">
        <f>B183+1</f>
        <v>2</v>
      </c>
      <c r="C184" s="17">
        <f>C183+C$183</f>
        <v>20</v>
      </c>
      <c r="D184" s="17">
        <f>D183+D$183</f>
        <v>20</v>
      </c>
      <c r="E184" s="21" t="s">
        <v>20</v>
      </c>
      <c r="G184" s="117"/>
      <c r="H184" s="117"/>
      <c r="I184" s="117"/>
    </row>
    <row r="185" spans="1:9" ht="16.5" customHeight="1" x14ac:dyDescent="0.3">
      <c r="A185" s="18" t="str">
        <f t="shared" si="41"/>
        <v>업적 - 결투장 3연승 달성</v>
      </c>
      <c r="B185" s="17">
        <f t="shared" ref="B185:B190" si="42">B184+1</f>
        <v>3</v>
      </c>
      <c r="C185" s="17">
        <f t="shared" ref="C185:C213" si="43">C184+C$183</f>
        <v>30</v>
      </c>
      <c r="D185" s="17">
        <f t="shared" ref="D185:D213" si="44">D184+D$183</f>
        <v>30</v>
      </c>
      <c r="E185" s="21" t="s">
        <v>20</v>
      </c>
      <c r="G185" s="117"/>
      <c r="H185" s="117"/>
      <c r="I185" s="117"/>
    </row>
    <row r="186" spans="1:9" ht="16.5" customHeight="1" x14ac:dyDescent="0.3">
      <c r="A186" s="18" t="str">
        <f t="shared" si="41"/>
        <v>업적 - 결투장 4연승 달성</v>
      </c>
      <c r="B186" s="17">
        <f t="shared" si="42"/>
        <v>4</v>
      </c>
      <c r="C186" s="17">
        <f t="shared" si="43"/>
        <v>40</v>
      </c>
      <c r="D186" s="17">
        <f t="shared" si="44"/>
        <v>40</v>
      </c>
      <c r="E186" s="21" t="s">
        <v>20</v>
      </c>
      <c r="G186" s="117"/>
      <c r="H186" s="117"/>
      <c r="I186" s="117"/>
    </row>
    <row r="187" spans="1:9" ht="16.5" customHeight="1" x14ac:dyDescent="0.3">
      <c r="A187" s="18" t="str">
        <f t="shared" si="41"/>
        <v>업적 - 결투장 5연승 달성</v>
      </c>
      <c r="B187" s="17">
        <f t="shared" si="42"/>
        <v>5</v>
      </c>
      <c r="C187" s="17">
        <f t="shared" si="43"/>
        <v>50</v>
      </c>
      <c r="D187" s="17">
        <f t="shared" si="44"/>
        <v>50</v>
      </c>
      <c r="E187" s="21" t="s">
        <v>20</v>
      </c>
      <c r="G187" s="117"/>
      <c r="H187" s="117"/>
      <c r="I187" s="117"/>
    </row>
    <row r="188" spans="1:9" ht="16.5" customHeight="1" x14ac:dyDescent="0.3">
      <c r="A188" s="18" t="str">
        <f t="shared" si="41"/>
        <v>업적 - 결투장 6연승 달성</v>
      </c>
      <c r="B188" s="17">
        <f t="shared" si="42"/>
        <v>6</v>
      </c>
      <c r="C188" s="17">
        <f t="shared" si="43"/>
        <v>60</v>
      </c>
      <c r="D188" s="17">
        <f t="shared" si="44"/>
        <v>60</v>
      </c>
      <c r="E188" s="21" t="s">
        <v>20</v>
      </c>
      <c r="G188" s="117"/>
      <c r="H188" s="117"/>
      <c r="I188" s="117"/>
    </row>
    <row r="189" spans="1:9" ht="16.5" customHeight="1" x14ac:dyDescent="0.3">
      <c r="A189" s="18" t="str">
        <f t="shared" si="41"/>
        <v>업적 - 결투장 7연승 달성</v>
      </c>
      <c r="B189" s="17">
        <f t="shared" si="42"/>
        <v>7</v>
      </c>
      <c r="C189" s="17">
        <f t="shared" si="43"/>
        <v>70</v>
      </c>
      <c r="D189" s="17">
        <f t="shared" si="44"/>
        <v>70</v>
      </c>
      <c r="E189" s="21" t="s">
        <v>20</v>
      </c>
      <c r="G189" s="117"/>
      <c r="H189" s="117"/>
      <c r="I189" s="117"/>
    </row>
    <row r="190" spans="1:9" ht="16.5" customHeight="1" x14ac:dyDescent="0.3">
      <c r="A190" s="18" t="str">
        <f t="shared" si="41"/>
        <v>업적 - 결투장 8연승 달성</v>
      </c>
      <c r="B190" s="17">
        <f t="shared" si="42"/>
        <v>8</v>
      </c>
      <c r="C190" s="17">
        <f t="shared" si="43"/>
        <v>80</v>
      </c>
      <c r="D190" s="17">
        <f t="shared" si="44"/>
        <v>80</v>
      </c>
      <c r="E190" s="21" t="s">
        <v>20</v>
      </c>
      <c r="G190" s="117"/>
      <c r="H190" s="117"/>
      <c r="I190" s="117"/>
    </row>
    <row r="191" spans="1:9" ht="16.5" customHeight="1" x14ac:dyDescent="0.3">
      <c r="A191" s="18" t="str">
        <f t="shared" si="41"/>
        <v>업적 - 결투장 9연승 달성</v>
      </c>
      <c r="B191" s="17">
        <f>B190+1</f>
        <v>9</v>
      </c>
      <c r="C191" s="17">
        <f t="shared" si="43"/>
        <v>90</v>
      </c>
      <c r="D191" s="17">
        <f t="shared" si="44"/>
        <v>90</v>
      </c>
      <c r="E191" s="21" t="s">
        <v>20</v>
      </c>
      <c r="G191" s="117"/>
      <c r="H191" s="117"/>
      <c r="I191" s="117"/>
    </row>
    <row r="192" spans="1:9" ht="16.5" customHeight="1" x14ac:dyDescent="0.3">
      <c r="A192" s="18" t="str">
        <f t="shared" si="41"/>
        <v>업적 - 결투장 10연승 달성</v>
      </c>
      <c r="B192" s="17">
        <f t="shared" ref="B192:B197" si="45">B191+1</f>
        <v>10</v>
      </c>
      <c r="C192" s="17">
        <f t="shared" si="43"/>
        <v>100</v>
      </c>
      <c r="D192" s="17">
        <f t="shared" si="44"/>
        <v>100</v>
      </c>
      <c r="E192" s="21" t="s">
        <v>20</v>
      </c>
      <c r="G192" s="117"/>
      <c r="H192" s="117"/>
      <c r="I192" s="117"/>
    </row>
    <row r="193" spans="1:9" ht="16.5" customHeight="1" x14ac:dyDescent="0.3">
      <c r="A193" s="18" t="str">
        <f t="shared" si="41"/>
        <v>업적 - 결투장 11연승 달성</v>
      </c>
      <c r="B193" s="17">
        <f t="shared" si="45"/>
        <v>11</v>
      </c>
      <c r="C193" s="17">
        <f t="shared" si="43"/>
        <v>110</v>
      </c>
      <c r="D193" s="17">
        <f t="shared" si="44"/>
        <v>110</v>
      </c>
      <c r="E193" s="21" t="s">
        <v>20</v>
      </c>
      <c r="G193" s="117"/>
      <c r="H193" s="117"/>
      <c r="I193" s="117"/>
    </row>
    <row r="194" spans="1:9" ht="16.5" customHeight="1" x14ac:dyDescent="0.3">
      <c r="A194" s="18" t="str">
        <f t="shared" si="41"/>
        <v>업적 - 결투장 12연승 달성</v>
      </c>
      <c r="B194" s="17">
        <f t="shared" si="45"/>
        <v>12</v>
      </c>
      <c r="C194" s="17">
        <f t="shared" si="43"/>
        <v>120</v>
      </c>
      <c r="D194" s="17">
        <f t="shared" si="44"/>
        <v>120</v>
      </c>
      <c r="E194" s="21" t="s">
        <v>20</v>
      </c>
      <c r="G194" s="117"/>
      <c r="H194" s="117"/>
      <c r="I194" s="117"/>
    </row>
    <row r="195" spans="1:9" ht="16.5" customHeight="1" x14ac:dyDescent="0.3">
      <c r="A195" s="18" t="str">
        <f t="shared" si="41"/>
        <v>업적 - 결투장 13연승 달성</v>
      </c>
      <c r="B195" s="17">
        <f t="shared" si="45"/>
        <v>13</v>
      </c>
      <c r="C195" s="17">
        <f t="shared" si="43"/>
        <v>130</v>
      </c>
      <c r="D195" s="17">
        <f t="shared" si="44"/>
        <v>130</v>
      </c>
      <c r="E195" s="21" t="s">
        <v>20</v>
      </c>
      <c r="G195" s="117"/>
      <c r="H195" s="117"/>
      <c r="I195" s="117"/>
    </row>
    <row r="196" spans="1:9" ht="16.5" customHeight="1" x14ac:dyDescent="0.3">
      <c r="A196" s="18" t="str">
        <f t="shared" si="41"/>
        <v>업적 - 결투장 14연승 달성</v>
      </c>
      <c r="B196" s="17">
        <f t="shared" si="45"/>
        <v>14</v>
      </c>
      <c r="C196" s="17">
        <f t="shared" si="43"/>
        <v>140</v>
      </c>
      <c r="D196" s="17">
        <f t="shared" si="44"/>
        <v>140</v>
      </c>
      <c r="E196" s="21" t="s">
        <v>20</v>
      </c>
      <c r="G196" s="117"/>
      <c r="H196" s="117"/>
      <c r="I196" s="117"/>
    </row>
    <row r="197" spans="1:9" ht="16.5" customHeight="1" x14ac:dyDescent="0.3">
      <c r="A197" s="18" t="str">
        <f t="shared" si="41"/>
        <v>업적 - 결투장 15연승 달성</v>
      </c>
      <c r="B197" s="17">
        <f t="shared" si="45"/>
        <v>15</v>
      </c>
      <c r="C197" s="17">
        <f t="shared" si="43"/>
        <v>150</v>
      </c>
      <c r="D197" s="17">
        <f t="shared" si="44"/>
        <v>150</v>
      </c>
      <c r="E197" s="21" t="s">
        <v>20</v>
      </c>
      <c r="G197" s="117"/>
      <c r="H197" s="117"/>
      <c r="I197" s="117"/>
    </row>
    <row r="198" spans="1:9" ht="16.5" customHeight="1" x14ac:dyDescent="0.3">
      <c r="A198" s="18" t="str">
        <f t="shared" si="41"/>
        <v>업적 - 결투장 16연승 달성</v>
      </c>
      <c r="B198" s="17">
        <f>B197+1</f>
        <v>16</v>
      </c>
      <c r="C198" s="17">
        <f t="shared" si="43"/>
        <v>160</v>
      </c>
      <c r="D198" s="48">
        <f t="shared" si="44"/>
        <v>160</v>
      </c>
      <c r="E198" s="21" t="s">
        <v>20</v>
      </c>
      <c r="G198" s="117"/>
      <c r="H198" s="117"/>
      <c r="I198" s="117"/>
    </row>
    <row r="199" spans="1:9" ht="16.5" customHeight="1" x14ac:dyDescent="0.3">
      <c r="A199" s="18" t="str">
        <f t="shared" si="41"/>
        <v>업적 - 결투장 17연승 달성</v>
      </c>
      <c r="B199" s="17">
        <f t="shared" ref="B199:B202" si="46">B198+1</f>
        <v>17</v>
      </c>
      <c r="C199" s="17">
        <f t="shared" si="43"/>
        <v>170</v>
      </c>
      <c r="D199" s="48">
        <f t="shared" si="44"/>
        <v>170</v>
      </c>
      <c r="E199" s="21" t="s">
        <v>20</v>
      </c>
      <c r="G199" s="117"/>
      <c r="H199" s="117"/>
      <c r="I199" s="117"/>
    </row>
    <row r="200" spans="1:9" ht="16.5" customHeight="1" x14ac:dyDescent="0.3">
      <c r="A200" s="18" t="str">
        <f t="shared" si="41"/>
        <v>업적 - 결투장 18연승 달성</v>
      </c>
      <c r="B200" s="17">
        <f t="shared" si="46"/>
        <v>18</v>
      </c>
      <c r="C200" s="17">
        <f t="shared" si="43"/>
        <v>180</v>
      </c>
      <c r="D200" s="48">
        <f t="shared" si="44"/>
        <v>180</v>
      </c>
      <c r="E200" s="21" t="s">
        <v>20</v>
      </c>
      <c r="G200" s="117"/>
      <c r="H200" s="117"/>
      <c r="I200" s="117"/>
    </row>
    <row r="201" spans="1:9" ht="16.5" customHeight="1" x14ac:dyDescent="0.3">
      <c r="A201" s="18" t="str">
        <f t="shared" si="41"/>
        <v>업적 - 결투장 19연승 달성</v>
      </c>
      <c r="B201" s="17">
        <f t="shared" si="46"/>
        <v>19</v>
      </c>
      <c r="C201" s="17">
        <f t="shared" si="43"/>
        <v>190</v>
      </c>
      <c r="D201" s="48">
        <f t="shared" si="44"/>
        <v>190</v>
      </c>
      <c r="E201" s="21" t="s">
        <v>20</v>
      </c>
      <c r="G201" s="117"/>
      <c r="H201" s="117"/>
      <c r="I201" s="117"/>
    </row>
    <row r="202" spans="1:9" ht="16.5" customHeight="1" x14ac:dyDescent="0.3">
      <c r="A202" s="18" t="str">
        <f t="shared" si="41"/>
        <v>업적 - 결투장 20연승 달성</v>
      </c>
      <c r="B202" s="17">
        <f t="shared" si="46"/>
        <v>20</v>
      </c>
      <c r="C202" s="17">
        <f t="shared" si="43"/>
        <v>200</v>
      </c>
      <c r="D202" s="48">
        <f t="shared" si="44"/>
        <v>200</v>
      </c>
      <c r="E202" s="21" t="s">
        <v>20</v>
      </c>
      <c r="G202" s="117"/>
      <c r="H202" s="117"/>
      <c r="I202" s="117"/>
    </row>
    <row r="203" spans="1:9" ht="16.5" customHeight="1" x14ac:dyDescent="0.3">
      <c r="A203" s="18" t="str">
        <f t="shared" si="41"/>
        <v>업적 - 결투장 25연승 달성</v>
      </c>
      <c r="B203" s="17">
        <f>B202+5</f>
        <v>25</v>
      </c>
      <c r="C203" s="17">
        <f t="shared" si="43"/>
        <v>210</v>
      </c>
      <c r="D203" s="48">
        <f t="shared" si="44"/>
        <v>210</v>
      </c>
      <c r="E203" s="21" t="s">
        <v>20</v>
      </c>
      <c r="G203" s="117"/>
      <c r="H203" s="117"/>
      <c r="I203" s="117"/>
    </row>
    <row r="204" spans="1:9" ht="16.5" customHeight="1" x14ac:dyDescent="0.3">
      <c r="A204" s="18" t="str">
        <f t="shared" si="41"/>
        <v>업적 - 결투장 30연승 달성</v>
      </c>
      <c r="B204" s="17">
        <f>B203+5</f>
        <v>30</v>
      </c>
      <c r="C204" s="17">
        <f t="shared" si="43"/>
        <v>220</v>
      </c>
      <c r="D204" s="48">
        <f t="shared" si="44"/>
        <v>220</v>
      </c>
      <c r="E204" s="21" t="s">
        <v>20</v>
      </c>
      <c r="G204" s="117"/>
      <c r="H204" s="117"/>
      <c r="I204" s="117"/>
    </row>
    <row r="205" spans="1:9" ht="16.5" customHeight="1" x14ac:dyDescent="0.3">
      <c r="A205" s="18" t="str">
        <f t="shared" si="41"/>
        <v>업적 - 결투장 35연승 달성</v>
      </c>
      <c r="B205" s="17">
        <f t="shared" ref="B205:B208" si="47">B204+5</f>
        <v>35</v>
      </c>
      <c r="C205" s="17">
        <f t="shared" si="43"/>
        <v>230</v>
      </c>
      <c r="D205" s="47">
        <f t="shared" si="44"/>
        <v>230</v>
      </c>
      <c r="E205" s="21" t="s">
        <v>20</v>
      </c>
      <c r="G205" s="117"/>
      <c r="H205" s="117"/>
      <c r="I205" s="117"/>
    </row>
    <row r="206" spans="1:9" ht="16.5" customHeight="1" x14ac:dyDescent="0.3">
      <c r="A206" s="18" t="str">
        <f t="shared" si="41"/>
        <v>업적 - 결투장 40연승 달성</v>
      </c>
      <c r="B206" s="17">
        <f t="shared" si="47"/>
        <v>40</v>
      </c>
      <c r="C206" s="17">
        <f t="shared" si="43"/>
        <v>240</v>
      </c>
      <c r="D206" s="47">
        <f t="shared" si="44"/>
        <v>240</v>
      </c>
      <c r="E206" s="21" t="s">
        <v>20</v>
      </c>
      <c r="G206" s="117"/>
      <c r="H206" s="117"/>
      <c r="I206" s="117"/>
    </row>
    <row r="207" spans="1:9" ht="16.5" customHeight="1" x14ac:dyDescent="0.3">
      <c r="A207" s="18" t="str">
        <f t="shared" si="41"/>
        <v>업적 - 결투장 45연승 달성</v>
      </c>
      <c r="B207" s="17">
        <f t="shared" si="47"/>
        <v>45</v>
      </c>
      <c r="C207" s="17">
        <f t="shared" si="43"/>
        <v>250</v>
      </c>
      <c r="D207" s="47">
        <f t="shared" si="44"/>
        <v>250</v>
      </c>
      <c r="E207" s="21" t="s">
        <v>20</v>
      </c>
      <c r="G207" s="117"/>
      <c r="H207" s="117"/>
      <c r="I207" s="117"/>
    </row>
    <row r="208" spans="1:9" ht="16.5" customHeight="1" x14ac:dyDescent="0.3">
      <c r="A208" s="18" t="str">
        <f t="shared" si="41"/>
        <v>업적 - 결투장 50연승 달성</v>
      </c>
      <c r="B208" s="17">
        <f t="shared" si="47"/>
        <v>50</v>
      </c>
      <c r="C208" s="17">
        <f t="shared" si="43"/>
        <v>260</v>
      </c>
      <c r="D208" s="47">
        <f t="shared" si="44"/>
        <v>260</v>
      </c>
      <c r="E208" s="21" t="s">
        <v>20</v>
      </c>
      <c r="G208" s="117"/>
      <c r="H208" s="117"/>
      <c r="I208" s="117"/>
    </row>
    <row r="209" spans="1:9" ht="16.5" customHeight="1" x14ac:dyDescent="0.3">
      <c r="A209" s="18" t="str">
        <f t="shared" si="41"/>
        <v>업적 - 결투장 60연승 달성</v>
      </c>
      <c r="B209" s="21">
        <v>60</v>
      </c>
      <c r="C209" s="17">
        <f t="shared" si="43"/>
        <v>270</v>
      </c>
      <c r="D209" s="63">
        <f t="shared" si="44"/>
        <v>270</v>
      </c>
      <c r="E209" s="21" t="s">
        <v>20</v>
      </c>
      <c r="G209" s="117"/>
      <c r="H209" s="117"/>
      <c r="I209" s="117"/>
    </row>
    <row r="210" spans="1:9" ht="16.5" customHeight="1" x14ac:dyDescent="0.3">
      <c r="A210" s="18" t="str">
        <f t="shared" si="41"/>
        <v>업적 - 결투장 70연승 달성</v>
      </c>
      <c r="B210" s="21">
        <v>70</v>
      </c>
      <c r="C210" s="17">
        <f t="shared" si="43"/>
        <v>280</v>
      </c>
      <c r="D210" s="63">
        <f t="shared" si="44"/>
        <v>280</v>
      </c>
      <c r="E210" s="21" t="s">
        <v>20</v>
      </c>
      <c r="G210" s="117"/>
      <c r="H210" s="117"/>
      <c r="I210" s="117"/>
    </row>
    <row r="211" spans="1:9" ht="16.5" customHeight="1" x14ac:dyDescent="0.3">
      <c r="A211" s="18" t="str">
        <f t="shared" si="41"/>
        <v>업적 - 결투장 80연승 달성</v>
      </c>
      <c r="B211" s="21">
        <v>80</v>
      </c>
      <c r="C211" s="17">
        <f t="shared" si="43"/>
        <v>290</v>
      </c>
      <c r="D211" s="63">
        <f t="shared" si="44"/>
        <v>290</v>
      </c>
      <c r="E211" s="21" t="s">
        <v>20</v>
      </c>
      <c r="G211" s="117"/>
      <c r="H211" s="117"/>
      <c r="I211" s="117"/>
    </row>
    <row r="212" spans="1:9" ht="16.5" customHeight="1" x14ac:dyDescent="0.3">
      <c r="A212" s="18" t="str">
        <f t="shared" si="41"/>
        <v>업적 - 결투장 90연승 달성</v>
      </c>
      <c r="B212" s="21">
        <v>90</v>
      </c>
      <c r="C212" s="17">
        <f t="shared" si="43"/>
        <v>300</v>
      </c>
      <c r="D212" s="63">
        <f t="shared" si="44"/>
        <v>300</v>
      </c>
      <c r="E212" s="21" t="s">
        <v>20</v>
      </c>
      <c r="G212" s="117"/>
      <c r="H212" s="117"/>
      <c r="I212" s="117"/>
    </row>
    <row r="213" spans="1:9" ht="16.5" customHeight="1" x14ac:dyDescent="0.3">
      <c r="A213" s="18" t="str">
        <f t="shared" si="41"/>
        <v>업적 - 결투장 100연승 달성</v>
      </c>
      <c r="B213" s="21">
        <v>100</v>
      </c>
      <c r="C213" s="17">
        <f t="shared" si="43"/>
        <v>310</v>
      </c>
      <c r="D213" s="63">
        <f t="shared" si="44"/>
        <v>310</v>
      </c>
      <c r="E213" s="21" t="s">
        <v>20</v>
      </c>
      <c r="G213" s="117"/>
      <c r="H213" s="117"/>
      <c r="I213" s="117"/>
    </row>
    <row r="214" spans="1:9" ht="16.5" customHeight="1" x14ac:dyDescent="0.3">
      <c r="A214" s="18" t="str">
        <f>"업적 - 길드전 참가 누적 횟수 " &amp; B214 &amp; "회"</f>
        <v>업적 - 길드전 참가 누적 횟수 1회</v>
      </c>
      <c r="B214" s="17">
        <v>1</v>
      </c>
      <c r="C214" s="17">
        <v>3000</v>
      </c>
      <c r="D214" s="48">
        <f>'Achievement Reward List'!F14</f>
        <v>2000</v>
      </c>
      <c r="E214" s="21" t="s">
        <v>56</v>
      </c>
      <c r="G214" s="117"/>
      <c r="H214" s="117">
        <f>SUM(D214:D219)</f>
        <v>59500</v>
      </c>
      <c r="I214" s="117">
        <f>SUM(D214:D227)</f>
        <v>594500</v>
      </c>
    </row>
    <row r="215" spans="1:9" ht="16.5" customHeight="1" x14ac:dyDescent="0.3">
      <c r="A215" s="18" t="str">
        <f t="shared" ref="A215:A227" si="48">"업적 - 길드전 참가 누적 횟수 " &amp; B215 &amp; "회"</f>
        <v>업적 - 길드전 참가 누적 횟수 10회</v>
      </c>
      <c r="B215" s="17">
        <v>10</v>
      </c>
      <c r="C215" s="17">
        <f>INT(C214+C$214*100%)</f>
        <v>6000</v>
      </c>
      <c r="D215" s="48">
        <f>D214+D$214*1.5</f>
        <v>5000</v>
      </c>
      <c r="E215" s="21" t="s">
        <v>56</v>
      </c>
      <c r="G215" s="117"/>
      <c r="H215" s="117"/>
      <c r="I215" s="117"/>
    </row>
    <row r="216" spans="1:9" ht="16.5" customHeight="1" x14ac:dyDescent="0.3">
      <c r="A216" s="18" t="str">
        <f t="shared" si="48"/>
        <v>업적 - 길드전 참가 누적 횟수 20회</v>
      </c>
      <c r="B216" s="17">
        <v>20</v>
      </c>
      <c r="C216" s="17">
        <f t="shared" ref="C216:C217" si="49">INT(C215+C$214*100%)</f>
        <v>9000</v>
      </c>
      <c r="D216" s="48">
        <f>D215+D$215/2</f>
        <v>7500</v>
      </c>
      <c r="E216" s="21" t="s">
        <v>56</v>
      </c>
      <c r="G216" s="117"/>
      <c r="H216" s="117"/>
      <c r="I216" s="117"/>
    </row>
    <row r="217" spans="1:9" ht="16.5" customHeight="1" x14ac:dyDescent="0.3">
      <c r="A217" s="18" t="str">
        <f t="shared" si="48"/>
        <v>업적 - 길드전 참가 누적 횟수 30회</v>
      </c>
      <c r="B217" s="17">
        <v>30</v>
      </c>
      <c r="C217" s="17">
        <f t="shared" si="49"/>
        <v>12000</v>
      </c>
      <c r="D217" s="48">
        <f>D216+D$215/2</f>
        <v>10000</v>
      </c>
      <c r="E217" s="21" t="s">
        <v>56</v>
      </c>
      <c r="G217" s="117"/>
      <c r="H217" s="117"/>
      <c r="I217" s="117"/>
    </row>
    <row r="218" spans="1:9" ht="16.5" customHeight="1" x14ac:dyDescent="0.3">
      <c r="A218" s="18" t="str">
        <f t="shared" si="48"/>
        <v>업적 - 길드전 참가 누적 횟수 50회</v>
      </c>
      <c r="B218" s="17">
        <v>50</v>
      </c>
      <c r="C218" s="17">
        <f>INT(C217+C$215*100%)</f>
        <v>18000</v>
      </c>
      <c r="D218" s="48">
        <f>D217+D$217/2</f>
        <v>15000</v>
      </c>
      <c r="E218" s="21" t="s">
        <v>56</v>
      </c>
      <c r="G218" s="117"/>
      <c r="H218" s="117"/>
      <c r="I218" s="117"/>
    </row>
    <row r="219" spans="1:9" ht="16.5" customHeight="1" x14ac:dyDescent="0.3">
      <c r="A219" s="18" t="str">
        <f t="shared" si="48"/>
        <v>업적 - 길드전 참가 누적 횟수 100회</v>
      </c>
      <c r="B219" s="17">
        <v>100</v>
      </c>
      <c r="C219" s="17">
        <f>INT(C218+C$215*100%)</f>
        <v>24000</v>
      </c>
      <c r="D219" s="48">
        <f>D218+D$217/2</f>
        <v>20000</v>
      </c>
      <c r="E219" s="21" t="s">
        <v>56</v>
      </c>
      <c r="G219" s="117"/>
      <c r="H219" s="117"/>
      <c r="I219" s="117"/>
    </row>
    <row r="220" spans="1:9" ht="16.5" customHeight="1" x14ac:dyDescent="0.3">
      <c r="A220" s="18" t="str">
        <f t="shared" si="48"/>
        <v>업적 - 길드전 참가 누적 횟수 150회</v>
      </c>
      <c r="B220" s="17">
        <f>B219+50</f>
        <v>150</v>
      </c>
      <c r="C220" s="17">
        <f t="shared" ref="C220" si="50">INT(C219+C$215*100%)</f>
        <v>30000</v>
      </c>
      <c r="D220" s="47">
        <f>D219+D$217/2</f>
        <v>25000</v>
      </c>
      <c r="E220" s="21" t="s">
        <v>56</v>
      </c>
      <c r="G220" s="117"/>
      <c r="H220" s="117"/>
      <c r="I220" s="117"/>
    </row>
    <row r="221" spans="1:9" ht="16.5" customHeight="1" x14ac:dyDescent="0.3">
      <c r="A221" s="18" t="str">
        <f t="shared" si="48"/>
        <v>업적 - 길드전 참가 누적 횟수 200회</v>
      </c>
      <c r="B221" s="17">
        <f t="shared" ref="B221:B227" si="51">B220+50</f>
        <v>200</v>
      </c>
      <c r="C221" s="17">
        <f>INT(C220+C$220*50%)</f>
        <v>45000</v>
      </c>
      <c r="D221" s="47">
        <f>D220+D$217/2</f>
        <v>30000</v>
      </c>
      <c r="E221" s="21" t="s">
        <v>56</v>
      </c>
      <c r="G221" s="117"/>
      <c r="H221" s="117"/>
      <c r="I221" s="117"/>
    </row>
    <row r="222" spans="1:9" ht="16.5" customHeight="1" x14ac:dyDescent="0.3">
      <c r="A222" s="18" t="str">
        <f t="shared" si="48"/>
        <v>업적 - 길드전 참가 누적 횟수 250회</v>
      </c>
      <c r="B222" s="17">
        <f t="shared" si="51"/>
        <v>250</v>
      </c>
      <c r="C222" s="17">
        <f>INT(C221+C$220*50%)</f>
        <v>60000</v>
      </c>
      <c r="D222" s="47">
        <f>D221+D$221/3</f>
        <v>40000</v>
      </c>
      <c r="E222" s="21" t="s">
        <v>56</v>
      </c>
      <c r="G222" s="117"/>
      <c r="H222" s="117"/>
      <c r="I222" s="117"/>
    </row>
    <row r="223" spans="1:9" ht="16.5" customHeight="1" x14ac:dyDescent="0.3">
      <c r="A223" s="18" t="str">
        <f t="shared" si="48"/>
        <v>업적 - 길드전 참가 누적 횟수 300회</v>
      </c>
      <c r="B223" s="17">
        <f t="shared" si="51"/>
        <v>300</v>
      </c>
      <c r="C223" s="17">
        <f t="shared" ref="C223:C224" si="52">INT(C222+C$220*50%)</f>
        <v>75000</v>
      </c>
      <c r="D223" s="47">
        <f>D222+D$221/3</f>
        <v>50000</v>
      </c>
      <c r="E223" s="21" t="s">
        <v>56</v>
      </c>
      <c r="G223" s="117"/>
      <c r="H223" s="117"/>
      <c r="I223" s="117"/>
    </row>
    <row r="224" spans="1:9" ht="16.5" customHeight="1" x14ac:dyDescent="0.3">
      <c r="A224" s="18" t="str">
        <f t="shared" si="48"/>
        <v>업적 - 길드전 참가 누적 횟수 350회</v>
      </c>
      <c r="B224" s="17">
        <f t="shared" si="51"/>
        <v>350</v>
      </c>
      <c r="C224" s="17">
        <f t="shared" si="52"/>
        <v>90000</v>
      </c>
      <c r="D224" s="63">
        <f>D223+D$221/3</f>
        <v>60000</v>
      </c>
      <c r="E224" s="21" t="s">
        <v>56</v>
      </c>
      <c r="G224" s="117"/>
      <c r="H224" s="117"/>
      <c r="I224" s="117"/>
    </row>
    <row r="225" spans="1:9" ht="16.5" customHeight="1" x14ac:dyDescent="0.3">
      <c r="A225" s="18" t="str">
        <f t="shared" si="48"/>
        <v>업적 - 길드전 참가 누적 횟수 400회</v>
      </c>
      <c r="B225" s="17">
        <f t="shared" si="51"/>
        <v>400</v>
      </c>
      <c r="C225" s="17">
        <f>INT(C224+C$222*50%)</f>
        <v>120000</v>
      </c>
      <c r="D225" s="63">
        <f>D224+D$224/3</f>
        <v>80000</v>
      </c>
      <c r="E225" s="21" t="s">
        <v>56</v>
      </c>
      <c r="G225" s="117"/>
      <c r="H225" s="117"/>
      <c r="I225" s="117"/>
    </row>
    <row r="226" spans="1:9" ht="16.5" customHeight="1" x14ac:dyDescent="0.3">
      <c r="A226" s="18" t="str">
        <f t="shared" si="48"/>
        <v>업적 - 길드전 참가 누적 횟수 450회</v>
      </c>
      <c r="B226" s="17">
        <f t="shared" si="51"/>
        <v>450</v>
      </c>
      <c r="C226" s="17">
        <f t="shared" ref="C226:C227" si="53">INT(C225+C$222*100%)</f>
        <v>180000</v>
      </c>
      <c r="D226" s="63">
        <f>D225+D$224/3</f>
        <v>100000</v>
      </c>
      <c r="E226" s="21" t="s">
        <v>56</v>
      </c>
      <c r="G226" s="117"/>
      <c r="H226" s="117"/>
      <c r="I226" s="117"/>
    </row>
    <row r="227" spans="1:9" ht="16.5" customHeight="1" x14ac:dyDescent="0.3">
      <c r="A227" s="18" t="str">
        <f t="shared" si="48"/>
        <v>업적 - 길드전 참가 누적 횟수 500회</v>
      </c>
      <c r="B227" s="17">
        <f t="shared" si="51"/>
        <v>500</v>
      </c>
      <c r="C227" s="17">
        <f t="shared" si="53"/>
        <v>240000</v>
      </c>
      <c r="D227" s="63">
        <f>D226+D226/2</f>
        <v>150000</v>
      </c>
      <c r="E227" s="21" t="s">
        <v>56</v>
      </c>
      <c r="G227" s="117"/>
      <c r="H227" s="117"/>
      <c r="I227" s="117"/>
    </row>
    <row r="228" spans="1:9" ht="16.5" customHeight="1" x14ac:dyDescent="0.3">
      <c r="A228" s="15" t="str">
        <f>"업적 - 길드전 승리 누적 횟수 " &amp; B228 &amp; "회"</f>
        <v>업적 - 길드전 승리 누적 횟수 1회</v>
      </c>
      <c r="B228" s="14">
        <v>1</v>
      </c>
      <c r="C228" s="14">
        <v>10</v>
      </c>
      <c r="D228" s="48">
        <f>'Achievement Reward List'!F15</f>
        <v>10</v>
      </c>
      <c r="E228" s="20" t="s">
        <v>20</v>
      </c>
      <c r="G228" s="118"/>
      <c r="H228" s="119">
        <f>SUM(D228:D233)</f>
        <v>385</v>
      </c>
      <c r="I228" s="119">
        <f>SUM(D228:D241)</f>
        <v>2710</v>
      </c>
    </row>
    <row r="229" spans="1:9" ht="16.5" customHeight="1" x14ac:dyDescent="0.3">
      <c r="A229" s="15" t="str">
        <f t="shared" ref="A229:A241" si="54">"업적 - 길드전 승리 누적 횟수 " &amp; B229 &amp; "회"</f>
        <v>업적 - 길드전 승리 누적 횟수 10회</v>
      </c>
      <c r="B229" s="14">
        <v>10</v>
      </c>
      <c r="C229" s="14">
        <v>25</v>
      </c>
      <c r="D229" s="48">
        <v>25</v>
      </c>
      <c r="E229" s="20" t="s">
        <v>20</v>
      </c>
      <c r="G229" s="118"/>
      <c r="H229" s="120"/>
      <c r="I229" s="120"/>
    </row>
    <row r="230" spans="1:9" ht="16.5" customHeight="1" x14ac:dyDescent="0.3">
      <c r="A230" s="15" t="str">
        <f t="shared" si="54"/>
        <v>업적 - 길드전 승리 누적 횟수 20회</v>
      </c>
      <c r="B230" s="14">
        <v>20</v>
      </c>
      <c r="C230" s="14">
        <v>50</v>
      </c>
      <c r="D230" s="48">
        <v>50</v>
      </c>
      <c r="E230" s="20" t="s">
        <v>20</v>
      </c>
      <c r="G230" s="118"/>
      <c r="H230" s="120"/>
      <c r="I230" s="120"/>
    </row>
    <row r="231" spans="1:9" ht="16.5" customHeight="1" x14ac:dyDescent="0.3">
      <c r="A231" s="15" t="str">
        <f t="shared" si="54"/>
        <v>업적 - 길드전 승리 누적 횟수 30회</v>
      </c>
      <c r="B231" s="14">
        <v>30</v>
      </c>
      <c r="C231" s="14">
        <v>75</v>
      </c>
      <c r="D231" s="48">
        <v>75</v>
      </c>
      <c r="E231" s="20" t="s">
        <v>20</v>
      </c>
      <c r="G231" s="118"/>
      <c r="H231" s="120"/>
      <c r="I231" s="120"/>
    </row>
    <row r="232" spans="1:9" ht="16.5" customHeight="1" x14ac:dyDescent="0.3">
      <c r="A232" s="15" t="str">
        <f t="shared" si="54"/>
        <v>업적 - 길드전 승리 누적 횟수 50회</v>
      </c>
      <c r="B232" s="14">
        <v>50</v>
      </c>
      <c r="C232" s="14">
        <v>100</v>
      </c>
      <c r="D232" s="48">
        <v>100</v>
      </c>
      <c r="E232" s="20" t="s">
        <v>20</v>
      </c>
      <c r="G232" s="118"/>
      <c r="H232" s="120"/>
      <c r="I232" s="120"/>
    </row>
    <row r="233" spans="1:9" ht="16.5" customHeight="1" x14ac:dyDescent="0.3">
      <c r="A233" s="15" t="str">
        <f t="shared" si="54"/>
        <v>업적 - 길드전 승리 누적 횟수 100회</v>
      </c>
      <c r="B233" s="14">
        <v>100</v>
      </c>
      <c r="C233" s="14">
        <v>125</v>
      </c>
      <c r="D233" s="48">
        <v>125</v>
      </c>
      <c r="E233" s="20" t="s">
        <v>20</v>
      </c>
      <c r="G233" s="118"/>
      <c r="H233" s="120"/>
      <c r="I233" s="120"/>
    </row>
    <row r="234" spans="1:9" ht="16.5" customHeight="1" x14ac:dyDescent="0.3">
      <c r="A234" s="15" t="str">
        <f t="shared" si="54"/>
        <v>업적 - 길드전 승리 누적 횟수 150회</v>
      </c>
      <c r="B234" s="14">
        <f>B233+50</f>
        <v>150</v>
      </c>
      <c r="C234" s="14">
        <v>150</v>
      </c>
      <c r="D234" s="47">
        <v>150</v>
      </c>
      <c r="E234" s="20" t="s">
        <v>20</v>
      </c>
      <c r="G234" s="118"/>
      <c r="H234" s="120"/>
      <c r="I234" s="120"/>
    </row>
    <row r="235" spans="1:9" ht="16.5" customHeight="1" x14ac:dyDescent="0.3">
      <c r="A235" s="15" t="str">
        <f t="shared" si="54"/>
        <v>업적 - 길드전 승리 누적 횟수 200회</v>
      </c>
      <c r="B235" s="14">
        <f t="shared" ref="B235:B241" si="55">B234+50</f>
        <v>200</v>
      </c>
      <c r="C235" s="14">
        <v>175</v>
      </c>
      <c r="D235" s="47">
        <v>175</v>
      </c>
      <c r="E235" s="20" t="s">
        <v>20</v>
      </c>
      <c r="G235" s="118"/>
      <c r="H235" s="120"/>
      <c r="I235" s="120"/>
    </row>
    <row r="236" spans="1:9" ht="16.5" customHeight="1" x14ac:dyDescent="0.3">
      <c r="A236" s="15" t="str">
        <f t="shared" si="54"/>
        <v>업적 - 길드전 승리 누적 횟수 250회</v>
      </c>
      <c r="B236" s="14">
        <f t="shared" si="55"/>
        <v>250</v>
      </c>
      <c r="C236" s="14">
        <v>200</v>
      </c>
      <c r="D236" s="47">
        <v>200</v>
      </c>
      <c r="E236" s="20" t="s">
        <v>20</v>
      </c>
      <c r="G236" s="118"/>
      <c r="H236" s="120"/>
      <c r="I236" s="120"/>
    </row>
    <row r="237" spans="1:9" ht="16.5" customHeight="1" x14ac:dyDescent="0.3">
      <c r="A237" s="15" t="str">
        <f t="shared" si="54"/>
        <v>업적 - 길드전 승리 누적 횟수 300회</v>
      </c>
      <c r="B237" s="14">
        <f t="shared" si="55"/>
        <v>300</v>
      </c>
      <c r="C237" s="14">
        <v>225</v>
      </c>
      <c r="D237" s="47">
        <v>250</v>
      </c>
      <c r="E237" s="20" t="s">
        <v>20</v>
      </c>
      <c r="G237" s="118"/>
      <c r="H237" s="120"/>
      <c r="I237" s="120"/>
    </row>
    <row r="238" spans="1:9" ht="16.5" customHeight="1" x14ac:dyDescent="0.3">
      <c r="A238" s="15" t="str">
        <f t="shared" si="54"/>
        <v>업적 - 길드전 승리 누적 횟수 350회</v>
      </c>
      <c r="B238" s="14">
        <f t="shared" si="55"/>
        <v>350</v>
      </c>
      <c r="C238" s="14">
        <v>250</v>
      </c>
      <c r="D238" s="47">
        <v>300</v>
      </c>
      <c r="E238" s="20" t="s">
        <v>20</v>
      </c>
      <c r="G238" s="118"/>
      <c r="H238" s="120"/>
      <c r="I238" s="120"/>
    </row>
    <row r="239" spans="1:9" ht="16.5" customHeight="1" x14ac:dyDescent="0.3">
      <c r="A239" s="15" t="str">
        <f t="shared" si="54"/>
        <v>업적 - 길드전 승리 누적 횟수 400회</v>
      </c>
      <c r="B239" s="14">
        <f t="shared" si="55"/>
        <v>400</v>
      </c>
      <c r="C239" s="14">
        <v>275</v>
      </c>
      <c r="D239" s="47">
        <v>350</v>
      </c>
      <c r="E239" s="20" t="s">
        <v>20</v>
      </c>
      <c r="G239" s="118"/>
      <c r="H239" s="120"/>
      <c r="I239" s="120"/>
    </row>
    <row r="240" spans="1:9" ht="16.5" customHeight="1" x14ac:dyDescent="0.3">
      <c r="A240" s="15" t="str">
        <f t="shared" si="54"/>
        <v>업적 - 길드전 승리 누적 횟수 450회</v>
      </c>
      <c r="B240" s="14">
        <f t="shared" si="55"/>
        <v>450</v>
      </c>
      <c r="C240" s="14">
        <v>300</v>
      </c>
      <c r="D240" s="47">
        <v>400</v>
      </c>
      <c r="E240" s="20" t="s">
        <v>20</v>
      </c>
      <c r="G240" s="118"/>
      <c r="H240" s="120"/>
      <c r="I240" s="120"/>
    </row>
    <row r="241" spans="1:10" ht="16.5" customHeight="1" x14ac:dyDescent="0.3">
      <c r="A241" s="15" t="str">
        <f t="shared" si="54"/>
        <v>업적 - 길드전 승리 누적 횟수 500회</v>
      </c>
      <c r="B241" s="14">
        <f t="shared" si="55"/>
        <v>500</v>
      </c>
      <c r="C241" s="14">
        <v>325</v>
      </c>
      <c r="D241" s="47">
        <v>500</v>
      </c>
      <c r="E241" s="20" t="s">
        <v>20</v>
      </c>
      <c r="G241" s="118"/>
      <c r="H241" s="121"/>
      <c r="I241" s="121"/>
    </row>
    <row r="242" spans="1:10" ht="16.5" customHeight="1" x14ac:dyDescent="0.3">
      <c r="A242" s="18" t="str">
        <f>"업적 - 룬스톤 합성 횟수 " &amp; B242 &amp; " 회"</f>
        <v>업적 - 룬스톤 합성 횟수 10 회</v>
      </c>
      <c r="B242" s="17">
        <v>10</v>
      </c>
      <c r="C242" s="17">
        <v>1500</v>
      </c>
      <c r="D242" s="45">
        <v>1000</v>
      </c>
      <c r="E242" s="21" t="s">
        <v>18</v>
      </c>
      <c r="G242" s="117">
        <f>SUM(D242:D253)</f>
        <v>136000</v>
      </c>
      <c r="H242" s="117">
        <f>SUM(D242:D257)</f>
        <v>286000</v>
      </c>
      <c r="I242" s="117">
        <f>SUM(D242:D260)</f>
        <v>466000</v>
      </c>
      <c r="J242" s="1">
        <v>1</v>
      </c>
    </row>
    <row r="243" spans="1:10" ht="16.5" customHeight="1" x14ac:dyDescent="0.3">
      <c r="A243" s="18" t="str">
        <f t="shared" ref="A243:A264" si="56">"업적 - 룬스톤 합성 횟수 " &amp; B243 &amp; " 회"</f>
        <v>업적 - 룬스톤 합성 횟수 20 회</v>
      </c>
      <c r="B243" s="17">
        <f>B242+10</f>
        <v>20</v>
      </c>
      <c r="C243" s="17">
        <f>INT(C242+C$242*100%)</f>
        <v>3000</v>
      </c>
      <c r="D243" s="45">
        <f>D242+D242</f>
        <v>2000</v>
      </c>
      <c r="E243" s="21" t="s">
        <v>18</v>
      </c>
      <c r="G243" s="117"/>
      <c r="H243" s="117"/>
      <c r="I243" s="117"/>
      <c r="J243" s="1">
        <v>2</v>
      </c>
    </row>
    <row r="244" spans="1:10" ht="16.5" customHeight="1" x14ac:dyDescent="0.3">
      <c r="A244" s="18" t="str">
        <f t="shared" si="56"/>
        <v>업적 - 룬스톤 합성 횟수 30 회</v>
      </c>
      <c r="B244" s="17">
        <f t="shared" ref="B244:B246" si="57">B243+10</f>
        <v>30</v>
      </c>
      <c r="C244" s="17">
        <f>INT(C243+C$242*100%)</f>
        <v>4500</v>
      </c>
      <c r="D244" s="45">
        <f t="shared" ref="D244:D252" si="58">D243+D$243</f>
        <v>4000</v>
      </c>
      <c r="E244" s="21" t="s">
        <v>18</v>
      </c>
      <c r="G244" s="117"/>
      <c r="H244" s="117"/>
      <c r="I244" s="117"/>
      <c r="J244" s="1">
        <v>3</v>
      </c>
    </row>
    <row r="245" spans="1:10" ht="16.5" customHeight="1" x14ac:dyDescent="0.3">
      <c r="A245" s="18" t="str">
        <f t="shared" si="56"/>
        <v>업적 - 룬스톤 합성 횟수 40 회</v>
      </c>
      <c r="B245" s="17">
        <f t="shared" si="57"/>
        <v>40</v>
      </c>
      <c r="C245" s="17">
        <f t="shared" ref="C245:C264" si="59">INT(C244+C$242*100%)</f>
        <v>6000</v>
      </c>
      <c r="D245" s="45">
        <f t="shared" si="58"/>
        <v>6000</v>
      </c>
      <c r="E245" s="21" t="s">
        <v>18</v>
      </c>
      <c r="G245" s="117"/>
      <c r="H245" s="117"/>
      <c r="I245" s="117"/>
      <c r="J245" s="1">
        <v>4</v>
      </c>
    </row>
    <row r="246" spans="1:10" ht="16.5" customHeight="1" x14ac:dyDescent="0.3">
      <c r="A246" s="18" t="str">
        <f t="shared" si="56"/>
        <v>업적 - 룬스톤 합성 횟수 50 회</v>
      </c>
      <c r="B246" s="17">
        <f t="shared" si="57"/>
        <v>50</v>
      </c>
      <c r="C246" s="17">
        <f t="shared" si="59"/>
        <v>7500</v>
      </c>
      <c r="D246" s="45">
        <f t="shared" si="58"/>
        <v>8000</v>
      </c>
      <c r="E246" s="21" t="s">
        <v>18</v>
      </c>
      <c r="G246" s="117"/>
      <c r="H246" s="117"/>
      <c r="I246" s="117"/>
      <c r="J246" s="1">
        <v>5</v>
      </c>
    </row>
    <row r="247" spans="1:10" ht="16.5" customHeight="1" x14ac:dyDescent="0.3">
      <c r="A247" s="18" t="str">
        <f t="shared" si="56"/>
        <v>업적 - 룬스톤 합성 횟수 75 회</v>
      </c>
      <c r="B247" s="17">
        <f>B246+25</f>
        <v>75</v>
      </c>
      <c r="C247" s="17">
        <f t="shared" si="59"/>
        <v>9000</v>
      </c>
      <c r="D247" s="45">
        <f t="shared" si="58"/>
        <v>10000</v>
      </c>
      <c r="E247" s="21" t="s">
        <v>18</v>
      </c>
      <c r="G247" s="117"/>
      <c r="H247" s="117"/>
      <c r="I247" s="117"/>
      <c r="J247" s="1">
        <v>6</v>
      </c>
    </row>
    <row r="248" spans="1:10" ht="16.5" customHeight="1" x14ac:dyDescent="0.3">
      <c r="A248" s="18" t="str">
        <f t="shared" si="56"/>
        <v>업적 - 룬스톤 합성 횟수 100 회</v>
      </c>
      <c r="B248" s="17">
        <f t="shared" ref="B248" si="60">B247+25</f>
        <v>100</v>
      </c>
      <c r="C248" s="17">
        <f t="shared" si="59"/>
        <v>10500</v>
      </c>
      <c r="D248" s="45">
        <f t="shared" si="58"/>
        <v>12000</v>
      </c>
      <c r="E248" s="21" t="s">
        <v>18</v>
      </c>
      <c r="G248" s="117"/>
      <c r="H248" s="117"/>
      <c r="I248" s="117"/>
      <c r="J248" s="1">
        <v>7</v>
      </c>
    </row>
    <row r="249" spans="1:10" ht="16.5" customHeight="1" x14ac:dyDescent="0.3">
      <c r="A249" s="18" t="str">
        <f t="shared" si="56"/>
        <v>업적 - 룬스톤 합성 횟수 150 회</v>
      </c>
      <c r="B249" s="17">
        <f>B248+50</f>
        <v>150</v>
      </c>
      <c r="C249" s="17">
        <f>INT(C248+C$242*100%)</f>
        <v>12000</v>
      </c>
      <c r="D249" s="45">
        <f t="shared" si="58"/>
        <v>14000</v>
      </c>
      <c r="E249" s="21" t="s">
        <v>18</v>
      </c>
      <c r="G249" s="117"/>
      <c r="H249" s="117"/>
      <c r="I249" s="117"/>
      <c r="J249" s="1">
        <v>8</v>
      </c>
    </row>
    <row r="250" spans="1:10" ht="16.5" customHeight="1" x14ac:dyDescent="0.3">
      <c r="A250" s="18" t="str">
        <f t="shared" si="56"/>
        <v>업적 - 룬스톤 합성 횟수 200 회</v>
      </c>
      <c r="B250" s="17">
        <f>B249+50</f>
        <v>200</v>
      </c>
      <c r="C250" s="17">
        <f t="shared" si="59"/>
        <v>13500</v>
      </c>
      <c r="D250" s="45">
        <f t="shared" si="58"/>
        <v>16000</v>
      </c>
      <c r="E250" s="21" t="s">
        <v>18</v>
      </c>
      <c r="G250" s="117"/>
      <c r="H250" s="117"/>
      <c r="I250" s="117"/>
      <c r="J250" s="1">
        <v>9</v>
      </c>
    </row>
    <row r="251" spans="1:10" ht="16.5" customHeight="1" x14ac:dyDescent="0.3">
      <c r="A251" s="18" t="str">
        <f t="shared" si="56"/>
        <v>업적 - 룬스톤 합성 횟수 300 회</v>
      </c>
      <c r="B251" s="17">
        <f>B250+100</f>
        <v>300</v>
      </c>
      <c r="C251" s="17">
        <f t="shared" si="59"/>
        <v>15000</v>
      </c>
      <c r="D251" s="45">
        <f t="shared" si="58"/>
        <v>18000</v>
      </c>
      <c r="E251" s="21" t="s">
        <v>18</v>
      </c>
      <c r="G251" s="117"/>
      <c r="H251" s="117"/>
      <c r="I251" s="117"/>
      <c r="J251" s="1">
        <v>10</v>
      </c>
    </row>
    <row r="252" spans="1:10" ht="16.5" customHeight="1" x14ac:dyDescent="0.3">
      <c r="A252" s="18" t="str">
        <f t="shared" si="56"/>
        <v>업적 - 룬스톤 합성 횟수 400 회</v>
      </c>
      <c r="B252" s="17">
        <f t="shared" ref="B252:B253" si="61">B251+100</f>
        <v>400</v>
      </c>
      <c r="C252" s="17">
        <f t="shared" si="59"/>
        <v>16500</v>
      </c>
      <c r="D252" s="45">
        <f t="shared" si="58"/>
        <v>20000</v>
      </c>
      <c r="E252" s="21" t="s">
        <v>18</v>
      </c>
      <c r="G252" s="117"/>
      <c r="H252" s="117"/>
      <c r="I252" s="117"/>
      <c r="J252" s="1">
        <v>11</v>
      </c>
    </row>
    <row r="253" spans="1:10" ht="16.5" customHeight="1" x14ac:dyDescent="0.3">
      <c r="A253" s="18" t="str">
        <f t="shared" si="56"/>
        <v>업적 - 룬스톤 합성 횟수 500 회</v>
      </c>
      <c r="B253" s="17">
        <f t="shared" si="61"/>
        <v>500</v>
      </c>
      <c r="C253" s="17">
        <f t="shared" si="59"/>
        <v>18000</v>
      </c>
      <c r="D253" s="45">
        <f t="shared" ref="D253:D258" si="62">D252+D$242*5</f>
        <v>25000</v>
      </c>
      <c r="E253" s="21" t="s">
        <v>18</v>
      </c>
      <c r="G253" s="117"/>
      <c r="H253" s="117"/>
      <c r="I253" s="117"/>
      <c r="J253" s="1">
        <v>12</v>
      </c>
    </row>
    <row r="254" spans="1:10" ht="16.5" customHeight="1" x14ac:dyDescent="0.3">
      <c r="A254" s="18" t="str">
        <f t="shared" si="56"/>
        <v>업적 - 룬스톤 합성 횟수 750 회</v>
      </c>
      <c r="B254" s="17">
        <f>B253+250</f>
        <v>750</v>
      </c>
      <c r="C254" s="17">
        <f t="shared" si="59"/>
        <v>19500</v>
      </c>
      <c r="D254" s="48">
        <f t="shared" si="62"/>
        <v>30000</v>
      </c>
      <c r="E254" s="21" t="s">
        <v>18</v>
      </c>
      <c r="G254" s="117"/>
      <c r="H254" s="117"/>
      <c r="I254" s="117"/>
      <c r="J254" s="1">
        <v>13</v>
      </c>
    </row>
    <row r="255" spans="1:10" ht="16.5" customHeight="1" x14ac:dyDescent="0.3">
      <c r="A255" s="18" t="str">
        <f t="shared" si="56"/>
        <v>업적 - 룬스톤 합성 횟수 1000 회</v>
      </c>
      <c r="B255" s="17">
        <f t="shared" ref="B255" si="63">B254+250</f>
        <v>1000</v>
      </c>
      <c r="C255" s="17">
        <f t="shared" si="59"/>
        <v>21000</v>
      </c>
      <c r="D255" s="48">
        <f t="shared" si="62"/>
        <v>35000</v>
      </c>
      <c r="E255" s="21" t="s">
        <v>18</v>
      </c>
      <c r="G255" s="117"/>
      <c r="H255" s="117"/>
      <c r="I255" s="117"/>
      <c r="J255" s="1">
        <v>14</v>
      </c>
    </row>
    <row r="256" spans="1:10" ht="16.5" customHeight="1" x14ac:dyDescent="0.3">
      <c r="A256" s="18" t="str">
        <f t="shared" si="56"/>
        <v>업적 - 룬스톤 합성 횟수 1500 회</v>
      </c>
      <c r="B256" s="17">
        <f>B255+500</f>
        <v>1500</v>
      </c>
      <c r="C256" s="17">
        <f t="shared" si="59"/>
        <v>22500</v>
      </c>
      <c r="D256" s="48">
        <f t="shared" si="62"/>
        <v>40000</v>
      </c>
      <c r="E256" s="21" t="s">
        <v>18</v>
      </c>
      <c r="G256" s="117"/>
      <c r="H256" s="117"/>
      <c r="I256" s="117"/>
      <c r="J256" s="1">
        <v>15</v>
      </c>
    </row>
    <row r="257" spans="1:10" ht="16.5" customHeight="1" x14ac:dyDescent="0.3">
      <c r="A257" s="18" t="str">
        <f t="shared" si="56"/>
        <v>업적 - 룬스톤 합성 횟수 2000 회</v>
      </c>
      <c r="B257" s="17">
        <f t="shared" ref="B257:B259" si="64">B256+500</f>
        <v>2000</v>
      </c>
      <c r="C257" s="17">
        <f t="shared" si="59"/>
        <v>24000</v>
      </c>
      <c r="D257" s="48">
        <f t="shared" si="62"/>
        <v>45000</v>
      </c>
      <c r="E257" s="21" t="s">
        <v>18</v>
      </c>
      <c r="G257" s="117"/>
      <c r="H257" s="117"/>
      <c r="I257" s="117"/>
      <c r="J257" s="1">
        <v>16</v>
      </c>
    </row>
    <row r="258" spans="1:10" ht="16.5" customHeight="1" x14ac:dyDescent="0.3">
      <c r="A258" s="18" t="str">
        <f t="shared" si="56"/>
        <v>업적 - 룬스톤 합성 횟수 2500 회</v>
      </c>
      <c r="B258" s="17">
        <f t="shared" si="64"/>
        <v>2500</v>
      </c>
      <c r="C258" s="17">
        <f t="shared" si="59"/>
        <v>25500</v>
      </c>
      <c r="D258" s="49">
        <f t="shared" si="62"/>
        <v>50000</v>
      </c>
      <c r="E258" s="21" t="s">
        <v>18</v>
      </c>
      <c r="G258" s="117"/>
      <c r="H258" s="117"/>
      <c r="I258" s="117"/>
      <c r="J258" s="1">
        <v>17</v>
      </c>
    </row>
    <row r="259" spans="1:10" ht="16.5" customHeight="1" x14ac:dyDescent="0.3">
      <c r="A259" s="18" t="str">
        <f t="shared" si="56"/>
        <v>업적 - 룬스톤 합성 횟수 3000 회</v>
      </c>
      <c r="B259" s="17">
        <f t="shared" si="64"/>
        <v>3000</v>
      </c>
      <c r="C259" s="17">
        <f t="shared" si="59"/>
        <v>27000</v>
      </c>
      <c r="D259" s="49">
        <f>D258+D$242*10</f>
        <v>60000</v>
      </c>
      <c r="E259" s="21" t="s">
        <v>18</v>
      </c>
      <c r="G259" s="117"/>
      <c r="H259" s="117"/>
      <c r="I259" s="117"/>
      <c r="J259" s="1">
        <v>18</v>
      </c>
    </row>
    <row r="260" spans="1:10" ht="16.5" customHeight="1" x14ac:dyDescent="0.3">
      <c r="A260" s="18" t="str">
        <f t="shared" si="56"/>
        <v>업적 - 룬스톤 합성 횟수 4000 회</v>
      </c>
      <c r="B260" s="17">
        <f>B259+1000</f>
        <v>4000</v>
      </c>
      <c r="C260" s="17">
        <f t="shared" si="59"/>
        <v>28500</v>
      </c>
      <c r="D260" s="49">
        <f>D259+D$242*10</f>
        <v>70000</v>
      </c>
      <c r="E260" s="21" t="s">
        <v>18</v>
      </c>
      <c r="G260" s="117"/>
      <c r="H260" s="117"/>
      <c r="I260" s="117"/>
      <c r="J260" s="1">
        <v>19</v>
      </c>
    </row>
    <row r="261" spans="1:10" ht="16.5" customHeight="1" x14ac:dyDescent="0.3">
      <c r="A261" s="18" t="str">
        <f t="shared" si="56"/>
        <v>업적 - 룬스톤 합성 횟수 5000 회</v>
      </c>
      <c r="B261" s="17">
        <f t="shared" ref="B261:B264" si="65">B260+1000</f>
        <v>5000</v>
      </c>
      <c r="C261" s="17">
        <f t="shared" si="59"/>
        <v>30000</v>
      </c>
      <c r="D261" s="63">
        <f>D260+D$242*10</f>
        <v>80000</v>
      </c>
      <c r="E261" s="21" t="s">
        <v>18</v>
      </c>
      <c r="G261" s="117"/>
      <c r="H261" s="117"/>
      <c r="I261" s="117"/>
      <c r="J261" s="1">
        <v>20</v>
      </c>
    </row>
    <row r="262" spans="1:10" ht="16.5" customHeight="1" x14ac:dyDescent="0.3">
      <c r="A262" s="18" t="str">
        <f t="shared" si="56"/>
        <v>업적 - 룬스톤 합성 횟수 6000 회</v>
      </c>
      <c r="B262" s="17">
        <f t="shared" si="65"/>
        <v>6000</v>
      </c>
      <c r="C262" s="17">
        <f t="shared" si="59"/>
        <v>31500</v>
      </c>
      <c r="D262" s="63">
        <f>D261+D$242*20</f>
        <v>100000</v>
      </c>
      <c r="E262" s="21" t="s">
        <v>18</v>
      </c>
      <c r="G262" s="117"/>
      <c r="H262" s="117"/>
      <c r="I262" s="117"/>
      <c r="J262" s="1">
        <v>21</v>
      </c>
    </row>
    <row r="263" spans="1:10" ht="16.5" customHeight="1" x14ac:dyDescent="0.3">
      <c r="A263" s="18" t="str">
        <f t="shared" si="56"/>
        <v>업적 - 룬스톤 합성 횟수 7000 회</v>
      </c>
      <c r="B263" s="17">
        <f t="shared" si="65"/>
        <v>7000</v>
      </c>
      <c r="C263" s="17">
        <f t="shared" si="59"/>
        <v>33000</v>
      </c>
      <c r="D263" s="63">
        <f>D262+D$242*20</f>
        <v>120000</v>
      </c>
      <c r="E263" s="21" t="s">
        <v>18</v>
      </c>
      <c r="G263" s="117"/>
      <c r="H263" s="117"/>
      <c r="I263" s="117"/>
      <c r="J263" s="1">
        <v>22</v>
      </c>
    </row>
    <row r="264" spans="1:10" ht="16.5" customHeight="1" x14ac:dyDescent="0.3">
      <c r="A264" s="18" t="str">
        <f t="shared" si="56"/>
        <v>업적 - 룬스톤 합성 횟수 8000 회</v>
      </c>
      <c r="B264" s="17">
        <f t="shared" si="65"/>
        <v>8000</v>
      </c>
      <c r="C264" s="17">
        <f t="shared" si="59"/>
        <v>34500</v>
      </c>
      <c r="D264" s="63">
        <f>D263+D$242*20</f>
        <v>140000</v>
      </c>
      <c r="E264" s="21" t="s">
        <v>18</v>
      </c>
      <c r="G264" s="117"/>
      <c r="H264" s="117"/>
      <c r="I264" s="117"/>
      <c r="J264" s="1">
        <v>23</v>
      </c>
    </row>
    <row r="265" spans="1:10" ht="16.5" customHeight="1" x14ac:dyDescent="0.3">
      <c r="A265" s="15" t="str">
        <f>"업적 - 룬스톤 5성 누적 획득 " &amp; B265 &amp; " 회"</f>
        <v>업적 - 룬스톤 5성 누적 획득 1 회</v>
      </c>
      <c r="B265" s="14">
        <v>1</v>
      </c>
      <c r="C265" s="14">
        <v>5000</v>
      </c>
      <c r="D265" s="35">
        <f>'Achievement Reward List'!F17</f>
        <v>5000</v>
      </c>
      <c r="E265" s="20" t="s">
        <v>18</v>
      </c>
      <c r="G265" s="118">
        <f>SUM(D265:D266)</f>
        <v>15000</v>
      </c>
      <c r="H265" s="118">
        <f>SUM(D265:D268)</f>
        <v>40000</v>
      </c>
      <c r="I265" s="118">
        <f>SUM(D265:D272)</f>
        <v>155000</v>
      </c>
    </row>
    <row r="266" spans="1:10" ht="16.5" customHeight="1" x14ac:dyDescent="0.3">
      <c r="A266" s="15" t="str">
        <f t="shared" ref="A266:A278" si="66">"업적 - 룬스톤 5성 누적 획득 " &amp; B266 &amp; " 회"</f>
        <v>업적 - 룬스톤 5성 누적 획득 10 회</v>
      </c>
      <c r="B266" s="14">
        <v>10</v>
      </c>
      <c r="C266" s="14">
        <f>INT(C265+C$265*100%)</f>
        <v>10000</v>
      </c>
      <c r="D266" s="46">
        <f>D265+D$265</f>
        <v>10000</v>
      </c>
      <c r="E266" s="20" t="s">
        <v>18</v>
      </c>
      <c r="G266" s="118"/>
      <c r="H266" s="118"/>
      <c r="I266" s="118"/>
    </row>
    <row r="267" spans="1:10" ht="16.5" customHeight="1" x14ac:dyDescent="0.3">
      <c r="A267" s="15" t="str">
        <f t="shared" si="66"/>
        <v>업적 - 룬스톤 5성 누적 획득 20 회</v>
      </c>
      <c r="B267" s="14">
        <v>20</v>
      </c>
      <c r="C267" s="14">
        <f>INT(C266+C$265*100%)</f>
        <v>15000</v>
      </c>
      <c r="D267" s="48">
        <v>10000</v>
      </c>
      <c r="E267" s="20" t="s">
        <v>18</v>
      </c>
      <c r="G267" s="118"/>
      <c r="H267" s="118"/>
      <c r="I267" s="118"/>
    </row>
    <row r="268" spans="1:10" ht="16.5" customHeight="1" x14ac:dyDescent="0.3">
      <c r="A268" s="15" t="str">
        <f t="shared" si="66"/>
        <v>업적 - 룬스톤 5성 누적 획득 30 회</v>
      </c>
      <c r="B268" s="14">
        <v>30</v>
      </c>
      <c r="C268" s="14">
        <f>INT(C267+C$265*100%)</f>
        <v>20000</v>
      </c>
      <c r="D268" s="48">
        <f>D267+D$267/2</f>
        <v>15000</v>
      </c>
      <c r="E268" s="20" t="s">
        <v>18</v>
      </c>
      <c r="G268" s="118"/>
      <c r="H268" s="118"/>
      <c r="I268" s="118"/>
    </row>
    <row r="269" spans="1:10" ht="16.5" customHeight="1" x14ac:dyDescent="0.3">
      <c r="A269" s="15" t="str">
        <f t="shared" si="66"/>
        <v>업적 - 룬스톤 5성 누적 획득 50 회</v>
      </c>
      <c r="B269" s="14">
        <v>50</v>
      </c>
      <c r="C269" s="14">
        <f>INT(C268+C$266*100%)</f>
        <v>30000</v>
      </c>
      <c r="D269" s="49">
        <f>D268+D$267/2</f>
        <v>20000</v>
      </c>
      <c r="E269" s="20" t="s">
        <v>18</v>
      </c>
      <c r="G269" s="118"/>
      <c r="H269" s="118"/>
      <c r="I269" s="118"/>
    </row>
    <row r="270" spans="1:10" ht="16.5" customHeight="1" x14ac:dyDescent="0.3">
      <c r="A270" s="15" t="str">
        <f t="shared" si="66"/>
        <v>업적 - 룬스톤 5성 누적 획득 100 회</v>
      </c>
      <c r="B270" s="14">
        <v>100</v>
      </c>
      <c r="C270" s="14">
        <f t="shared" ref="C270:C271" si="67">INT(C269+C$266*100%)</f>
        <v>40000</v>
      </c>
      <c r="D270" s="49">
        <f>D269+D$267/2</f>
        <v>25000</v>
      </c>
      <c r="E270" s="20" t="s">
        <v>18</v>
      </c>
      <c r="G270" s="118"/>
      <c r="H270" s="118"/>
      <c r="I270" s="118"/>
    </row>
    <row r="271" spans="1:10" ht="16.5" customHeight="1" x14ac:dyDescent="0.3">
      <c r="A271" s="15" t="str">
        <f t="shared" si="66"/>
        <v>업적 - 룬스톤 5성 누적 획득 150 회</v>
      </c>
      <c r="B271" s="14">
        <f>B270+50</f>
        <v>150</v>
      </c>
      <c r="C271" s="14">
        <f t="shared" si="67"/>
        <v>50000</v>
      </c>
      <c r="D271" s="49">
        <f>D270+D$267/2</f>
        <v>30000</v>
      </c>
      <c r="E271" s="20" t="s">
        <v>18</v>
      </c>
      <c r="G271" s="118"/>
      <c r="H271" s="118"/>
      <c r="I271" s="118"/>
    </row>
    <row r="272" spans="1:10" ht="16.5" customHeight="1" x14ac:dyDescent="0.3">
      <c r="A272" s="15" t="str">
        <f t="shared" si="66"/>
        <v>업적 - 룬스톤 5성 누적 획득 200 회</v>
      </c>
      <c r="B272" s="14">
        <f t="shared" ref="B272:B278" si="68">B271+50</f>
        <v>200</v>
      </c>
      <c r="C272" s="14">
        <f>INT(C271+C$271*50%)</f>
        <v>75000</v>
      </c>
      <c r="D272" s="49">
        <f>D271+D$267</f>
        <v>40000</v>
      </c>
      <c r="E272" s="20" t="s">
        <v>18</v>
      </c>
      <c r="G272" s="118"/>
      <c r="H272" s="118"/>
      <c r="I272" s="118"/>
    </row>
    <row r="273" spans="1:9" ht="16.5" customHeight="1" x14ac:dyDescent="0.3">
      <c r="A273" s="15" t="str">
        <f t="shared" si="66"/>
        <v>업적 - 룬스톤 5성 누적 획득 250 회</v>
      </c>
      <c r="B273" s="14">
        <f t="shared" si="68"/>
        <v>250</v>
      </c>
      <c r="C273" s="14">
        <f t="shared" ref="C273:C277" si="69">INT(C272+C$271*50%)</f>
        <v>100000</v>
      </c>
      <c r="D273" s="63">
        <f>D272+D$267</f>
        <v>50000</v>
      </c>
      <c r="E273" s="20" t="s">
        <v>18</v>
      </c>
      <c r="G273" s="118"/>
      <c r="H273" s="118"/>
      <c r="I273" s="118"/>
    </row>
    <row r="274" spans="1:9" ht="16.5" customHeight="1" x14ac:dyDescent="0.3">
      <c r="A274" s="15" t="str">
        <f t="shared" si="66"/>
        <v>업적 - 룬스톤 5성 누적 획득 300 회</v>
      </c>
      <c r="B274" s="14">
        <f t="shared" si="68"/>
        <v>300</v>
      </c>
      <c r="C274" s="14">
        <f t="shared" si="69"/>
        <v>125000</v>
      </c>
      <c r="D274" s="63">
        <f>D273+D$267</f>
        <v>60000</v>
      </c>
      <c r="E274" s="20" t="s">
        <v>18</v>
      </c>
      <c r="G274" s="118"/>
      <c r="H274" s="118"/>
      <c r="I274" s="118"/>
    </row>
    <row r="275" spans="1:9" ht="16.5" customHeight="1" x14ac:dyDescent="0.3">
      <c r="A275" s="15" t="str">
        <f t="shared" si="66"/>
        <v>업적 - 룬스톤 5성 누적 획득 350 회</v>
      </c>
      <c r="B275" s="14">
        <f t="shared" si="68"/>
        <v>350</v>
      </c>
      <c r="C275" s="14">
        <f t="shared" si="69"/>
        <v>150000</v>
      </c>
      <c r="D275" s="63">
        <f>D274+D$267*2</f>
        <v>80000</v>
      </c>
      <c r="E275" s="20" t="s">
        <v>18</v>
      </c>
      <c r="G275" s="118"/>
      <c r="H275" s="118"/>
      <c r="I275" s="118"/>
    </row>
    <row r="276" spans="1:9" ht="16.5" customHeight="1" x14ac:dyDescent="0.3">
      <c r="A276" s="15" t="str">
        <f t="shared" si="66"/>
        <v>업적 - 룬스톤 5성 누적 획득 400 회</v>
      </c>
      <c r="B276" s="14">
        <f t="shared" si="68"/>
        <v>400</v>
      </c>
      <c r="C276" s="14">
        <f t="shared" si="69"/>
        <v>175000</v>
      </c>
      <c r="D276" s="63">
        <f>D275+D$267*2</f>
        <v>100000</v>
      </c>
      <c r="E276" s="20" t="s">
        <v>18</v>
      </c>
      <c r="G276" s="118"/>
      <c r="H276" s="118"/>
      <c r="I276" s="118"/>
    </row>
    <row r="277" spans="1:9" ht="16.5" customHeight="1" x14ac:dyDescent="0.3">
      <c r="A277" s="15" t="str">
        <f t="shared" si="66"/>
        <v>업적 - 룬스톤 5성 누적 획득 450 회</v>
      </c>
      <c r="B277" s="14">
        <f t="shared" si="68"/>
        <v>450</v>
      </c>
      <c r="C277" s="14">
        <f t="shared" si="69"/>
        <v>200000</v>
      </c>
      <c r="D277" s="63">
        <f>D276+D$267*2</f>
        <v>120000</v>
      </c>
      <c r="E277" s="20" t="s">
        <v>18</v>
      </c>
      <c r="G277" s="118"/>
      <c r="H277" s="118"/>
      <c r="I277" s="118"/>
    </row>
    <row r="278" spans="1:9" ht="16.5" customHeight="1" x14ac:dyDescent="0.3">
      <c r="A278" s="15" t="str">
        <f t="shared" si="66"/>
        <v>업적 - 룬스톤 5성 누적 획득 500 회</v>
      </c>
      <c r="B278" s="14">
        <f t="shared" si="68"/>
        <v>500</v>
      </c>
      <c r="C278" s="14">
        <f>INT(C277+C$277*25%)</f>
        <v>250000</v>
      </c>
      <c r="D278" s="63">
        <f>D277+D$267*3</f>
        <v>150000</v>
      </c>
      <c r="E278" s="20" t="s">
        <v>18</v>
      </c>
      <c r="G278" s="118"/>
      <c r="H278" s="118"/>
      <c r="I278" s="118"/>
    </row>
    <row r="279" spans="1:9" ht="16.5" customHeight="1" x14ac:dyDescent="0.3">
      <c r="A279" s="18" t="str">
        <f>"업적 - 룬스톤 6성 누적 획득 " &amp; B279 &amp; " 회"</f>
        <v>업적 - 룬스톤 6성 누적 획득 1 회</v>
      </c>
      <c r="B279" s="17">
        <v>1</v>
      </c>
      <c r="C279" s="17">
        <v>10000</v>
      </c>
      <c r="D279" s="45">
        <f>'Achievement Reward List'!F18</f>
        <v>10000</v>
      </c>
      <c r="E279" s="17" t="s">
        <v>18</v>
      </c>
      <c r="G279" s="117">
        <f>SUM(D279)</f>
        <v>10000</v>
      </c>
      <c r="H279" s="117">
        <f>SUM(D279:D281)</f>
        <v>70000</v>
      </c>
      <c r="I279" s="117">
        <f>SUM(D279:D284)</f>
        <v>225000</v>
      </c>
    </row>
    <row r="280" spans="1:9" ht="16.5" customHeight="1" x14ac:dyDescent="0.3">
      <c r="A280" s="18" t="str">
        <f t="shared" ref="A280:A292" si="70">"업적 - 룬스톤 6성 누적 획득 " &amp; B280 &amp; " 회"</f>
        <v>업적 - 룬스톤 6성 누적 획득 10 회</v>
      </c>
      <c r="B280" s="17">
        <v>10</v>
      </c>
      <c r="C280" s="17">
        <f>INT(C279+C$279*100%)</f>
        <v>20000</v>
      </c>
      <c r="D280" s="48">
        <f>D279+D279</f>
        <v>20000</v>
      </c>
      <c r="E280" s="17" t="s">
        <v>18</v>
      </c>
      <c r="G280" s="117"/>
      <c r="H280" s="117"/>
      <c r="I280" s="117"/>
    </row>
    <row r="281" spans="1:9" ht="16.5" customHeight="1" x14ac:dyDescent="0.3">
      <c r="A281" s="18" t="str">
        <f t="shared" si="70"/>
        <v>업적 - 룬스톤 6성 누적 획득 20 회</v>
      </c>
      <c r="B281" s="17">
        <v>20</v>
      </c>
      <c r="C281" s="17">
        <f>INT(C280+C$279*100%)</f>
        <v>30000</v>
      </c>
      <c r="D281" s="48">
        <f>D280+D280</f>
        <v>40000</v>
      </c>
      <c r="E281" s="17" t="s">
        <v>18</v>
      </c>
      <c r="G281" s="117"/>
      <c r="H281" s="117"/>
      <c r="I281" s="117"/>
    </row>
    <row r="282" spans="1:9" ht="16.5" customHeight="1" x14ac:dyDescent="0.3">
      <c r="A282" s="18" t="str">
        <f t="shared" si="70"/>
        <v>업적 - 룬스톤 6성 누적 획득 30 회</v>
      </c>
      <c r="B282" s="17">
        <v>30</v>
      </c>
      <c r="C282" s="17">
        <f>INT(C281+C$279*200%)</f>
        <v>50000</v>
      </c>
      <c r="D282" s="49">
        <v>30000</v>
      </c>
      <c r="E282" s="17" t="s">
        <v>18</v>
      </c>
      <c r="G282" s="117"/>
      <c r="H282" s="117"/>
      <c r="I282" s="117"/>
    </row>
    <row r="283" spans="1:9" ht="16.5" customHeight="1" x14ac:dyDescent="0.3">
      <c r="A283" s="18" t="str">
        <f t="shared" si="70"/>
        <v>업적 - 룬스톤 6성 누적 획득 50 회</v>
      </c>
      <c r="B283" s="17">
        <v>50</v>
      </c>
      <c r="C283" s="17">
        <f>INT(C282+C$282*50%)</f>
        <v>75000</v>
      </c>
      <c r="D283" s="49">
        <v>50000</v>
      </c>
      <c r="E283" s="17" t="s">
        <v>18</v>
      </c>
      <c r="G283" s="117"/>
      <c r="H283" s="117"/>
      <c r="I283" s="117"/>
    </row>
    <row r="284" spans="1:9" ht="16.5" customHeight="1" x14ac:dyDescent="0.3">
      <c r="A284" s="18" t="str">
        <f t="shared" si="70"/>
        <v>업적 - 룬스톤 6성 누적 획득 100 회</v>
      </c>
      <c r="B284" s="17">
        <v>100</v>
      </c>
      <c r="C284" s="17">
        <f t="shared" ref="C284:C288" si="71">INT(C283+C$282*50%)</f>
        <v>100000</v>
      </c>
      <c r="D284" s="49">
        <f>D283+25000</f>
        <v>75000</v>
      </c>
      <c r="E284" s="17" t="s">
        <v>18</v>
      </c>
      <c r="G284" s="117"/>
      <c r="H284" s="117"/>
      <c r="I284" s="117"/>
    </row>
    <row r="285" spans="1:9" ht="16.5" customHeight="1" x14ac:dyDescent="0.3">
      <c r="A285" s="18" t="str">
        <f t="shared" si="70"/>
        <v>업적 - 룬스톤 6성 누적 획득 150 회</v>
      </c>
      <c r="B285" s="17">
        <f>B284+50</f>
        <v>150</v>
      </c>
      <c r="C285" s="17">
        <f t="shared" si="71"/>
        <v>125000</v>
      </c>
      <c r="D285" s="63">
        <f t="shared" ref="D285:D287" si="72">D284+25000</f>
        <v>100000</v>
      </c>
      <c r="E285" s="17" t="s">
        <v>18</v>
      </c>
      <c r="G285" s="117"/>
      <c r="H285" s="117"/>
      <c r="I285" s="117"/>
    </row>
    <row r="286" spans="1:9" ht="16.5" customHeight="1" x14ac:dyDescent="0.3">
      <c r="A286" s="18" t="str">
        <f t="shared" si="70"/>
        <v>업적 - 룬스톤 6성 누적 획득 200 회</v>
      </c>
      <c r="B286" s="17">
        <f t="shared" ref="B286:B292" si="73">B285+50</f>
        <v>200</v>
      </c>
      <c r="C286" s="17">
        <f t="shared" si="71"/>
        <v>150000</v>
      </c>
      <c r="D286" s="63">
        <f t="shared" si="72"/>
        <v>125000</v>
      </c>
      <c r="E286" s="17" t="s">
        <v>18</v>
      </c>
      <c r="G286" s="117"/>
      <c r="H286" s="117"/>
      <c r="I286" s="117"/>
    </row>
    <row r="287" spans="1:9" ht="16.5" customHeight="1" x14ac:dyDescent="0.3">
      <c r="A287" s="18" t="str">
        <f t="shared" si="70"/>
        <v>업적 - 룬스톤 6성 누적 획득 250 회</v>
      </c>
      <c r="B287" s="17">
        <f t="shared" si="73"/>
        <v>250</v>
      </c>
      <c r="C287" s="17">
        <f t="shared" si="71"/>
        <v>175000</v>
      </c>
      <c r="D287" s="63">
        <f t="shared" si="72"/>
        <v>150000</v>
      </c>
      <c r="E287" s="17" t="s">
        <v>18</v>
      </c>
      <c r="G287" s="117"/>
      <c r="H287" s="117"/>
      <c r="I287" s="117"/>
    </row>
    <row r="288" spans="1:9" ht="16.5" customHeight="1" x14ac:dyDescent="0.3">
      <c r="A288" s="18" t="str">
        <f t="shared" si="70"/>
        <v>업적 - 룬스톤 6성 누적 획득 300 회</v>
      </c>
      <c r="B288" s="17">
        <f t="shared" si="73"/>
        <v>300</v>
      </c>
      <c r="C288" s="17">
        <f t="shared" si="71"/>
        <v>200000</v>
      </c>
      <c r="D288" s="63">
        <f>D287+30000</f>
        <v>180000</v>
      </c>
      <c r="E288" s="17" t="s">
        <v>18</v>
      </c>
      <c r="G288" s="117"/>
      <c r="H288" s="117"/>
      <c r="I288" s="117"/>
    </row>
    <row r="289" spans="1:9" ht="16.5" customHeight="1" x14ac:dyDescent="0.3">
      <c r="A289" s="18" t="str">
        <f t="shared" si="70"/>
        <v>업적 - 룬스톤 6성 누적 획득 350 회</v>
      </c>
      <c r="B289" s="17">
        <f t="shared" si="73"/>
        <v>350</v>
      </c>
      <c r="C289" s="17">
        <f>INT(C288+C$288*25%)</f>
        <v>250000</v>
      </c>
      <c r="D289" s="63">
        <f>D288+30000</f>
        <v>210000</v>
      </c>
      <c r="E289" s="17" t="s">
        <v>18</v>
      </c>
      <c r="G289" s="117"/>
      <c r="H289" s="117"/>
      <c r="I289" s="117"/>
    </row>
    <row r="290" spans="1:9" ht="16.5" customHeight="1" x14ac:dyDescent="0.3">
      <c r="A290" s="18" t="str">
        <f t="shared" si="70"/>
        <v>업적 - 룬스톤 6성 누적 획득 400 회</v>
      </c>
      <c r="B290" s="17">
        <f t="shared" si="73"/>
        <v>400</v>
      </c>
      <c r="C290" s="17">
        <f t="shared" ref="C290:C292" si="74">INT(C289+C$288*25%)</f>
        <v>300000</v>
      </c>
      <c r="D290" s="63">
        <f t="shared" ref="D290:D292" si="75">D289+30000</f>
        <v>240000</v>
      </c>
      <c r="E290" s="17" t="s">
        <v>18</v>
      </c>
      <c r="G290" s="117"/>
      <c r="H290" s="117"/>
      <c r="I290" s="117"/>
    </row>
    <row r="291" spans="1:9" ht="16.5" customHeight="1" x14ac:dyDescent="0.3">
      <c r="A291" s="18" t="str">
        <f t="shared" si="70"/>
        <v>업적 - 룬스톤 6성 누적 획득 450 회</v>
      </c>
      <c r="B291" s="17">
        <f t="shared" si="73"/>
        <v>450</v>
      </c>
      <c r="C291" s="17">
        <f t="shared" si="74"/>
        <v>350000</v>
      </c>
      <c r="D291" s="63">
        <f t="shared" si="75"/>
        <v>270000</v>
      </c>
      <c r="E291" s="17" t="s">
        <v>18</v>
      </c>
      <c r="G291" s="117"/>
      <c r="H291" s="117"/>
      <c r="I291" s="117"/>
    </row>
    <row r="292" spans="1:9" ht="16.5" customHeight="1" x14ac:dyDescent="0.3">
      <c r="A292" s="18" t="str">
        <f t="shared" si="70"/>
        <v>업적 - 룬스톤 6성 누적 획득 500 회</v>
      </c>
      <c r="B292" s="17">
        <f t="shared" si="73"/>
        <v>500</v>
      </c>
      <c r="C292" s="17">
        <f t="shared" si="74"/>
        <v>400000</v>
      </c>
      <c r="D292" s="63">
        <f t="shared" si="75"/>
        <v>300000</v>
      </c>
      <c r="E292" s="17" t="s">
        <v>18</v>
      </c>
      <c r="G292" s="117"/>
      <c r="H292" s="117"/>
      <c r="I292" s="117"/>
    </row>
    <row r="293" spans="1:9" ht="16.5" customHeight="1" x14ac:dyDescent="0.3">
      <c r="A293" s="15" t="str">
        <f>"업적 - 룬스톤 7성 누적 획득 " &amp; B293 &amp; " 회"</f>
        <v>업적 - 룬스톤 7성 누적 획득 1 회</v>
      </c>
      <c r="B293" s="14">
        <v>1</v>
      </c>
      <c r="C293" s="14">
        <v>15000</v>
      </c>
      <c r="D293" s="35">
        <f>'Achievement Reward List'!F19</f>
        <v>20000</v>
      </c>
      <c r="E293" s="20" t="s">
        <v>18</v>
      </c>
      <c r="G293" s="118">
        <f>SUM(D293)</f>
        <v>20000</v>
      </c>
      <c r="H293" s="118">
        <f>SUM(D293:D294)</f>
        <v>60000</v>
      </c>
      <c r="I293" s="118">
        <f>SUM(D293:D297)</f>
        <v>290000</v>
      </c>
    </row>
    <row r="294" spans="1:9" ht="16.5" customHeight="1" x14ac:dyDescent="0.3">
      <c r="A294" s="15" t="str">
        <f t="shared" ref="A294:A306" si="76">"업적 - 룬스톤 7성 누적 획득 " &amp; B294 &amp; " 회"</f>
        <v>업적 - 룬스톤 7성 누적 획득 10 회</v>
      </c>
      <c r="B294" s="14">
        <v>10</v>
      </c>
      <c r="C294" s="14">
        <f>INT(C293+C$293*100%)</f>
        <v>30000</v>
      </c>
      <c r="D294" s="48">
        <f>D280*2</f>
        <v>40000</v>
      </c>
      <c r="E294" s="20" t="s">
        <v>18</v>
      </c>
      <c r="G294" s="118"/>
      <c r="H294" s="118"/>
      <c r="I294" s="118"/>
    </row>
    <row r="295" spans="1:9" ht="16.5" customHeight="1" x14ac:dyDescent="0.3">
      <c r="A295" s="15" t="str">
        <f t="shared" si="76"/>
        <v>업적 - 룬스톤 7성 누적 획득 20 회</v>
      </c>
      <c r="B295" s="14">
        <v>20</v>
      </c>
      <c r="C295" s="14">
        <f>INT(C294+20000)</f>
        <v>50000</v>
      </c>
      <c r="D295" s="49">
        <f t="shared" ref="D295:D296" si="77">D281*2</f>
        <v>80000</v>
      </c>
      <c r="E295" s="20" t="s">
        <v>18</v>
      </c>
      <c r="G295" s="118"/>
      <c r="H295" s="118"/>
      <c r="I295" s="118"/>
    </row>
    <row r="296" spans="1:9" ht="16.5" customHeight="1" x14ac:dyDescent="0.3">
      <c r="A296" s="15" t="str">
        <f t="shared" si="76"/>
        <v>업적 - 룬스톤 7성 누적 획득 30 회</v>
      </c>
      <c r="B296" s="14">
        <v>30</v>
      </c>
      <c r="C296" s="14">
        <f>INT(C295+25000)</f>
        <v>75000</v>
      </c>
      <c r="D296" s="49">
        <f t="shared" si="77"/>
        <v>60000</v>
      </c>
      <c r="E296" s="20" t="s">
        <v>18</v>
      </c>
      <c r="G296" s="118"/>
      <c r="H296" s="118"/>
      <c r="I296" s="118"/>
    </row>
    <row r="297" spans="1:9" ht="16.5" customHeight="1" x14ac:dyDescent="0.3">
      <c r="A297" s="15" t="str">
        <f t="shared" si="76"/>
        <v>업적 - 룬스톤 7성 누적 획득 50 회</v>
      </c>
      <c r="B297" s="14">
        <v>50</v>
      </c>
      <c r="C297" s="14">
        <f>INT(C296+25000)</f>
        <v>100000</v>
      </c>
      <c r="D297" s="49">
        <v>90000</v>
      </c>
      <c r="E297" s="20" t="s">
        <v>18</v>
      </c>
      <c r="G297" s="118"/>
      <c r="H297" s="118"/>
      <c r="I297" s="118"/>
    </row>
    <row r="298" spans="1:9" ht="16.5" customHeight="1" x14ac:dyDescent="0.3">
      <c r="A298" s="15" t="str">
        <f t="shared" si="76"/>
        <v>업적 - 룬스톤 7성 누적 획득 100 회</v>
      </c>
      <c r="B298" s="14">
        <v>100</v>
      </c>
      <c r="C298" s="14">
        <f t="shared" ref="C298:C299" si="78">INT(C297+25000)</f>
        <v>125000</v>
      </c>
      <c r="D298" s="63">
        <v>120000</v>
      </c>
      <c r="E298" s="20" t="s">
        <v>18</v>
      </c>
      <c r="G298" s="118"/>
      <c r="H298" s="118"/>
      <c r="I298" s="118"/>
    </row>
    <row r="299" spans="1:9" ht="16.5" customHeight="1" x14ac:dyDescent="0.3">
      <c r="A299" s="15" t="str">
        <f t="shared" si="76"/>
        <v>업적 - 룬스톤 7성 누적 획득 150 회</v>
      </c>
      <c r="B299" s="14">
        <f>B298+50</f>
        <v>150</v>
      </c>
      <c r="C299" s="14">
        <f t="shared" si="78"/>
        <v>150000</v>
      </c>
      <c r="D299" s="63">
        <v>150000</v>
      </c>
      <c r="E299" s="20" t="s">
        <v>18</v>
      </c>
      <c r="G299" s="118"/>
      <c r="H299" s="118"/>
      <c r="I299" s="118"/>
    </row>
    <row r="300" spans="1:9" ht="16.5" customHeight="1" x14ac:dyDescent="0.3">
      <c r="A300" s="15" t="str">
        <f t="shared" si="76"/>
        <v>업적 - 룬스톤 7성 누적 획득 200 회</v>
      </c>
      <c r="B300" s="14">
        <f t="shared" ref="B300:B306" si="79">B299+50</f>
        <v>200</v>
      </c>
      <c r="C300" s="14">
        <f>INT(C299+C$295)</f>
        <v>200000</v>
      </c>
      <c r="D300" s="63">
        <v>180000</v>
      </c>
      <c r="E300" s="20" t="s">
        <v>18</v>
      </c>
      <c r="G300" s="118"/>
      <c r="H300" s="118"/>
      <c r="I300" s="118"/>
    </row>
    <row r="301" spans="1:9" ht="16.5" customHeight="1" x14ac:dyDescent="0.3">
      <c r="A301" s="15" t="str">
        <f t="shared" si="76"/>
        <v>업적 - 룬스톤 7성 누적 획득 250 회</v>
      </c>
      <c r="B301" s="14">
        <f t="shared" si="79"/>
        <v>250</v>
      </c>
      <c r="C301" s="14">
        <f t="shared" ref="C301:C302" si="80">INT(C300+C$295)</f>
        <v>250000</v>
      </c>
      <c r="D301" s="63">
        <v>220000</v>
      </c>
      <c r="E301" s="20" t="s">
        <v>18</v>
      </c>
      <c r="G301" s="118"/>
      <c r="H301" s="118"/>
      <c r="I301" s="118"/>
    </row>
    <row r="302" spans="1:9" ht="16.5" customHeight="1" x14ac:dyDescent="0.3">
      <c r="A302" s="15" t="str">
        <f t="shared" si="76"/>
        <v>업적 - 룬스톤 7성 누적 획득 300 회</v>
      </c>
      <c r="B302" s="14">
        <f t="shared" si="79"/>
        <v>300</v>
      </c>
      <c r="C302" s="14">
        <f t="shared" si="80"/>
        <v>300000</v>
      </c>
      <c r="D302" s="63">
        <v>260000</v>
      </c>
      <c r="E302" s="20" t="s">
        <v>18</v>
      </c>
      <c r="G302" s="118"/>
      <c r="H302" s="118"/>
      <c r="I302" s="118"/>
    </row>
    <row r="303" spans="1:9" ht="16.5" customHeight="1" x14ac:dyDescent="0.3">
      <c r="A303" s="15" t="str">
        <f t="shared" si="76"/>
        <v>업적 - 룬스톤 7성 누적 획득 350 회</v>
      </c>
      <c r="B303" s="14">
        <f t="shared" si="79"/>
        <v>350</v>
      </c>
      <c r="C303" s="14">
        <f>INT(C302+C$300*50%)</f>
        <v>400000</v>
      </c>
      <c r="D303" s="63">
        <v>300000</v>
      </c>
      <c r="E303" s="20" t="s">
        <v>18</v>
      </c>
      <c r="G303" s="118"/>
      <c r="H303" s="118"/>
      <c r="I303" s="118"/>
    </row>
    <row r="304" spans="1:9" ht="16.5" customHeight="1" x14ac:dyDescent="0.3">
      <c r="A304" s="15" t="str">
        <f t="shared" si="76"/>
        <v>업적 - 룬스톤 7성 누적 획득 400 회</v>
      </c>
      <c r="B304" s="14">
        <f t="shared" si="79"/>
        <v>400</v>
      </c>
      <c r="C304" s="14">
        <f t="shared" ref="C304:C306" si="81">INT(C303+C$300*50%)</f>
        <v>500000</v>
      </c>
      <c r="D304" s="63">
        <v>350000</v>
      </c>
      <c r="E304" s="20" t="s">
        <v>18</v>
      </c>
      <c r="G304" s="118"/>
      <c r="H304" s="118"/>
      <c r="I304" s="118"/>
    </row>
    <row r="305" spans="1:9" ht="16.5" customHeight="1" x14ac:dyDescent="0.3">
      <c r="A305" s="15" t="str">
        <f t="shared" si="76"/>
        <v>업적 - 룬스톤 7성 누적 획득 450 회</v>
      </c>
      <c r="B305" s="14">
        <f t="shared" si="79"/>
        <v>450</v>
      </c>
      <c r="C305" s="14">
        <f t="shared" si="81"/>
        <v>600000</v>
      </c>
      <c r="D305" s="63">
        <v>400000</v>
      </c>
      <c r="E305" s="20" t="s">
        <v>18</v>
      </c>
      <c r="G305" s="118"/>
      <c r="H305" s="118"/>
      <c r="I305" s="118"/>
    </row>
    <row r="306" spans="1:9" ht="16.5" customHeight="1" x14ac:dyDescent="0.3">
      <c r="A306" s="15" t="str">
        <f t="shared" si="76"/>
        <v>업적 - 룬스톤 7성 누적 획득 500 회</v>
      </c>
      <c r="B306" s="14">
        <f t="shared" si="79"/>
        <v>500</v>
      </c>
      <c r="C306" s="14">
        <f t="shared" si="81"/>
        <v>700000</v>
      </c>
      <c r="D306" s="63">
        <v>450000</v>
      </c>
      <c r="E306" s="20" t="s">
        <v>18</v>
      </c>
      <c r="G306" s="118"/>
      <c r="H306" s="118"/>
      <c r="I306" s="118"/>
    </row>
    <row r="307" spans="1:9" ht="16.5" customHeight="1" x14ac:dyDescent="0.3">
      <c r="A307" s="18" t="str">
        <f>"업적 - 장비아이템 합성 누적 횟수 " &amp; B307 &amp; " 회"</f>
        <v>업적 - 장비아이템 합성 누적 횟수 1 회</v>
      </c>
      <c r="B307" s="17">
        <v>1</v>
      </c>
      <c r="C307" s="17">
        <v>7500</v>
      </c>
      <c r="D307" s="45">
        <f>'Achievement Reward List'!F20</f>
        <v>3000</v>
      </c>
      <c r="E307" s="21" t="s">
        <v>18</v>
      </c>
      <c r="G307" s="117">
        <f>SUM(D307:D310)</f>
        <v>30000</v>
      </c>
      <c r="H307" s="117">
        <f>SUM(D307:D317)</f>
        <v>220000</v>
      </c>
      <c r="I307" s="117">
        <f>SUM(D307:D322)</f>
        <v>500000</v>
      </c>
    </row>
    <row r="308" spans="1:9" ht="16.5" customHeight="1" x14ac:dyDescent="0.3">
      <c r="A308" s="18" t="str">
        <f t="shared" ref="A308:A330" si="82">"업적 - 장비아이템 합성 누적 횟수 " &amp; B308 &amp; " 회"</f>
        <v>업적 - 장비아이템 합성 누적 횟수 5 회</v>
      </c>
      <c r="B308" s="17">
        <v>5</v>
      </c>
      <c r="C308" s="17">
        <v>15000</v>
      </c>
      <c r="D308" s="45">
        <f>D307+D$307</f>
        <v>6000</v>
      </c>
      <c r="E308" s="21" t="s">
        <v>18</v>
      </c>
      <c r="G308" s="117"/>
      <c r="H308" s="117"/>
      <c r="I308" s="117"/>
    </row>
    <row r="309" spans="1:9" ht="16.5" customHeight="1" x14ac:dyDescent="0.3">
      <c r="A309" s="18" t="str">
        <f t="shared" si="82"/>
        <v>업적 - 장비아이템 합성 누적 횟수 10 회</v>
      </c>
      <c r="B309" s="17">
        <f>B308+5</f>
        <v>10</v>
      </c>
      <c r="C309" s="17">
        <f>INT(C308+C$242*100%)</f>
        <v>16500</v>
      </c>
      <c r="D309" s="45">
        <f>D308+D$307</f>
        <v>9000</v>
      </c>
      <c r="E309" s="21" t="s">
        <v>18</v>
      </c>
      <c r="G309" s="117"/>
      <c r="H309" s="117"/>
      <c r="I309" s="117"/>
    </row>
    <row r="310" spans="1:9" ht="16.5" customHeight="1" x14ac:dyDescent="0.3">
      <c r="A310" s="18" t="str">
        <f t="shared" si="82"/>
        <v>업적 - 장비아이템 합성 누적 횟수 15 회</v>
      </c>
      <c r="B310" s="17">
        <f t="shared" ref="B310:B317" si="83">B309+5</f>
        <v>15</v>
      </c>
      <c r="C310" s="17">
        <f>INT(C309+20000)</f>
        <v>36500</v>
      </c>
      <c r="D310" s="45">
        <f>D309+D$307</f>
        <v>12000</v>
      </c>
      <c r="E310" s="21" t="s">
        <v>18</v>
      </c>
      <c r="G310" s="117"/>
      <c r="H310" s="117"/>
      <c r="I310" s="117"/>
    </row>
    <row r="311" spans="1:9" ht="16.5" customHeight="1" x14ac:dyDescent="0.3">
      <c r="A311" s="18" t="str">
        <f t="shared" si="82"/>
        <v>업적 - 장비아이템 합성 누적 횟수 20 회</v>
      </c>
      <c r="B311" s="17">
        <f t="shared" si="83"/>
        <v>20</v>
      </c>
      <c r="C311" s="17">
        <f>INT(C310+C$244*50%)</f>
        <v>38750</v>
      </c>
      <c r="D311" s="48">
        <f>D310+D$307</f>
        <v>15000</v>
      </c>
      <c r="E311" s="21" t="s">
        <v>18</v>
      </c>
      <c r="G311" s="117"/>
      <c r="H311" s="117"/>
      <c r="I311" s="117"/>
    </row>
    <row r="312" spans="1:9" ht="16.5" customHeight="1" x14ac:dyDescent="0.3">
      <c r="A312" s="18" t="str">
        <f t="shared" si="82"/>
        <v>업적 - 장비아이템 합성 누적 횟수 25 회</v>
      </c>
      <c r="B312" s="17">
        <f t="shared" si="83"/>
        <v>25</v>
      </c>
      <c r="C312" s="17">
        <f t="shared" ref="C312:C330" si="84">INT(C311+C$244*50%)</f>
        <v>41000</v>
      </c>
      <c r="D312" s="48">
        <f>D311+4000</f>
        <v>19000</v>
      </c>
      <c r="E312" s="21" t="s">
        <v>18</v>
      </c>
      <c r="G312" s="117"/>
      <c r="H312" s="117"/>
      <c r="I312" s="117"/>
    </row>
    <row r="313" spans="1:9" ht="16.5" customHeight="1" x14ac:dyDescent="0.3">
      <c r="A313" s="18" t="str">
        <f t="shared" si="82"/>
        <v>업적 - 장비아이템 합성 누적 횟수 30 회</v>
      </c>
      <c r="B313" s="17">
        <f t="shared" si="83"/>
        <v>30</v>
      </c>
      <c r="C313" s="17">
        <f t="shared" si="84"/>
        <v>43250</v>
      </c>
      <c r="D313" s="48">
        <f t="shared" ref="D313:D316" si="85">D312+4000</f>
        <v>23000</v>
      </c>
      <c r="E313" s="21" t="s">
        <v>18</v>
      </c>
      <c r="G313" s="117"/>
      <c r="H313" s="117"/>
      <c r="I313" s="117"/>
    </row>
    <row r="314" spans="1:9" ht="16.5" customHeight="1" x14ac:dyDescent="0.3">
      <c r="A314" s="18" t="str">
        <f t="shared" si="82"/>
        <v>업적 - 장비아이템 합성 누적 횟수 35 회</v>
      </c>
      <c r="B314" s="17">
        <f t="shared" si="83"/>
        <v>35</v>
      </c>
      <c r="C314" s="17">
        <f t="shared" si="84"/>
        <v>45500</v>
      </c>
      <c r="D314" s="48">
        <f t="shared" si="85"/>
        <v>27000</v>
      </c>
      <c r="E314" s="21" t="s">
        <v>18</v>
      </c>
      <c r="G314" s="117"/>
      <c r="H314" s="117"/>
      <c r="I314" s="117"/>
    </row>
    <row r="315" spans="1:9" ht="16.5" customHeight="1" x14ac:dyDescent="0.3">
      <c r="A315" s="18" t="str">
        <f t="shared" si="82"/>
        <v>업적 - 장비아이템 합성 누적 횟수 40 회</v>
      </c>
      <c r="B315" s="17">
        <f t="shared" si="83"/>
        <v>40</v>
      </c>
      <c r="C315" s="17">
        <f t="shared" si="84"/>
        <v>47750</v>
      </c>
      <c r="D315" s="48">
        <f t="shared" si="85"/>
        <v>31000</v>
      </c>
      <c r="E315" s="21" t="s">
        <v>18</v>
      </c>
      <c r="G315" s="117"/>
      <c r="H315" s="117"/>
      <c r="I315" s="117"/>
    </row>
    <row r="316" spans="1:9" ht="16.5" customHeight="1" x14ac:dyDescent="0.3">
      <c r="A316" s="18" t="str">
        <f t="shared" si="82"/>
        <v>업적 - 장비아이템 합성 누적 횟수 45 회</v>
      </c>
      <c r="B316" s="17">
        <f t="shared" si="83"/>
        <v>45</v>
      </c>
      <c r="C316" s="17">
        <f t="shared" si="84"/>
        <v>50000</v>
      </c>
      <c r="D316" s="48">
        <f t="shared" si="85"/>
        <v>35000</v>
      </c>
      <c r="E316" s="21" t="s">
        <v>18</v>
      </c>
      <c r="G316" s="117"/>
      <c r="H316" s="117"/>
      <c r="I316" s="117"/>
    </row>
    <row r="317" spans="1:9" ht="16.5" customHeight="1" x14ac:dyDescent="0.3">
      <c r="A317" s="18" t="str">
        <f t="shared" si="82"/>
        <v>업적 - 장비아이템 합성 누적 횟수 50 회</v>
      </c>
      <c r="B317" s="17">
        <f t="shared" si="83"/>
        <v>50</v>
      </c>
      <c r="C317" s="17">
        <f t="shared" si="84"/>
        <v>52250</v>
      </c>
      <c r="D317" s="48">
        <f>D316+5000</f>
        <v>40000</v>
      </c>
      <c r="E317" s="21" t="s">
        <v>18</v>
      </c>
      <c r="G317" s="117"/>
      <c r="H317" s="117"/>
      <c r="I317" s="117"/>
    </row>
    <row r="318" spans="1:9" ht="16.5" customHeight="1" x14ac:dyDescent="0.3">
      <c r="A318" s="18" t="str">
        <f t="shared" si="82"/>
        <v>업적 - 장비아이템 합성 누적 횟수 60 회</v>
      </c>
      <c r="B318" s="17">
        <f>B317+10</f>
        <v>60</v>
      </c>
      <c r="C318" s="17">
        <f t="shared" si="84"/>
        <v>54500</v>
      </c>
      <c r="D318" s="49">
        <f t="shared" ref="D318:D321" si="86">D317+5000</f>
        <v>45000</v>
      </c>
      <c r="E318" s="21" t="s">
        <v>18</v>
      </c>
      <c r="G318" s="117"/>
      <c r="H318" s="117"/>
      <c r="I318" s="117"/>
    </row>
    <row r="319" spans="1:9" ht="16.5" customHeight="1" x14ac:dyDescent="0.3">
      <c r="A319" s="18" t="str">
        <f t="shared" si="82"/>
        <v>업적 - 장비아이템 합성 누적 횟수 70 회</v>
      </c>
      <c r="B319" s="17">
        <f t="shared" ref="B319:B322" si="87">B318+10</f>
        <v>70</v>
      </c>
      <c r="C319" s="17">
        <f t="shared" si="84"/>
        <v>56750</v>
      </c>
      <c r="D319" s="49">
        <f t="shared" si="86"/>
        <v>50000</v>
      </c>
      <c r="E319" s="21" t="s">
        <v>18</v>
      </c>
      <c r="G319" s="117"/>
      <c r="H319" s="117"/>
      <c r="I319" s="117"/>
    </row>
    <row r="320" spans="1:9" ht="16.5" customHeight="1" x14ac:dyDescent="0.3">
      <c r="A320" s="18" t="str">
        <f t="shared" si="82"/>
        <v>업적 - 장비아이템 합성 누적 횟수 80 회</v>
      </c>
      <c r="B320" s="17">
        <f t="shared" si="87"/>
        <v>80</v>
      </c>
      <c r="C320" s="17">
        <f t="shared" si="84"/>
        <v>59000</v>
      </c>
      <c r="D320" s="49">
        <f t="shared" si="86"/>
        <v>55000</v>
      </c>
      <c r="E320" s="21" t="s">
        <v>18</v>
      </c>
      <c r="G320" s="117"/>
      <c r="H320" s="117"/>
      <c r="I320" s="117"/>
    </row>
    <row r="321" spans="1:9" ht="16.5" customHeight="1" x14ac:dyDescent="0.3">
      <c r="A321" s="18" t="str">
        <f t="shared" si="82"/>
        <v>업적 - 장비아이템 합성 누적 횟수 90 회</v>
      </c>
      <c r="B321" s="17">
        <f t="shared" si="87"/>
        <v>90</v>
      </c>
      <c r="C321" s="17">
        <f t="shared" si="84"/>
        <v>61250</v>
      </c>
      <c r="D321" s="49">
        <f t="shared" si="86"/>
        <v>60000</v>
      </c>
      <c r="E321" s="21" t="s">
        <v>18</v>
      </c>
      <c r="G321" s="117"/>
      <c r="H321" s="117"/>
      <c r="I321" s="117"/>
    </row>
    <row r="322" spans="1:9" ht="16.5" customHeight="1" x14ac:dyDescent="0.3">
      <c r="A322" s="18" t="str">
        <f t="shared" si="82"/>
        <v>업적 - 장비아이템 합성 누적 횟수 100 회</v>
      </c>
      <c r="B322" s="17">
        <f t="shared" si="87"/>
        <v>100</v>
      </c>
      <c r="C322" s="17">
        <f t="shared" si="84"/>
        <v>63500</v>
      </c>
      <c r="D322" s="49">
        <f>D321+10000</f>
        <v>70000</v>
      </c>
      <c r="E322" s="21" t="s">
        <v>18</v>
      </c>
      <c r="G322" s="117"/>
      <c r="H322" s="117"/>
      <c r="I322" s="117"/>
    </row>
    <row r="323" spans="1:9" ht="16.5" customHeight="1" x14ac:dyDescent="0.3">
      <c r="A323" s="18" t="str">
        <f t="shared" si="82"/>
        <v>업적 - 장비아이템 합성 누적 횟수 150 회</v>
      </c>
      <c r="B323" s="17">
        <f>B322+50</f>
        <v>150</v>
      </c>
      <c r="C323" s="17">
        <f t="shared" si="84"/>
        <v>65750</v>
      </c>
      <c r="D323" s="63">
        <f t="shared" ref="D323:D325" si="88">D322+10000</f>
        <v>80000</v>
      </c>
      <c r="E323" s="21" t="s">
        <v>18</v>
      </c>
      <c r="G323" s="117"/>
      <c r="H323" s="117"/>
      <c r="I323" s="117"/>
    </row>
    <row r="324" spans="1:9" ht="16.5" customHeight="1" x14ac:dyDescent="0.3">
      <c r="A324" s="18" t="str">
        <f t="shared" si="82"/>
        <v>업적 - 장비아이템 합성 누적 횟수 200 회</v>
      </c>
      <c r="B324" s="17">
        <f t="shared" ref="B324:B330" si="89">B323+50</f>
        <v>200</v>
      </c>
      <c r="C324" s="17">
        <f t="shared" si="84"/>
        <v>68000</v>
      </c>
      <c r="D324" s="63">
        <f t="shared" si="88"/>
        <v>90000</v>
      </c>
      <c r="E324" s="21" t="s">
        <v>18</v>
      </c>
      <c r="G324" s="117"/>
      <c r="H324" s="117"/>
      <c r="I324" s="117"/>
    </row>
    <row r="325" spans="1:9" ht="16.5" customHeight="1" x14ac:dyDescent="0.3">
      <c r="A325" s="18" t="str">
        <f t="shared" si="82"/>
        <v>업적 - 장비아이템 합성 누적 횟수 250 회</v>
      </c>
      <c r="B325" s="17">
        <f t="shared" si="89"/>
        <v>250</v>
      </c>
      <c r="C325" s="17">
        <f t="shared" si="84"/>
        <v>70250</v>
      </c>
      <c r="D325" s="63">
        <f t="shared" si="88"/>
        <v>100000</v>
      </c>
      <c r="E325" s="21" t="s">
        <v>18</v>
      </c>
      <c r="G325" s="117"/>
      <c r="H325" s="117"/>
      <c r="I325" s="117"/>
    </row>
    <row r="326" spans="1:9" ht="16.5" customHeight="1" x14ac:dyDescent="0.3">
      <c r="A326" s="18" t="str">
        <f t="shared" si="82"/>
        <v>업적 - 장비아이템 합성 누적 횟수 300 회</v>
      </c>
      <c r="B326" s="17">
        <f t="shared" si="89"/>
        <v>300</v>
      </c>
      <c r="C326" s="17">
        <f t="shared" si="84"/>
        <v>72500</v>
      </c>
      <c r="D326" s="63">
        <f>D325+20000</f>
        <v>120000</v>
      </c>
      <c r="E326" s="21" t="s">
        <v>18</v>
      </c>
      <c r="G326" s="117"/>
      <c r="H326" s="117"/>
      <c r="I326" s="117"/>
    </row>
    <row r="327" spans="1:9" ht="16.5" customHeight="1" x14ac:dyDescent="0.3">
      <c r="A327" s="18" t="str">
        <f t="shared" si="82"/>
        <v>업적 - 장비아이템 합성 누적 횟수 350 회</v>
      </c>
      <c r="B327" s="17">
        <f t="shared" si="89"/>
        <v>350</v>
      </c>
      <c r="C327" s="17">
        <f t="shared" si="84"/>
        <v>74750</v>
      </c>
      <c r="D327" s="63">
        <f>D326+30000</f>
        <v>150000</v>
      </c>
      <c r="E327" s="21" t="s">
        <v>18</v>
      </c>
      <c r="G327" s="117"/>
      <c r="H327" s="117"/>
      <c r="I327" s="117"/>
    </row>
    <row r="328" spans="1:9" ht="16.5" customHeight="1" x14ac:dyDescent="0.3">
      <c r="A328" s="18" t="str">
        <f t="shared" si="82"/>
        <v>업적 - 장비아이템 합성 누적 횟수 400 회</v>
      </c>
      <c r="B328" s="17">
        <f t="shared" si="89"/>
        <v>400</v>
      </c>
      <c r="C328" s="17">
        <f t="shared" si="84"/>
        <v>77000</v>
      </c>
      <c r="D328" s="63">
        <f>D327+40000</f>
        <v>190000</v>
      </c>
      <c r="E328" s="21" t="s">
        <v>18</v>
      </c>
      <c r="G328" s="117"/>
      <c r="H328" s="117"/>
      <c r="I328" s="117"/>
    </row>
    <row r="329" spans="1:9" ht="16.5" customHeight="1" x14ac:dyDescent="0.3">
      <c r="A329" s="18" t="str">
        <f t="shared" si="82"/>
        <v>업적 - 장비아이템 합성 누적 횟수 450 회</v>
      </c>
      <c r="B329" s="17">
        <f t="shared" si="89"/>
        <v>450</v>
      </c>
      <c r="C329" s="17">
        <f t="shared" si="84"/>
        <v>79250</v>
      </c>
      <c r="D329" s="63">
        <f>D328+50000</f>
        <v>240000</v>
      </c>
      <c r="E329" s="21" t="s">
        <v>18</v>
      </c>
      <c r="G329" s="117"/>
      <c r="H329" s="117"/>
      <c r="I329" s="117"/>
    </row>
    <row r="330" spans="1:9" ht="16.5" customHeight="1" x14ac:dyDescent="0.3">
      <c r="A330" s="18" t="str">
        <f t="shared" si="82"/>
        <v>업적 - 장비아이템 합성 누적 횟수 500 회</v>
      </c>
      <c r="B330" s="17">
        <f t="shared" si="89"/>
        <v>500</v>
      </c>
      <c r="C330" s="17">
        <f t="shared" si="84"/>
        <v>81500</v>
      </c>
      <c r="D330" s="63">
        <f>D329+60000</f>
        <v>300000</v>
      </c>
      <c r="E330" s="21" t="s">
        <v>18</v>
      </c>
      <c r="G330" s="117"/>
      <c r="H330" s="117"/>
      <c r="I330" s="117"/>
    </row>
    <row r="331" spans="1:9" ht="16.5" customHeight="1" x14ac:dyDescent="0.3">
      <c r="A331" s="15" t="str">
        <f>"업적 - 장비아이템 승급 누적 횟수 " &amp; B331 &amp; " 회"</f>
        <v>업적 - 장비아이템 승급 누적 횟수 1 회</v>
      </c>
      <c r="B331" s="14">
        <v>1</v>
      </c>
      <c r="C331" s="14">
        <v>20000</v>
      </c>
      <c r="D331" s="46">
        <f>'Achievement Reward List'!F21</f>
        <v>5000</v>
      </c>
      <c r="E331" s="20" t="s">
        <v>18</v>
      </c>
      <c r="G331" s="118">
        <f>SUM(D331)</f>
        <v>5000</v>
      </c>
      <c r="H331" s="118">
        <f>SUM(D331:D333)</f>
        <v>30000</v>
      </c>
      <c r="I331" s="118">
        <f>SUM(D331:D335)</f>
        <v>80000</v>
      </c>
    </row>
    <row r="332" spans="1:9" ht="16.5" customHeight="1" x14ac:dyDescent="0.3">
      <c r="A332" s="15" t="str">
        <f t="shared" ref="A332:A347" si="90">"업적 - 장비아이템 승급 누적 횟수 " &amp; B332 &amp; " 회"</f>
        <v>업적 - 장비아이템 승급 누적 횟수 5 회</v>
      </c>
      <c r="B332" s="14">
        <v>5</v>
      </c>
      <c r="C332" s="14">
        <f>INT(C331+C$331*100%)</f>
        <v>40000</v>
      </c>
      <c r="D332" s="48">
        <f>D331+5000</f>
        <v>10000</v>
      </c>
      <c r="E332" s="20" t="s">
        <v>18</v>
      </c>
      <c r="G332" s="118"/>
      <c r="H332" s="118"/>
      <c r="I332" s="118"/>
    </row>
    <row r="333" spans="1:9" ht="16.5" customHeight="1" x14ac:dyDescent="0.3">
      <c r="A333" s="15" t="str">
        <f t="shared" si="90"/>
        <v>업적 - 장비아이템 승급 누적 횟수 10 회</v>
      </c>
      <c r="B333" s="14">
        <f>B332+5</f>
        <v>10</v>
      </c>
      <c r="C333" s="14">
        <f t="shared" ref="C333:C335" si="91">INT(C332+C$331*100%)</f>
        <v>60000</v>
      </c>
      <c r="D333" s="48">
        <f t="shared" ref="D333:D334" si="92">D332+5000</f>
        <v>15000</v>
      </c>
      <c r="E333" s="20" t="s">
        <v>18</v>
      </c>
      <c r="G333" s="118"/>
      <c r="H333" s="118"/>
      <c r="I333" s="118"/>
    </row>
    <row r="334" spans="1:9" ht="16.5" customHeight="1" x14ac:dyDescent="0.3">
      <c r="A334" s="15" t="str">
        <f t="shared" si="90"/>
        <v>업적 - 장비아이템 승급 누적 횟수 15 회</v>
      </c>
      <c r="B334" s="14">
        <f t="shared" ref="B334:B341" si="93">B333+5</f>
        <v>15</v>
      </c>
      <c r="C334" s="14">
        <f t="shared" si="91"/>
        <v>80000</v>
      </c>
      <c r="D334" s="49">
        <f t="shared" si="92"/>
        <v>20000</v>
      </c>
      <c r="E334" s="20" t="s">
        <v>18</v>
      </c>
      <c r="G334" s="118"/>
      <c r="H334" s="118"/>
      <c r="I334" s="118"/>
    </row>
    <row r="335" spans="1:9" ht="16.5" customHeight="1" x14ac:dyDescent="0.3">
      <c r="A335" s="15" t="str">
        <f t="shared" si="90"/>
        <v>업적 - 장비아이템 승급 누적 횟수 20 회</v>
      </c>
      <c r="B335" s="14">
        <f t="shared" si="93"/>
        <v>20</v>
      </c>
      <c r="C335" s="14">
        <f t="shared" si="91"/>
        <v>100000</v>
      </c>
      <c r="D335" s="49">
        <f>D334+10000</f>
        <v>30000</v>
      </c>
      <c r="E335" s="20" t="s">
        <v>18</v>
      </c>
      <c r="G335" s="118"/>
      <c r="H335" s="118"/>
      <c r="I335" s="118"/>
    </row>
    <row r="336" spans="1:9" ht="16.5" customHeight="1" x14ac:dyDescent="0.3">
      <c r="A336" s="15" t="str">
        <f t="shared" si="90"/>
        <v>업적 - 장비아이템 승급 누적 횟수 25 회</v>
      </c>
      <c r="B336" s="14">
        <f t="shared" si="93"/>
        <v>25</v>
      </c>
      <c r="C336" s="14">
        <f>INT(C335+C$335*50%)</f>
        <v>150000</v>
      </c>
      <c r="D336" s="63">
        <f t="shared" ref="D336:D337" si="94">D335+10000</f>
        <v>40000</v>
      </c>
      <c r="E336" s="20" t="s">
        <v>18</v>
      </c>
      <c r="G336" s="118"/>
      <c r="H336" s="118"/>
      <c r="I336" s="118"/>
    </row>
    <row r="337" spans="1:9" ht="16.5" customHeight="1" x14ac:dyDescent="0.3">
      <c r="A337" s="15" t="str">
        <f t="shared" si="90"/>
        <v>업적 - 장비아이템 승급 누적 횟수 30 회</v>
      </c>
      <c r="B337" s="14">
        <f t="shared" si="93"/>
        <v>30</v>
      </c>
      <c r="C337" s="14">
        <f t="shared" ref="C337:C347" si="95">INT(C336+C$335*50%)</f>
        <v>200000</v>
      </c>
      <c r="D337" s="63">
        <f t="shared" si="94"/>
        <v>50000</v>
      </c>
      <c r="E337" s="20" t="s">
        <v>18</v>
      </c>
      <c r="G337" s="118"/>
      <c r="H337" s="118"/>
      <c r="I337" s="118"/>
    </row>
    <row r="338" spans="1:9" ht="16.5" customHeight="1" x14ac:dyDescent="0.3">
      <c r="A338" s="15" t="str">
        <f t="shared" si="90"/>
        <v>업적 - 장비아이템 승급 누적 횟수 35 회</v>
      </c>
      <c r="B338" s="14">
        <f t="shared" si="93"/>
        <v>35</v>
      </c>
      <c r="C338" s="14">
        <f t="shared" si="95"/>
        <v>250000</v>
      </c>
      <c r="D338" s="63">
        <f>D337+25000</f>
        <v>75000</v>
      </c>
      <c r="E338" s="20" t="s">
        <v>18</v>
      </c>
      <c r="G338" s="118"/>
      <c r="H338" s="118"/>
      <c r="I338" s="118"/>
    </row>
    <row r="339" spans="1:9" ht="16.5" customHeight="1" x14ac:dyDescent="0.3">
      <c r="A339" s="15" t="str">
        <f t="shared" si="90"/>
        <v>업적 - 장비아이템 승급 누적 횟수 40 회</v>
      </c>
      <c r="B339" s="14">
        <f t="shared" si="93"/>
        <v>40</v>
      </c>
      <c r="C339" s="14">
        <f t="shared" si="95"/>
        <v>300000</v>
      </c>
      <c r="D339" s="63">
        <f t="shared" ref="D339:D343" si="96">D338+25000</f>
        <v>100000</v>
      </c>
      <c r="E339" s="20" t="s">
        <v>18</v>
      </c>
      <c r="G339" s="118"/>
      <c r="H339" s="118"/>
      <c r="I339" s="118"/>
    </row>
    <row r="340" spans="1:9" ht="16.5" customHeight="1" x14ac:dyDescent="0.3">
      <c r="A340" s="15" t="str">
        <f t="shared" si="90"/>
        <v>업적 - 장비아이템 승급 누적 횟수 45 회</v>
      </c>
      <c r="B340" s="14">
        <f t="shared" si="93"/>
        <v>45</v>
      </c>
      <c r="C340" s="14">
        <f t="shared" si="95"/>
        <v>350000</v>
      </c>
      <c r="D340" s="63">
        <f t="shared" si="96"/>
        <v>125000</v>
      </c>
      <c r="E340" s="20" t="s">
        <v>18</v>
      </c>
      <c r="G340" s="118"/>
      <c r="H340" s="118"/>
      <c r="I340" s="118"/>
    </row>
    <row r="341" spans="1:9" ht="16.5" customHeight="1" x14ac:dyDescent="0.3">
      <c r="A341" s="15" t="str">
        <f t="shared" si="90"/>
        <v>업적 - 장비아이템 승급 누적 횟수 50 회</v>
      </c>
      <c r="B341" s="14">
        <f t="shared" si="93"/>
        <v>50</v>
      </c>
      <c r="C341" s="14">
        <f t="shared" si="95"/>
        <v>400000</v>
      </c>
      <c r="D341" s="63">
        <f t="shared" si="96"/>
        <v>150000</v>
      </c>
      <c r="E341" s="20" t="s">
        <v>18</v>
      </c>
      <c r="G341" s="118"/>
      <c r="H341" s="118"/>
      <c r="I341" s="118"/>
    </row>
    <row r="342" spans="1:9" ht="16.5" customHeight="1" x14ac:dyDescent="0.3">
      <c r="A342" s="15" t="str">
        <f t="shared" si="90"/>
        <v>업적 - 장비아이템 승급 누적 횟수 60 회</v>
      </c>
      <c r="B342" s="14">
        <f>B341+10</f>
        <v>60</v>
      </c>
      <c r="C342" s="14">
        <f t="shared" si="95"/>
        <v>450000</v>
      </c>
      <c r="D342" s="63">
        <f t="shared" si="96"/>
        <v>175000</v>
      </c>
      <c r="E342" s="20" t="s">
        <v>18</v>
      </c>
      <c r="G342" s="118"/>
      <c r="H342" s="118"/>
      <c r="I342" s="118"/>
    </row>
    <row r="343" spans="1:9" ht="16.5" customHeight="1" x14ac:dyDescent="0.3">
      <c r="A343" s="15" t="str">
        <f t="shared" si="90"/>
        <v>업적 - 장비아이템 승급 누적 횟수 70 회</v>
      </c>
      <c r="B343" s="14">
        <f t="shared" ref="B343:B346" si="97">B342+10</f>
        <v>70</v>
      </c>
      <c r="C343" s="14">
        <f t="shared" si="95"/>
        <v>500000</v>
      </c>
      <c r="D343" s="63">
        <f t="shared" si="96"/>
        <v>200000</v>
      </c>
      <c r="E343" s="20" t="s">
        <v>18</v>
      </c>
      <c r="G343" s="118"/>
      <c r="H343" s="118"/>
      <c r="I343" s="118"/>
    </row>
    <row r="344" spans="1:9" ht="16.5" customHeight="1" x14ac:dyDescent="0.3">
      <c r="A344" s="15" t="str">
        <f t="shared" si="90"/>
        <v>업적 - 장비아이템 승급 누적 횟수 80 회</v>
      </c>
      <c r="B344" s="14">
        <f t="shared" si="97"/>
        <v>80</v>
      </c>
      <c r="C344" s="14">
        <f t="shared" si="95"/>
        <v>550000</v>
      </c>
      <c r="D344" s="63">
        <f>D343+40000</f>
        <v>240000</v>
      </c>
      <c r="E344" s="20" t="s">
        <v>18</v>
      </c>
      <c r="G344" s="118"/>
      <c r="H344" s="118"/>
      <c r="I344" s="118"/>
    </row>
    <row r="345" spans="1:9" ht="16.5" customHeight="1" x14ac:dyDescent="0.3">
      <c r="A345" s="15" t="str">
        <f t="shared" si="90"/>
        <v>업적 - 장비아이템 승급 누적 횟수 90 회</v>
      </c>
      <c r="B345" s="14">
        <f t="shared" si="97"/>
        <v>90</v>
      </c>
      <c r="C345" s="14">
        <f t="shared" si="95"/>
        <v>600000</v>
      </c>
      <c r="D345" s="63">
        <f t="shared" ref="D345:D347" si="98">D344+40000</f>
        <v>280000</v>
      </c>
      <c r="E345" s="20" t="s">
        <v>18</v>
      </c>
      <c r="G345" s="118"/>
      <c r="H345" s="118"/>
      <c r="I345" s="118"/>
    </row>
    <row r="346" spans="1:9" ht="16.5" customHeight="1" x14ac:dyDescent="0.3">
      <c r="A346" s="15" t="str">
        <f t="shared" si="90"/>
        <v>업적 - 장비아이템 승급 누적 횟수 100 회</v>
      </c>
      <c r="B346" s="14">
        <f t="shared" si="97"/>
        <v>100</v>
      </c>
      <c r="C346" s="14">
        <f t="shared" si="95"/>
        <v>650000</v>
      </c>
      <c r="D346" s="63">
        <f t="shared" si="98"/>
        <v>320000</v>
      </c>
      <c r="E346" s="20" t="s">
        <v>18</v>
      </c>
      <c r="G346" s="118"/>
      <c r="H346" s="118"/>
      <c r="I346" s="118"/>
    </row>
    <row r="347" spans="1:9" ht="16.5" customHeight="1" x14ac:dyDescent="0.3">
      <c r="A347" s="15" t="str">
        <f t="shared" si="90"/>
        <v>업적 - 장비아이템 승급 누적 횟수 150 회</v>
      </c>
      <c r="B347" s="14">
        <f>B346+50</f>
        <v>150</v>
      </c>
      <c r="C347" s="14">
        <f t="shared" si="95"/>
        <v>700000</v>
      </c>
      <c r="D347" s="63">
        <f t="shared" si="98"/>
        <v>360000</v>
      </c>
      <c r="E347" s="20" t="s">
        <v>18</v>
      </c>
      <c r="G347" s="118"/>
      <c r="H347" s="118"/>
      <c r="I347" s="118"/>
    </row>
    <row r="348" spans="1:9" ht="16.5" customHeight="1" x14ac:dyDescent="0.3">
      <c r="A348" s="18" t="str">
        <f t="shared" ref="A348:A371" si="99">"업적 - 장비아이템 5성 누적 획득 " &amp; B348 &amp; " 회"</f>
        <v>업적 - 장비아이템 5성 누적 획득 1 회</v>
      </c>
      <c r="B348" s="17">
        <v>1</v>
      </c>
      <c r="C348" s="17">
        <v>2000</v>
      </c>
      <c r="D348" s="37">
        <f>'Achievement Reward List'!F22</f>
        <v>5000</v>
      </c>
      <c r="E348" s="17" t="s">
        <v>18</v>
      </c>
      <c r="G348" s="117">
        <f>SUM(D348:D350)</f>
        <v>25000</v>
      </c>
      <c r="H348" s="117">
        <f>SUM(D348:D353)</f>
        <v>85000</v>
      </c>
      <c r="I348" s="117">
        <f>SUM(D348:D357)</f>
        <v>265000</v>
      </c>
    </row>
    <row r="349" spans="1:9" ht="16.5" customHeight="1" x14ac:dyDescent="0.3">
      <c r="A349" s="18" t="str">
        <f t="shared" si="99"/>
        <v>업적 - 장비아이템 5성 누적 획득 10 회</v>
      </c>
      <c r="B349" s="17">
        <v>10</v>
      </c>
      <c r="C349" s="17">
        <f>INT(C348+C$348*100%)</f>
        <v>4000</v>
      </c>
      <c r="D349" s="45">
        <f>D266</f>
        <v>10000</v>
      </c>
      <c r="E349" s="17" t="s">
        <v>18</v>
      </c>
      <c r="G349" s="117"/>
      <c r="H349" s="117"/>
      <c r="I349" s="117"/>
    </row>
    <row r="350" spans="1:9" ht="16.5" customHeight="1" x14ac:dyDescent="0.3">
      <c r="A350" s="18" t="str">
        <f t="shared" si="99"/>
        <v>업적 - 장비아이템 5성 누적 획득 20 회</v>
      </c>
      <c r="B350" s="17">
        <v>20</v>
      </c>
      <c r="C350" s="17">
        <f t="shared" ref="C350:C352" si="100">INT(C349+C$348*100%)</f>
        <v>6000</v>
      </c>
      <c r="D350" s="45">
        <f t="shared" ref="D350:D361" si="101">D267</f>
        <v>10000</v>
      </c>
      <c r="E350" s="17" t="s">
        <v>18</v>
      </c>
      <c r="G350" s="117"/>
      <c r="H350" s="117"/>
      <c r="I350" s="117"/>
    </row>
    <row r="351" spans="1:9" ht="16.5" customHeight="1" x14ac:dyDescent="0.3">
      <c r="A351" s="18" t="str">
        <f t="shared" si="99"/>
        <v>업적 - 장비아이템 5성 누적 획득 30 회</v>
      </c>
      <c r="B351" s="17">
        <v>30</v>
      </c>
      <c r="C351" s="17">
        <f t="shared" si="100"/>
        <v>8000</v>
      </c>
      <c r="D351" s="48">
        <f t="shared" si="101"/>
        <v>15000</v>
      </c>
      <c r="E351" s="17" t="s">
        <v>18</v>
      </c>
      <c r="G351" s="117"/>
      <c r="H351" s="117"/>
      <c r="I351" s="117"/>
    </row>
    <row r="352" spans="1:9" ht="16.5" customHeight="1" x14ac:dyDescent="0.3">
      <c r="A352" s="18" t="str">
        <f t="shared" si="99"/>
        <v>업적 - 장비아이템 5성 누적 획득 50 회</v>
      </c>
      <c r="B352" s="17">
        <v>50</v>
      </c>
      <c r="C352" s="17">
        <f t="shared" si="100"/>
        <v>10000</v>
      </c>
      <c r="D352" s="48">
        <f t="shared" si="101"/>
        <v>20000</v>
      </c>
      <c r="E352" s="17" t="s">
        <v>18</v>
      </c>
      <c r="G352" s="117"/>
      <c r="H352" s="117"/>
      <c r="I352" s="117"/>
    </row>
    <row r="353" spans="1:9" ht="16.5" customHeight="1" x14ac:dyDescent="0.3">
      <c r="A353" s="18" t="str">
        <f t="shared" si="99"/>
        <v>업적 - 장비아이템 5성 누적 획득 100 회</v>
      </c>
      <c r="B353" s="17">
        <v>100</v>
      </c>
      <c r="C353" s="17">
        <f>INT(C352+C$352*50%)</f>
        <v>15000</v>
      </c>
      <c r="D353" s="48">
        <f t="shared" si="101"/>
        <v>25000</v>
      </c>
      <c r="E353" s="17" t="s">
        <v>18</v>
      </c>
      <c r="G353" s="117"/>
      <c r="H353" s="117"/>
      <c r="I353" s="117"/>
    </row>
    <row r="354" spans="1:9" ht="16.5" customHeight="1" x14ac:dyDescent="0.3">
      <c r="A354" s="18" t="str">
        <f t="shared" si="99"/>
        <v>업적 - 장비아이템 5성 누적 획득 150 회</v>
      </c>
      <c r="B354" s="17">
        <f>B353+50</f>
        <v>150</v>
      </c>
      <c r="C354" s="17">
        <f t="shared" ref="C354:C360" si="102">INT(C353+C$352*50%)</f>
        <v>20000</v>
      </c>
      <c r="D354" s="49">
        <f t="shared" si="101"/>
        <v>30000</v>
      </c>
      <c r="E354" s="17" t="s">
        <v>18</v>
      </c>
      <c r="G354" s="117"/>
      <c r="H354" s="117"/>
      <c r="I354" s="117"/>
    </row>
    <row r="355" spans="1:9" ht="16.5" customHeight="1" x14ac:dyDescent="0.3">
      <c r="A355" s="18" t="str">
        <f t="shared" si="99"/>
        <v>업적 - 장비아이템 5성 누적 획득 200 회</v>
      </c>
      <c r="B355" s="17">
        <f t="shared" ref="B355:B371" si="103">B354+50</f>
        <v>200</v>
      </c>
      <c r="C355" s="17">
        <f t="shared" si="102"/>
        <v>25000</v>
      </c>
      <c r="D355" s="49">
        <f t="shared" si="101"/>
        <v>40000</v>
      </c>
      <c r="E355" s="17" t="s">
        <v>18</v>
      </c>
      <c r="G355" s="117"/>
      <c r="H355" s="117"/>
      <c r="I355" s="117"/>
    </row>
    <row r="356" spans="1:9" ht="16.5" customHeight="1" x14ac:dyDescent="0.3">
      <c r="A356" s="18" t="str">
        <f t="shared" si="99"/>
        <v>업적 - 장비아이템 5성 누적 획득 250 회</v>
      </c>
      <c r="B356" s="17">
        <f t="shared" si="103"/>
        <v>250</v>
      </c>
      <c r="C356" s="17">
        <f t="shared" si="102"/>
        <v>30000</v>
      </c>
      <c r="D356" s="49">
        <f t="shared" si="101"/>
        <v>50000</v>
      </c>
      <c r="E356" s="17" t="s">
        <v>18</v>
      </c>
      <c r="G356" s="117"/>
      <c r="H356" s="117"/>
      <c r="I356" s="117"/>
    </row>
    <row r="357" spans="1:9" ht="16.5" customHeight="1" x14ac:dyDescent="0.3">
      <c r="A357" s="18" t="str">
        <f t="shared" si="99"/>
        <v>업적 - 장비아이템 5성 누적 획득 300 회</v>
      </c>
      <c r="B357" s="17">
        <f t="shared" si="103"/>
        <v>300</v>
      </c>
      <c r="C357" s="17">
        <f t="shared" si="102"/>
        <v>35000</v>
      </c>
      <c r="D357" s="49">
        <f t="shared" si="101"/>
        <v>60000</v>
      </c>
      <c r="E357" s="17" t="s">
        <v>18</v>
      </c>
      <c r="G357" s="117"/>
      <c r="H357" s="117"/>
      <c r="I357" s="117"/>
    </row>
    <row r="358" spans="1:9" ht="16.5" customHeight="1" x14ac:dyDescent="0.3">
      <c r="A358" s="18" t="str">
        <f t="shared" si="99"/>
        <v>업적 - 장비아이템 5성 누적 획득 350 회</v>
      </c>
      <c r="B358" s="17">
        <f t="shared" si="103"/>
        <v>350</v>
      </c>
      <c r="C358" s="17">
        <f t="shared" si="102"/>
        <v>40000</v>
      </c>
      <c r="D358" s="63">
        <f t="shared" si="101"/>
        <v>80000</v>
      </c>
      <c r="E358" s="17" t="s">
        <v>18</v>
      </c>
      <c r="G358" s="117"/>
      <c r="H358" s="117"/>
      <c r="I358" s="117"/>
    </row>
    <row r="359" spans="1:9" ht="16.5" customHeight="1" x14ac:dyDescent="0.3">
      <c r="A359" s="18" t="str">
        <f t="shared" si="99"/>
        <v>업적 - 장비아이템 5성 누적 획득 400 회</v>
      </c>
      <c r="B359" s="17">
        <f t="shared" si="103"/>
        <v>400</v>
      </c>
      <c r="C359" s="17">
        <f t="shared" si="102"/>
        <v>45000</v>
      </c>
      <c r="D359" s="63">
        <f t="shared" si="101"/>
        <v>100000</v>
      </c>
      <c r="E359" s="17" t="s">
        <v>18</v>
      </c>
      <c r="G359" s="117"/>
      <c r="H359" s="117"/>
      <c r="I359" s="117"/>
    </row>
    <row r="360" spans="1:9" ht="16.5" customHeight="1" x14ac:dyDescent="0.3">
      <c r="A360" s="18" t="str">
        <f t="shared" si="99"/>
        <v>업적 - 장비아이템 5성 누적 획득 450 회</v>
      </c>
      <c r="B360" s="17">
        <f t="shared" si="103"/>
        <v>450</v>
      </c>
      <c r="C360" s="17">
        <f t="shared" si="102"/>
        <v>50000</v>
      </c>
      <c r="D360" s="63">
        <f t="shared" si="101"/>
        <v>120000</v>
      </c>
      <c r="E360" s="17" t="s">
        <v>18</v>
      </c>
      <c r="G360" s="117"/>
      <c r="H360" s="117"/>
      <c r="I360" s="117"/>
    </row>
    <row r="361" spans="1:9" ht="16.5" customHeight="1" x14ac:dyDescent="0.3">
      <c r="A361" s="18" t="str">
        <f t="shared" si="99"/>
        <v>업적 - 장비아이템 5성 누적 획득 500 회</v>
      </c>
      <c r="B361" s="17">
        <f t="shared" si="103"/>
        <v>500</v>
      </c>
      <c r="C361" s="17">
        <f>INT(C360+C$352*100%)</f>
        <v>60000</v>
      </c>
      <c r="D361" s="63">
        <f t="shared" si="101"/>
        <v>150000</v>
      </c>
      <c r="E361" s="17" t="s">
        <v>18</v>
      </c>
      <c r="G361" s="117"/>
      <c r="H361" s="117"/>
      <c r="I361" s="117"/>
    </row>
    <row r="362" spans="1:9" ht="16.5" customHeight="1" x14ac:dyDescent="0.3">
      <c r="A362" s="18" t="str">
        <f t="shared" si="99"/>
        <v>업적 - 장비아이템 5성 누적 획득 550 회</v>
      </c>
      <c r="B362" s="17">
        <f t="shared" si="103"/>
        <v>550</v>
      </c>
      <c r="C362" s="17">
        <f t="shared" ref="C362:C365" si="104">INT(C361+C$352*100%)</f>
        <v>70000</v>
      </c>
      <c r="D362" s="63">
        <f>D361+30000</f>
        <v>180000</v>
      </c>
      <c r="E362" s="17" t="s">
        <v>18</v>
      </c>
      <c r="G362" s="117"/>
      <c r="H362" s="117"/>
      <c r="I362" s="117"/>
    </row>
    <row r="363" spans="1:9" ht="16.5" customHeight="1" x14ac:dyDescent="0.3">
      <c r="A363" s="18" t="str">
        <f t="shared" si="99"/>
        <v>업적 - 장비아이템 5성 누적 획득 600 회</v>
      </c>
      <c r="B363" s="17">
        <f t="shared" si="103"/>
        <v>600</v>
      </c>
      <c r="C363" s="17">
        <f t="shared" si="104"/>
        <v>80000</v>
      </c>
      <c r="D363" s="63">
        <f t="shared" ref="D363:D366" si="105">D362+30000</f>
        <v>210000</v>
      </c>
      <c r="E363" s="17" t="s">
        <v>18</v>
      </c>
      <c r="G363" s="117"/>
      <c r="H363" s="117"/>
      <c r="I363" s="117"/>
    </row>
    <row r="364" spans="1:9" ht="16.5" customHeight="1" x14ac:dyDescent="0.3">
      <c r="A364" s="18" t="str">
        <f t="shared" si="99"/>
        <v>업적 - 장비아이템 5성 누적 획득 650 회</v>
      </c>
      <c r="B364" s="17">
        <f t="shared" si="103"/>
        <v>650</v>
      </c>
      <c r="C364" s="17">
        <f t="shared" si="104"/>
        <v>90000</v>
      </c>
      <c r="D364" s="63">
        <f t="shared" si="105"/>
        <v>240000</v>
      </c>
      <c r="E364" s="17" t="s">
        <v>18</v>
      </c>
      <c r="G364" s="117"/>
      <c r="H364" s="117"/>
      <c r="I364" s="117"/>
    </row>
    <row r="365" spans="1:9" ht="16.5" customHeight="1" x14ac:dyDescent="0.3">
      <c r="A365" s="18" t="str">
        <f t="shared" si="99"/>
        <v>업적 - 장비아이템 5성 누적 획득 700 회</v>
      </c>
      <c r="B365" s="17">
        <f t="shared" si="103"/>
        <v>700</v>
      </c>
      <c r="C365" s="17">
        <f t="shared" si="104"/>
        <v>100000</v>
      </c>
      <c r="D365" s="63">
        <f t="shared" si="105"/>
        <v>270000</v>
      </c>
      <c r="E365" s="17" t="s">
        <v>18</v>
      </c>
      <c r="G365" s="117"/>
      <c r="H365" s="117"/>
      <c r="I365" s="117"/>
    </row>
    <row r="366" spans="1:9" ht="16.5" customHeight="1" x14ac:dyDescent="0.3">
      <c r="A366" s="18" t="str">
        <f t="shared" si="99"/>
        <v>업적 - 장비아이템 5성 누적 획득 750 회</v>
      </c>
      <c r="B366" s="17">
        <f t="shared" si="103"/>
        <v>750</v>
      </c>
      <c r="C366" s="17">
        <f>INT(C365+C$365*25%)</f>
        <v>125000</v>
      </c>
      <c r="D366" s="63">
        <f t="shared" si="105"/>
        <v>300000</v>
      </c>
      <c r="E366" s="17" t="s">
        <v>18</v>
      </c>
      <c r="G366" s="117"/>
      <c r="H366" s="117"/>
      <c r="I366" s="117"/>
    </row>
    <row r="367" spans="1:9" ht="16.5" customHeight="1" x14ac:dyDescent="0.3">
      <c r="A367" s="18" t="str">
        <f t="shared" si="99"/>
        <v>업적 - 장비아이템 5성 누적 획득 800 회</v>
      </c>
      <c r="B367" s="17">
        <f t="shared" si="103"/>
        <v>800</v>
      </c>
      <c r="C367" s="17">
        <f>INT(C366+C$365*25%)</f>
        <v>150000</v>
      </c>
      <c r="D367" s="63">
        <f>D366+40000</f>
        <v>340000</v>
      </c>
      <c r="E367" s="17" t="s">
        <v>18</v>
      </c>
      <c r="G367" s="117"/>
      <c r="H367" s="117"/>
      <c r="I367" s="117"/>
    </row>
    <row r="368" spans="1:9" ht="16.5" customHeight="1" x14ac:dyDescent="0.3">
      <c r="A368" s="18" t="str">
        <f t="shared" si="99"/>
        <v>업적 - 장비아이템 5성 누적 획득 850 회</v>
      </c>
      <c r="B368" s="17">
        <f t="shared" si="103"/>
        <v>850</v>
      </c>
      <c r="C368" s="17">
        <f t="shared" ref="C368:C371" si="106">INT(C367+C$365*25%)</f>
        <v>175000</v>
      </c>
      <c r="D368" s="63">
        <f t="shared" ref="D368:D371" si="107">D367+40000</f>
        <v>380000</v>
      </c>
      <c r="E368" s="17" t="s">
        <v>18</v>
      </c>
      <c r="G368" s="117"/>
      <c r="H368" s="117"/>
      <c r="I368" s="117"/>
    </row>
    <row r="369" spans="1:9" ht="16.5" customHeight="1" x14ac:dyDescent="0.3">
      <c r="A369" s="18" t="str">
        <f t="shared" si="99"/>
        <v>업적 - 장비아이템 5성 누적 획득 900 회</v>
      </c>
      <c r="B369" s="17">
        <f t="shared" si="103"/>
        <v>900</v>
      </c>
      <c r="C369" s="17">
        <f t="shared" si="106"/>
        <v>200000</v>
      </c>
      <c r="D369" s="63">
        <f t="shared" si="107"/>
        <v>420000</v>
      </c>
      <c r="E369" s="17" t="s">
        <v>18</v>
      </c>
      <c r="G369" s="117"/>
      <c r="H369" s="117"/>
      <c r="I369" s="117"/>
    </row>
    <row r="370" spans="1:9" ht="16.5" customHeight="1" x14ac:dyDescent="0.3">
      <c r="A370" s="18" t="str">
        <f t="shared" si="99"/>
        <v>업적 - 장비아이템 5성 누적 획득 950 회</v>
      </c>
      <c r="B370" s="17">
        <f t="shared" si="103"/>
        <v>950</v>
      </c>
      <c r="C370" s="17">
        <f t="shared" si="106"/>
        <v>225000</v>
      </c>
      <c r="D370" s="63">
        <f t="shared" si="107"/>
        <v>460000</v>
      </c>
      <c r="E370" s="17" t="s">
        <v>18</v>
      </c>
      <c r="G370" s="117"/>
      <c r="H370" s="117"/>
      <c r="I370" s="117"/>
    </row>
    <row r="371" spans="1:9" ht="16.5" customHeight="1" x14ac:dyDescent="0.3">
      <c r="A371" s="18" t="str">
        <f t="shared" si="99"/>
        <v>업적 - 장비아이템 5성 누적 획득 1000 회</v>
      </c>
      <c r="B371" s="17">
        <f t="shared" si="103"/>
        <v>1000</v>
      </c>
      <c r="C371" s="17">
        <f t="shared" si="106"/>
        <v>250000</v>
      </c>
      <c r="D371" s="63">
        <f t="shared" si="107"/>
        <v>500000</v>
      </c>
      <c r="E371" s="17" t="s">
        <v>18</v>
      </c>
      <c r="G371" s="117"/>
      <c r="H371" s="117"/>
      <c r="I371" s="117"/>
    </row>
    <row r="372" spans="1:9" ht="16.5" customHeight="1" x14ac:dyDescent="0.3">
      <c r="A372" s="15" t="str">
        <f t="shared" ref="A372:A395" si="108">"업적 - 장비아이템 6성 누적 획득 " &amp; B372 &amp; " 회"</f>
        <v>업적 - 장비아이템 6성 누적 획득 1 회</v>
      </c>
      <c r="B372" s="14">
        <v>1</v>
      </c>
      <c r="C372" s="14">
        <v>5000</v>
      </c>
      <c r="D372" s="35">
        <f>'Achievement Reward List'!F23</f>
        <v>10000</v>
      </c>
      <c r="E372" s="20" t="s">
        <v>18</v>
      </c>
      <c r="G372" s="118">
        <f>SUM(D372:D373)</f>
        <v>30000</v>
      </c>
      <c r="H372" s="118">
        <f>SUM(D372:D376)</f>
        <v>150000</v>
      </c>
      <c r="I372" s="118">
        <f>SUM(D372:D379)</f>
        <v>450000</v>
      </c>
    </row>
    <row r="373" spans="1:9" ht="16.5" customHeight="1" x14ac:dyDescent="0.3">
      <c r="A373" s="15" t="str">
        <f t="shared" si="108"/>
        <v>업적 - 장비아이템 6성 누적 획득 10 회</v>
      </c>
      <c r="B373" s="14">
        <v>10</v>
      </c>
      <c r="C373" s="14">
        <f>INT(C372+C$372*100%)</f>
        <v>10000</v>
      </c>
      <c r="D373" s="35">
        <f>D280</f>
        <v>20000</v>
      </c>
      <c r="E373" s="20" t="s">
        <v>18</v>
      </c>
      <c r="G373" s="118"/>
      <c r="H373" s="118"/>
      <c r="I373" s="118"/>
    </row>
    <row r="374" spans="1:9" ht="16.5" customHeight="1" x14ac:dyDescent="0.3">
      <c r="A374" s="15" t="str">
        <f t="shared" si="108"/>
        <v>업적 - 장비아이템 6성 누적 획득 20 회</v>
      </c>
      <c r="B374" s="14">
        <v>20</v>
      </c>
      <c r="C374" s="14">
        <f t="shared" ref="C374:C377" si="109">INT(C373+C$372*100%)</f>
        <v>15000</v>
      </c>
      <c r="D374" s="48">
        <f t="shared" ref="D374:D385" si="110">D281</f>
        <v>40000</v>
      </c>
      <c r="E374" s="20" t="s">
        <v>18</v>
      </c>
      <c r="G374" s="118"/>
      <c r="H374" s="118"/>
      <c r="I374" s="118"/>
    </row>
    <row r="375" spans="1:9" ht="16.5" customHeight="1" x14ac:dyDescent="0.3">
      <c r="A375" s="15" t="str">
        <f t="shared" si="108"/>
        <v>업적 - 장비아이템 6성 누적 획득 30 회</v>
      </c>
      <c r="B375" s="14">
        <v>30</v>
      </c>
      <c r="C375" s="14">
        <f t="shared" si="109"/>
        <v>20000</v>
      </c>
      <c r="D375" s="48">
        <f t="shared" si="110"/>
        <v>30000</v>
      </c>
      <c r="E375" s="20" t="s">
        <v>18</v>
      </c>
      <c r="G375" s="118"/>
      <c r="H375" s="118"/>
      <c r="I375" s="118"/>
    </row>
    <row r="376" spans="1:9" ht="16.5" customHeight="1" x14ac:dyDescent="0.3">
      <c r="A376" s="15" t="str">
        <f t="shared" si="108"/>
        <v>업적 - 장비아이템 6성 누적 획득 50 회</v>
      </c>
      <c r="B376" s="14">
        <v>50</v>
      </c>
      <c r="C376" s="14">
        <f t="shared" si="109"/>
        <v>25000</v>
      </c>
      <c r="D376" s="48">
        <f t="shared" si="110"/>
        <v>50000</v>
      </c>
      <c r="E376" s="20" t="s">
        <v>18</v>
      </c>
      <c r="G376" s="118"/>
      <c r="H376" s="118"/>
      <c r="I376" s="118"/>
    </row>
    <row r="377" spans="1:9" ht="16.5" customHeight="1" x14ac:dyDescent="0.3">
      <c r="A377" s="15" t="str">
        <f t="shared" si="108"/>
        <v>업적 - 장비아이템 6성 누적 획득 100 회</v>
      </c>
      <c r="B377" s="14">
        <v>100</v>
      </c>
      <c r="C377" s="14">
        <f t="shared" si="109"/>
        <v>30000</v>
      </c>
      <c r="D377" s="49">
        <f t="shared" si="110"/>
        <v>75000</v>
      </c>
      <c r="E377" s="20" t="s">
        <v>18</v>
      </c>
      <c r="G377" s="118"/>
      <c r="H377" s="118"/>
      <c r="I377" s="118"/>
    </row>
    <row r="378" spans="1:9" ht="16.5" customHeight="1" x14ac:dyDescent="0.3">
      <c r="A378" s="15" t="str">
        <f t="shared" si="108"/>
        <v>업적 - 장비아이템 6성 누적 획득 150 회</v>
      </c>
      <c r="B378" s="14">
        <f>B377+50</f>
        <v>150</v>
      </c>
      <c r="C378" s="14">
        <f>INT(C377+C$372*200%)</f>
        <v>40000</v>
      </c>
      <c r="D378" s="49">
        <f t="shared" si="110"/>
        <v>100000</v>
      </c>
      <c r="E378" s="20" t="s">
        <v>18</v>
      </c>
      <c r="G378" s="118"/>
      <c r="H378" s="118"/>
      <c r="I378" s="118"/>
    </row>
    <row r="379" spans="1:9" ht="16.5" customHeight="1" x14ac:dyDescent="0.3">
      <c r="A379" s="15" t="str">
        <f t="shared" si="108"/>
        <v>업적 - 장비아이템 6성 누적 획득 200 회</v>
      </c>
      <c r="B379" s="14">
        <f t="shared" ref="B379:B395" si="111">B378+50</f>
        <v>200</v>
      </c>
      <c r="C379" s="14">
        <f>INT(C378+C$372*200%)</f>
        <v>50000</v>
      </c>
      <c r="D379" s="49">
        <f t="shared" si="110"/>
        <v>125000</v>
      </c>
      <c r="E379" s="20" t="s">
        <v>18</v>
      </c>
      <c r="G379" s="118"/>
      <c r="H379" s="118"/>
      <c r="I379" s="118"/>
    </row>
    <row r="380" spans="1:9" ht="16.5" customHeight="1" x14ac:dyDescent="0.3">
      <c r="A380" s="15" t="str">
        <f t="shared" si="108"/>
        <v>업적 - 장비아이템 6성 누적 획득 250 회</v>
      </c>
      <c r="B380" s="14">
        <f t="shared" si="111"/>
        <v>250</v>
      </c>
      <c r="C380" s="14">
        <f t="shared" ref="C380:C384" si="112">INT(C379+C$372*200%)</f>
        <v>60000</v>
      </c>
      <c r="D380" s="63">
        <f t="shared" si="110"/>
        <v>150000</v>
      </c>
      <c r="E380" s="20" t="s">
        <v>18</v>
      </c>
      <c r="G380" s="118"/>
      <c r="H380" s="118"/>
      <c r="I380" s="118"/>
    </row>
    <row r="381" spans="1:9" ht="16.5" customHeight="1" x14ac:dyDescent="0.3">
      <c r="A381" s="15" t="str">
        <f t="shared" si="108"/>
        <v>업적 - 장비아이템 6성 누적 획득 300 회</v>
      </c>
      <c r="B381" s="14">
        <f t="shared" si="111"/>
        <v>300</v>
      </c>
      <c r="C381" s="14">
        <f t="shared" si="112"/>
        <v>70000</v>
      </c>
      <c r="D381" s="63">
        <f t="shared" si="110"/>
        <v>180000</v>
      </c>
      <c r="E381" s="20" t="s">
        <v>18</v>
      </c>
      <c r="G381" s="118"/>
      <c r="H381" s="118"/>
      <c r="I381" s="118"/>
    </row>
    <row r="382" spans="1:9" ht="16.5" customHeight="1" x14ac:dyDescent="0.3">
      <c r="A382" s="15" t="str">
        <f t="shared" si="108"/>
        <v>업적 - 장비아이템 6성 누적 획득 350 회</v>
      </c>
      <c r="B382" s="14">
        <f t="shared" si="111"/>
        <v>350</v>
      </c>
      <c r="C382" s="14">
        <f t="shared" si="112"/>
        <v>80000</v>
      </c>
      <c r="D382" s="63">
        <f t="shared" si="110"/>
        <v>210000</v>
      </c>
      <c r="E382" s="20" t="s">
        <v>18</v>
      </c>
      <c r="G382" s="118"/>
      <c r="H382" s="118"/>
      <c r="I382" s="118"/>
    </row>
    <row r="383" spans="1:9" ht="16.5" customHeight="1" x14ac:dyDescent="0.3">
      <c r="A383" s="15" t="str">
        <f t="shared" si="108"/>
        <v>업적 - 장비아이템 6성 누적 획득 400 회</v>
      </c>
      <c r="B383" s="14">
        <f t="shared" si="111"/>
        <v>400</v>
      </c>
      <c r="C383" s="14">
        <f t="shared" si="112"/>
        <v>90000</v>
      </c>
      <c r="D383" s="63">
        <f t="shared" si="110"/>
        <v>240000</v>
      </c>
      <c r="E383" s="20" t="s">
        <v>18</v>
      </c>
      <c r="G383" s="118"/>
      <c r="H383" s="118"/>
      <c r="I383" s="118"/>
    </row>
    <row r="384" spans="1:9" ht="16.5" customHeight="1" x14ac:dyDescent="0.3">
      <c r="A384" s="15" t="str">
        <f t="shared" si="108"/>
        <v>업적 - 장비아이템 6성 누적 획득 450 회</v>
      </c>
      <c r="B384" s="14">
        <f t="shared" si="111"/>
        <v>450</v>
      </c>
      <c r="C384" s="14">
        <f t="shared" si="112"/>
        <v>100000</v>
      </c>
      <c r="D384" s="63">
        <f t="shared" si="110"/>
        <v>270000</v>
      </c>
      <c r="E384" s="20" t="s">
        <v>18</v>
      </c>
      <c r="G384" s="118"/>
      <c r="H384" s="118"/>
      <c r="I384" s="118"/>
    </row>
    <row r="385" spans="1:9" ht="16.5" customHeight="1" x14ac:dyDescent="0.3">
      <c r="A385" s="15" t="str">
        <f t="shared" si="108"/>
        <v>업적 - 장비아이템 6성 누적 획득 500 회</v>
      </c>
      <c r="B385" s="14">
        <f t="shared" si="111"/>
        <v>500</v>
      </c>
      <c r="C385" s="14">
        <f>INT(C384+C$384*25%)</f>
        <v>125000</v>
      </c>
      <c r="D385" s="63">
        <f t="shared" si="110"/>
        <v>300000</v>
      </c>
      <c r="E385" s="20" t="s">
        <v>18</v>
      </c>
      <c r="G385" s="118"/>
      <c r="H385" s="118"/>
      <c r="I385" s="118"/>
    </row>
    <row r="386" spans="1:9" ht="16.5" customHeight="1" x14ac:dyDescent="0.3">
      <c r="A386" s="15" t="str">
        <f t="shared" si="108"/>
        <v>업적 - 장비아이템 6성 누적 획득 550 회</v>
      </c>
      <c r="B386" s="14">
        <f t="shared" si="111"/>
        <v>550</v>
      </c>
      <c r="C386" s="14">
        <f>INT(C385+C$384*25%)</f>
        <v>150000</v>
      </c>
      <c r="D386" s="63">
        <f>D385+40000</f>
        <v>340000</v>
      </c>
      <c r="E386" s="20" t="s">
        <v>18</v>
      </c>
      <c r="G386" s="118"/>
      <c r="H386" s="118"/>
      <c r="I386" s="118"/>
    </row>
    <row r="387" spans="1:9" ht="16.5" customHeight="1" x14ac:dyDescent="0.3">
      <c r="A387" s="15" t="str">
        <f t="shared" si="108"/>
        <v>업적 - 장비아이템 6성 누적 획득 600 회</v>
      </c>
      <c r="B387" s="14">
        <f t="shared" si="111"/>
        <v>600</v>
      </c>
      <c r="C387" s="14">
        <f t="shared" ref="C387:C392" si="113">INT(C386+C$384*25%)</f>
        <v>175000</v>
      </c>
      <c r="D387" s="63">
        <f t="shared" ref="D387:D390" si="114">D386+40000</f>
        <v>380000</v>
      </c>
      <c r="E387" s="20" t="s">
        <v>18</v>
      </c>
      <c r="G387" s="118"/>
      <c r="H387" s="118"/>
      <c r="I387" s="118"/>
    </row>
    <row r="388" spans="1:9" ht="16.5" customHeight="1" x14ac:dyDescent="0.3">
      <c r="A388" s="15" t="str">
        <f t="shared" si="108"/>
        <v>업적 - 장비아이템 6성 누적 획득 650 회</v>
      </c>
      <c r="B388" s="14">
        <f t="shared" si="111"/>
        <v>650</v>
      </c>
      <c r="C388" s="14">
        <f t="shared" si="113"/>
        <v>200000</v>
      </c>
      <c r="D388" s="63">
        <f t="shared" si="114"/>
        <v>420000</v>
      </c>
      <c r="E388" s="20" t="s">
        <v>18</v>
      </c>
      <c r="G388" s="118"/>
      <c r="H388" s="118"/>
      <c r="I388" s="118"/>
    </row>
    <row r="389" spans="1:9" ht="16.5" customHeight="1" x14ac:dyDescent="0.3">
      <c r="A389" s="15" t="str">
        <f t="shared" si="108"/>
        <v>업적 - 장비아이템 6성 누적 획득 700 회</v>
      </c>
      <c r="B389" s="14">
        <f t="shared" si="111"/>
        <v>700</v>
      </c>
      <c r="C389" s="14">
        <f t="shared" si="113"/>
        <v>225000</v>
      </c>
      <c r="D389" s="63">
        <f t="shared" si="114"/>
        <v>460000</v>
      </c>
      <c r="E389" s="20" t="s">
        <v>18</v>
      </c>
      <c r="G389" s="118"/>
      <c r="H389" s="118"/>
      <c r="I389" s="118"/>
    </row>
    <row r="390" spans="1:9" ht="16.5" customHeight="1" x14ac:dyDescent="0.3">
      <c r="A390" s="15" t="str">
        <f t="shared" si="108"/>
        <v>업적 - 장비아이템 6성 누적 획득 750 회</v>
      </c>
      <c r="B390" s="14">
        <f t="shared" si="111"/>
        <v>750</v>
      </c>
      <c r="C390" s="14">
        <f t="shared" si="113"/>
        <v>250000</v>
      </c>
      <c r="D390" s="63">
        <f t="shared" si="114"/>
        <v>500000</v>
      </c>
      <c r="E390" s="20" t="s">
        <v>18</v>
      </c>
      <c r="G390" s="118"/>
      <c r="H390" s="118"/>
      <c r="I390" s="118"/>
    </row>
    <row r="391" spans="1:9" ht="16.5" customHeight="1" x14ac:dyDescent="0.3">
      <c r="A391" s="15" t="str">
        <f t="shared" si="108"/>
        <v>업적 - 장비아이템 6성 누적 획득 800 회</v>
      </c>
      <c r="B391" s="14">
        <f t="shared" si="111"/>
        <v>800</v>
      </c>
      <c r="C391" s="14">
        <f t="shared" si="113"/>
        <v>275000</v>
      </c>
      <c r="D391" s="63">
        <f>D390+50000</f>
        <v>550000</v>
      </c>
      <c r="E391" s="20" t="s">
        <v>18</v>
      </c>
      <c r="G391" s="118"/>
      <c r="H391" s="118"/>
      <c r="I391" s="118"/>
    </row>
    <row r="392" spans="1:9" ht="16.5" customHeight="1" x14ac:dyDescent="0.3">
      <c r="A392" s="15" t="str">
        <f t="shared" si="108"/>
        <v>업적 - 장비아이템 6성 누적 획득 850 회</v>
      </c>
      <c r="B392" s="14">
        <f t="shared" si="111"/>
        <v>850</v>
      </c>
      <c r="C392" s="14">
        <f t="shared" si="113"/>
        <v>300000</v>
      </c>
      <c r="D392" s="63">
        <f t="shared" ref="D392:D395" si="115">D391+50000</f>
        <v>600000</v>
      </c>
      <c r="E392" s="20" t="s">
        <v>18</v>
      </c>
      <c r="G392" s="118"/>
      <c r="H392" s="118"/>
      <c r="I392" s="118"/>
    </row>
    <row r="393" spans="1:9" ht="16.5" customHeight="1" x14ac:dyDescent="0.3">
      <c r="A393" s="15" t="str">
        <f t="shared" si="108"/>
        <v>업적 - 장비아이템 6성 누적 획득 900 회</v>
      </c>
      <c r="B393" s="14">
        <f t="shared" si="111"/>
        <v>900</v>
      </c>
      <c r="C393" s="14">
        <f>INT(C392+C$384*50%)</f>
        <v>350000</v>
      </c>
      <c r="D393" s="63">
        <f t="shared" si="115"/>
        <v>650000</v>
      </c>
      <c r="E393" s="20" t="s">
        <v>18</v>
      </c>
      <c r="G393" s="118"/>
      <c r="H393" s="118"/>
      <c r="I393" s="118"/>
    </row>
    <row r="394" spans="1:9" ht="16.5" customHeight="1" x14ac:dyDescent="0.3">
      <c r="A394" s="15" t="str">
        <f t="shared" si="108"/>
        <v>업적 - 장비아이템 6성 누적 획득 950 회</v>
      </c>
      <c r="B394" s="14">
        <f t="shared" si="111"/>
        <v>950</v>
      </c>
      <c r="C394" s="14">
        <f t="shared" ref="C394:C395" si="116">INT(C393+C$384*50%)</f>
        <v>400000</v>
      </c>
      <c r="D394" s="63">
        <f t="shared" si="115"/>
        <v>700000</v>
      </c>
      <c r="E394" s="20" t="s">
        <v>18</v>
      </c>
      <c r="G394" s="118"/>
      <c r="H394" s="118"/>
      <c r="I394" s="118"/>
    </row>
    <row r="395" spans="1:9" ht="16.5" customHeight="1" x14ac:dyDescent="0.3">
      <c r="A395" s="15" t="str">
        <f t="shared" si="108"/>
        <v>업적 - 장비아이템 6성 누적 획득 1000 회</v>
      </c>
      <c r="B395" s="14">
        <f t="shared" si="111"/>
        <v>1000</v>
      </c>
      <c r="C395" s="14">
        <f t="shared" si="116"/>
        <v>450000</v>
      </c>
      <c r="D395" s="63">
        <f t="shared" si="115"/>
        <v>750000</v>
      </c>
      <c r="E395" s="20" t="s">
        <v>18</v>
      </c>
      <c r="G395" s="118"/>
      <c r="H395" s="118"/>
      <c r="I395" s="118"/>
    </row>
    <row r="396" spans="1:9" ht="16.5" customHeight="1" x14ac:dyDescent="0.3">
      <c r="A396" s="18" t="str">
        <f t="shared" ref="A396:A409" si="117">"업적 - 장비아이템 7성 누적 획득 " &amp; B396 &amp; " 회"</f>
        <v>업적 - 장비아이템 7성 누적 획득 1 회</v>
      </c>
      <c r="B396" s="17">
        <v>1</v>
      </c>
      <c r="C396" s="17">
        <v>10000</v>
      </c>
      <c r="D396" s="37">
        <f>'Achievement Reward List'!F24</f>
        <v>20000</v>
      </c>
      <c r="E396" s="21" t="s">
        <v>18</v>
      </c>
      <c r="G396" s="117">
        <f>SUM(D396)</f>
        <v>20000</v>
      </c>
      <c r="H396" s="117">
        <f>SUM(D396:D397)</f>
        <v>60000</v>
      </c>
      <c r="I396" s="117">
        <f>SUM(D396:D400)</f>
        <v>290000</v>
      </c>
    </row>
    <row r="397" spans="1:9" ht="16.5" customHeight="1" x14ac:dyDescent="0.3">
      <c r="A397" s="18" t="str">
        <f t="shared" si="117"/>
        <v>업적 - 장비아이템 7성 누적 획득 10 회</v>
      </c>
      <c r="B397" s="17">
        <v>10</v>
      </c>
      <c r="C397" s="21">
        <f>INT(C396+C$396*100%)</f>
        <v>20000</v>
      </c>
      <c r="D397" s="48">
        <f>D294</f>
        <v>40000</v>
      </c>
      <c r="E397" s="21" t="s">
        <v>18</v>
      </c>
      <c r="G397" s="117"/>
      <c r="H397" s="117"/>
      <c r="I397" s="117"/>
    </row>
    <row r="398" spans="1:9" ht="16.5" customHeight="1" x14ac:dyDescent="0.3">
      <c r="A398" s="18" t="str">
        <f t="shared" si="117"/>
        <v>업적 - 장비아이템 7성 누적 획득 20 회</v>
      </c>
      <c r="B398" s="17">
        <v>20</v>
      </c>
      <c r="C398" s="21">
        <f t="shared" ref="C398" si="118">INT(C397+C$396*100%)</f>
        <v>30000</v>
      </c>
      <c r="D398" s="49">
        <f t="shared" ref="D398:D409" si="119">D295</f>
        <v>80000</v>
      </c>
      <c r="E398" s="21" t="s">
        <v>18</v>
      </c>
      <c r="G398" s="117"/>
      <c r="H398" s="117"/>
      <c r="I398" s="117"/>
    </row>
    <row r="399" spans="1:9" ht="16.5" customHeight="1" x14ac:dyDescent="0.3">
      <c r="A399" s="18" t="str">
        <f t="shared" si="117"/>
        <v>업적 - 장비아이템 7성 누적 획득 30 회</v>
      </c>
      <c r="B399" s="17">
        <v>30</v>
      </c>
      <c r="C399" s="17">
        <f>INT(C398+C$396*200%)</f>
        <v>50000</v>
      </c>
      <c r="D399" s="49">
        <f t="shared" si="119"/>
        <v>60000</v>
      </c>
      <c r="E399" s="21" t="s">
        <v>18</v>
      </c>
      <c r="G399" s="117"/>
      <c r="H399" s="117"/>
      <c r="I399" s="117"/>
    </row>
    <row r="400" spans="1:9" ht="16.5" customHeight="1" x14ac:dyDescent="0.3">
      <c r="A400" s="18" t="str">
        <f t="shared" si="117"/>
        <v>업적 - 장비아이템 7성 누적 획득 50 회</v>
      </c>
      <c r="B400" s="17">
        <v>50</v>
      </c>
      <c r="C400" s="17">
        <f>INT(C399+C$399*50%)</f>
        <v>75000</v>
      </c>
      <c r="D400" s="49">
        <f t="shared" si="119"/>
        <v>90000</v>
      </c>
      <c r="E400" s="21" t="s">
        <v>18</v>
      </c>
      <c r="G400" s="117"/>
      <c r="H400" s="117"/>
      <c r="I400" s="117"/>
    </row>
    <row r="401" spans="1:9" ht="16.5" customHeight="1" x14ac:dyDescent="0.3">
      <c r="A401" s="18" t="str">
        <f t="shared" si="117"/>
        <v>업적 - 장비아이템 7성 누적 획득 100 회</v>
      </c>
      <c r="B401" s="17">
        <v>100</v>
      </c>
      <c r="C401" s="17">
        <f>INT(C400+C$399*50%)</f>
        <v>100000</v>
      </c>
      <c r="D401" s="63">
        <f t="shared" si="119"/>
        <v>120000</v>
      </c>
      <c r="E401" s="21" t="s">
        <v>18</v>
      </c>
      <c r="G401" s="117"/>
      <c r="H401" s="117"/>
      <c r="I401" s="117"/>
    </row>
    <row r="402" spans="1:9" ht="16.5" customHeight="1" x14ac:dyDescent="0.3">
      <c r="A402" s="18" t="str">
        <f t="shared" si="117"/>
        <v>업적 - 장비아이템 7성 누적 획득 150 회</v>
      </c>
      <c r="B402" s="17">
        <f>B401+50</f>
        <v>150</v>
      </c>
      <c r="C402" s="17">
        <f t="shared" ref="C402:C403" si="120">INT(C401+C$399*50%)</f>
        <v>125000</v>
      </c>
      <c r="D402" s="63">
        <f t="shared" si="119"/>
        <v>150000</v>
      </c>
      <c r="E402" s="21" t="s">
        <v>18</v>
      </c>
      <c r="G402" s="117"/>
      <c r="H402" s="117"/>
      <c r="I402" s="117"/>
    </row>
    <row r="403" spans="1:9" ht="16.5" customHeight="1" x14ac:dyDescent="0.3">
      <c r="A403" s="18" t="str">
        <f t="shared" si="117"/>
        <v>업적 - 장비아이템 7성 누적 획득 200 회</v>
      </c>
      <c r="B403" s="17">
        <f t="shared" ref="B403:B409" si="121">B402+50</f>
        <v>200</v>
      </c>
      <c r="C403" s="17">
        <f t="shared" si="120"/>
        <v>150000</v>
      </c>
      <c r="D403" s="63">
        <f t="shared" si="119"/>
        <v>180000</v>
      </c>
      <c r="E403" s="21" t="s">
        <v>18</v>
      </c>
      <c r="G403" s="117"/>
      <c r="H403" s="117"/>
      <c r="I403" s="117"/>
    </row>
    <row r="404" spans="1:9" ht="16.5" customHeight="1" x14ac:dyDescent="0.3">
      <c r="A404" s="18" t="str">
        <f t="shared" si="117"/>
        <v>업적 - 장비아이템 7성 누적 획득 250 회</v>
      </c>
      <c r="B404" s="17">
        <f t="shared" si="121"/>
        <v>250</v>
      </c>
      <c r="C404" s="17">
        <f>INT(C403+C$399*100%)</f>
        <v>200000</v>
      </c>
      <c r="D404" s="63">
        <f t="shared" si="119"/>
        <v>220000</v>
      </c>
      <c r="E404" s="21" t="s">
        <v>18</v>
      </c>
      <c r="G404" s="117"/>
      <c r="H404" s="117"/>
      <c r="I404" s="117"/>
    </row>
    <row r="405" spans="1:9" ht="16.5" customHeight="1" x14ac:dyDescent="0.3">
      <c r="A405" s="18" t="str">
        <f t="shared" si="117"/>
        <v>업적 - 장비아이템 7성 누적 획득 300 회</v>
      </c>
      <c r="B405" s="17">
        <f t="shared" si="121"/>
        <v>300</v>
      </c>
      <c r="C405" s="17">
        <f>INT(C404+C$399*100%)</f>
        <v>250000</v>
      </c>
      <c r="D405" s="63">
        <f t="shared" si="119"/>
        <v>260000</v>
      </c>
      <c r="E405" s="21" t="s">
        <v>18</v>
      </c>
      <c r="G405" s="117"/>
      <c r="H405" s="117"/>
      <c r="I405" s="117"/>
    </row>
    <row r="406" spans="1:9" ht="16.5" customHeight="1" x14ac:dyDescent="0.3">
      <c r="A406" s="18" t="str">
        <f t="shared" si="117"/>
        <v>업적 - 장비아이템 7성 누적 획득 350 회</v>
      </c>
      <c r="B406" s="17">
        <f t="shared" si="121"/>
        <v>350</v>
      </c>
      <c r="C406" s="17">
        <f t="shared" ref="C406:C408" si="122">INT(C405+C$399*100%)</f>
        <v>300000</v>
      </c>
      <c r="D406" s="63">
        <f t="shared" si="119"/>
        <v>300000</v>
      </c>
      <c r="E406" s="21" t="s">
        <v>18</v>
      </c>
      <c r="G406" s="117"/>
      <c r="H406" s="117"/>
      <c r="I406" s="117"/>
    </row>
    <row r="407" spans="1:9" ht="16.5" customHeight="1" x14ac:dyDescent="0.3">
      <c r="A407" s="18" t="str">
        <f t="shared" si="117"/>
        <v>업적 - 장비아이템 7성 누적 획득 400 회</v>
      </c>
      <c r="B407" s="17">
        <f t="shared" si="121"/>
        <v>400</v>
      </c>
      <c r="C407" s="17">
        <f t="shared" si="122"/>
        <v>350000</v>
      </c>
      <c r="D407" s="63">
        <f t="shared" si="119"/>
        <v>350000</v>
      </c>
      <c r="E407" s="21" t="s">
        <v>18</v>
      </c>
      <c r="G407" s="117"/>
      <c r="H407" s="117"/>
      <c r="I407" s="117"/>
    </row>
    <row r="408" spans="1:9" ht="16.5" customHeight="1" x14ac:dyDescent="0.3">
      <c r="A408" s="18" t="str">
        <f t="shared" si="117"/>
        <v>업적 - 장비아이템 7성 누적 획득 450 회</v>
      </c>
      <c r="B408" s="17">
        <f t="shared" si="121"/>
        <v>450</v>
      </c>
      <c r="C408" s="17">
        <f t="shared" si="122"/>
        <v>400000</v>
      </c>
      <c r="D408" s="63">
        <f t="shared" si="119"/>
        <v>400000</v>
      </c>
      <c r="E408" s="21" t="s">
        <v>18</v>
      </c>
      <c r="G408" s="117"/>
      <c r="H408" s="117"/>
      <c r="I408" s="117"/>
    </row>
    <row r="409" spans="1:9" ht="16.5" customHeight="1" x14ac:dyDescent="0.3">
      <c r="A409" s="18" t="str">
        <f t="shared" si="117"/>
        <v>업적 - 장비아이템 7성 누적 획득 500 회</v>
      </c>
      <c r="B409" s="17">
        <f t="shared" si="121"/>
        <v>500</v>
      </c>
      <c r="C409" s="17">
        <f>INT(C408+C$399*200%)</f>
        <v>500000</v>
      </c>
      <c r="D409" s="63">
        <f t="shared" si="119"/>
        <v>450000</v>
      </c>
      <c r="E409" s="21" t="s">
        <v>18</v>
      </c>
      <c r="G409" s="117"/>
      <c r="H409" s="117"/>
      <c r="I409" s="117"/>
    </row>
    <row r="410" spans="1:9" ht="16.5" customHeight="1" x14ac:dyDescent="0.3">
      <c r="A410" s="40" t="s">
        <v>108</v>
      </c>
      <c r="B410" s="14">
        <v>1</v>
      </c>
      <c r="C410" s="14">
        <v>10000</v>
      </c>
      <c r="D410" s="46">
        <f>'Achievement Reward List'!F25</f>
        <v>2000</v>
      </c>
      <c r="E410" s="14" t="s">
        <v>18</v>
      </c>
      <c r="G410" s="118">
        <f>SUM(D410:D416)</f>
        <v>68000</v>
      </c>
      <c r="H410" s="118">
        <f>SUM(D410:D430)</f>
        <v>942000</v>
      </c>
      <c r="I410" s="118">
        <f>SUM(D410:D438)</f>
        <v>2182000</v>
      </c>
    </row>
    <row r="411" spans="1:9" ht="16.5" customHeight="1" x14ac:dyDescent="0.3">
      <c r="A411" s="40" t="s">
        <v>109</v>
      </c>
      <c r="B411" s="14">
        <v>5</v>
      </c>
      <c r="C411" s="14">
        <f>INT(C410+C$410*100%)</f>
        <v>20000</v>
      </c>
      <c r="D411" s="46">
        <f>D410+D$410</f>
        <v>4000</v>
      </c>
      <c r="E411" s="14" t="s">
        <v>18</v>
      </c>
      <c r="G411" s="118"/>
      <c r="H411" s="118"/>
      <c r="I411" s="118"/>
    </row>
    <row r="412" spans="1:9" ht="16.5" customHeight="1" x14ac:dyDescent="0.3">
      <c r="A412" s="40" t="s">
        <v>110</v>
      </c>
      <c r="B412" s="14">
        <v>10</v>
      </c>
      <c r="C412" s="14">
        <f t="shared" ref="C412:C419" si="123">INT(C411+C$410*100%)</f>
        <v>30000</v>
      </c>
      <c r="D412" s="46">
        <f>D411+D$410</f>
        <v>6000</v>
      </c>
      <c r="E412" s="14" t="s">
        <v>18</v>
      </c>
      <c r="G412" s="118"/>
      <c r="H412" s="118"/>
      <c r="I412" s="118"/>
    </row>
    <row r="413" spans="1:9" ht="16.5" customHeight="1" x14ac:dyDescent="0.3">
      <c r="A413" s="40" t="s">
        <v>111</v>
      </c>
      <c r="B413" s="14">
        <f>B412+B$412*50%</f>
        <v>15</v>
      </c>
      <c r="C413" s="14">
        <f t="shared" si="123"/>
        <v>40000</v>
      </c>
      <c r="D413" s="46">
        <f>D412+D$410</f>
        <v>8000</v>
      </c>
      <c r="E413" s="14" t="s">
        <v>18</v>
      </c>
      <c r="G413" s="118"/>
      <c r="H413" s="118"/>
      <c r="I413" s="118"/>
    </row>
    <row r="414" spans="1:9" ht="16.5" customHeight="1" x14ac:dyDescent="0.3">
      <c r="A414" s="40" t="s">
        <v>112</v>
      </c>
      <c r="B414" s="14">
        <f t="shared" ref="B414:B430" si="124">B413+B$412*50%</f>
        <v>20</v>
      </c>
      <c r="C414" s="14">
        <f t="shared" si="123"/>
        <v>50000</v>
      </c>
      <c r="D414" s="46">
        <f t="shared" ref="D414:D419" si="125">D413+D$410*2</f>
        <v>12000</v>
      </c>
      <c r="E414" s="14" t="s">
        <v>18</v>
      </c>
      <c r="G414" s="118"/>
      <c r="H414" s="118"/>
      <c r="I414" s="118"/>
    </row>
    <row r="415" spans="1:9" ht="16.5" customHeight="1" x14ac:dyDescent="0.3">
      <c r="A415" s="40" t="s">
        <v>113</v>
      </c>
      <c r="B415" s="14">
        <f t="shared" si="124"/>
        <v>25</v>
      </c>
      <c r="C415" s="14">
        <f t="shared" si="123"/>
        <v>60000</v>
      </c>
      <c r="D415" s="46">
        <f t="shared" si="125"/>
        <v>16000</v>
      </c>
      <c r="E415" s="14" t="s">
        <v>18</v>
      </c>
      <c r="G415" s="118"/>
      <c r="H415" s="118"/>
      <c r="I415" s="118"/>
    </row>
    <row r="416" spans="1:9" ht="16.5" customHeight="1" x14ac:dyDescent="0.3">
      <c r="A416" s="40" t="s">
        <v>114</v>
      </c>
      <c r="B416" s="14">
        <f t="shared" si="124"/>
        <v>30</v>
      </c>
      <c r="C416" s="14">
        <f t="shared" si="123"/>
        <v>70000</v>
      </c>
      <c r="D416" s="46">
        <f t="shared" si="125"/>
        <v>20000</v>
      </c>
      <c r="E416" s="14" t="s">
        <v>18</v>
      </c>
      <c r="G416" s="118"/>
      <c r="H416" s="118"/>
      <c r="I416" s="118"/>
    </row>
    <row r="417" spans="1:9" ht="16.5" customHeight="1" x14ac:dyDescent="0.3">
      <c r="A417" s="40" t="s">
        <v>115</v>
      </c>
      <c r="B417" s="14">
        <f t="shared" si="124"/>
        <v>35</v>
      </c>
      <c r="C417" s="14">
        <f t="shared" si="123"/>
        <v>80000</v>
      </c>
      <c r="D417" s="48">
        <f t="shared" si="125"/>
        <v>24000</v>
      </c>
      <c r="E417" s="14" t="s">
        <v>18</v>
      </c>
      <c r="G417" s="118"/>
      <c r="H417" s="118"/>
      <c r="I417" s="118"/>
    </row>
    <row r="418" spans="1:9" ht="16.5" customHeight="1" x14ac:dyDescent="0.3">
      <c r="A418" s="40" t="s">
        <v>116</v>
      </c>
      <c r="B418" s="14">
        <f t="shared" si="124"/>
        <v>40</v>
      </c>
      <c r="C418" s="14">
        <f t="shared" si="123"/>
        <v>90000</v>
      </c>
      <c r="D418" s="48">
        <f t="shared" si="125"/>
        <v>28000</v>
      </c>
      <c r="E418" s="14" t="s">
        <v>18</v>
      </c>
      <c r="G418" s="118"/>
      <c r="H418" s="118"/>
      <c r="I418" s="118"/>
    </row>
    <row r="419" spans="1:9" ht="16.5" customHeight="1" x14ac:dyDescent="0.3">
      <c r="A419" s="40" t="s">
        <v>117</v>
      </c>
      <c r="B419" s="14">
        <f t="shared" si="124"/>
        <v>45</v>
      </c>
      <c r="C419" s="14">
        <f t="shared" si="123"/>
        <v>100000</v>
      </c>
      <c r="D419" s="48">
        <f t="shared" si="125"/>
        <v>32000</v>
      </c>
      <c r="E419" s="14" t="s">
        <v>18</v>
      </c>
      <c r="G419" s="118"/>
      <c r="H419" s="118"/>
      <c r="I419" s="118"/>
    </row>
    <row r="420" spans="1:9" ht="16.5" customHeight="1" x14ac:dyDescent="0.3">
      <c r="A420" s="40" t="s">
        <v>118</v>
      </c>
      <c r="B420" s="14">
        <f t="shared" si="124"/>
        <v>50</v>
      </c>
      <c r="C420" s="14">
        <f>INT(C419+C$410*100%)</f>
        <v>110000</v>
      </c>
      <c r="D420" s="48">
        <f>D419+D$410*3</f>
        <v>38000</v>
      </c>
      <c r="E420" s="14" t="s">
        <v>18</v>
      </c>
      <c r="G420" s="118"/>
      <c r="H420" s="118"/>
      <c r="I420" s="118"/>
    </row>
    <row r="421" spans="1:9" ht="16.5" customHeight="1" x14ac:dyDescent="0.3">
      <c r="A421" s="40" t="s">
        <v>119</v>
      </c>
      <c r="B421" s="14">
        <f t="shared" si="124"/>
        <v>55</v>
      </c>
      <c r="C421" s="14">
        <f t="shared" ref="C421:C448" si="126">INT(C420+C$410*100%)</f>
        <v>120000</v>
      </c>
      <c r="D421" s="48">
        <f>D420+D$410*3</f>
        <v>44000</v>
      </c>
      <c r="E421" s="14" t="s">
        <v>18</v>
      </c>
      <c r="G421" s="118"/>
      <c r="H421" s="118"/>
      <c r="I421" s="118"/>
    </row>
    <row r="422" spans="1:9" ht="16.5" customHeight="1" x14ac:dyDescent="0.3">
      <c r="A422" s="40" t="s">
        <v>120</v>
      </c>
      <c r="B422" s="14">
        <f t="shared" si="124"/>
        <v>60</v>
      </c>
      <c r="C422" s="14">
        <f t="shared" si="126"/>
        <v>130000</v>
      </c>
      <c r="D422" s="48">
        <f>D421+D$410*3</f>
        <v>50000</v>
      </c>
      <c r="E422" s="14" t="s">
        <v>18</v>
      </c>
      <c r="G422" s="118"/>
      <c r="H422" s="118"/>
      <c r="I422" s="118"/>
    </row>
    <row r="423" spans="1:9" ht="16.5" customHeight="1" x14ac:dyDescent="0.3">
      <c r="A423" s="40" t="s">
        <v>121</v>
      </c>
      <c r="B423" s="14">
        <f t="shared" si="124"/>
        <v>65</v>
      </c>
      <c r="C423" s="14">
        <f t="shared" si="126"/>
        <v>140000</v>
      </c>
      <c r="D423" s="48">
        <f>D422+D$410*3</f>
        <v>56000</v>
      </c>
      <c r="E423" s="14" t="s">
        <v>18</v>
      </c>
      <c r="G423" s="118"/>
      <c r="H423" s="118"/>
      <c r="I423" s="118"/>
    </row>
    <row r="424" spans="1:9" ht="16.5" customHeight="1" x14ac:dyDescent="0.3">
      <c r="A424" s="40" t="s">
        <v>122</v>
      </c>
      <c r="B424" s="14">
        <f t="shared" si="124"/>
        <v>70</v>
      </c>
      <c r="C424" s="14">
        <f t="shared" si="126"/>
        <v>150000</v>
      </c>
      <c r="D424" s="48">
        <f>D423+D$410*3</f>
        <v>62000</v>
      </c>
      <c r="E424" s="14" t="s">
        <v>18</v>
      </c>
      <c r="G424" s="118"/>
      <c r="H424" s="118"/>
      <c r="I424" s="118"/>
    </row>
    <row r="425" spans="1:9" ht="16.5" customHeight="1" x14ac:dyDescent="0.3">
      <c r="A425" s="40" t="s">
        <v>123</v>
      </c>
      <c r="B425" s="14">
        <f t="shared" si="124"/>
        <v>75</v>
      </c>
      <c r="C425" s="14">
        <f t="shared" si="126"/>
        <v>160000</v>
      </c>
      <c r="D425" s="48">
        <f t="shared" ref="D425:D430" si="127">D424+D$410*4</f>
        <v>70000</v>
      </c>
      <c r="E425" s="14" t="s">
        <v>18</v>
      </c>
      <c r="G425" s="118"/>
      <c r="H425" s="118"/>
      <c r="I425" s="118"/>
    </row>
    <row r="426" spans="1:9" ht="16.5" customHeight="1" x14ac:dyDescent="0.3">
      <c r="A426" s="40" t="s">
        <v>124</v>
      </c>
      <c r="B426" s="14">
        <f t="shared" si="124"/>
        <v>80</v>
      </c>
      <c r="C426" s="14">
        <f t="shared" si="126"/>
        <v>170000</v>
      </c>
      <c r="D426" s="48">
        <f t="shared" si="127"/>
        <v>78000</v>
      </c>
      <c r="E426" s="14" t="s">
        <v>18</v>
      </c>
      <c r="G426" s="118"/>
      <c r="H426" s="118"/>
      <c r="I426" s="118"/>
    </row>
    <row r="427" spans="1:9" ht="16.5" customHeight="1" x14ac:dyDescent="0.3">
      <c r="A427" s="40" t="s">
        <v>125</v>
      </c>
      <c r="B427" s="14">
        <f t="shared" si="124"/>
        <v>85</v>
      </c>
      <c r="C427" s="14">
        <f t="shared" si="126"/>
        <v>180000</v>
      </c>
      <c r="D427" s="48">
        <f t="shared" si="127"/>
        <v>86000</v>
      </c>
      <c r="E427" s="14" t="s">
        <v>18</v>
      </c>
      <c r="G427" s="118"/>
      <c r="H427" s="118"/>
      <c r="I427" s="118"/>
    </row>
    <row r="428" spans="1:9" ht="16.5" customHeight="1" x14ac:dyDescent="0.3">
      <c r="A428" s="40" t="s">
        <v>126</v>
      </c>
      <c r="B428" s="14">
        <f t="shared" si="124"/>
        <v>90</v>
      </c>
      <c r="C428" s="14">
        <f t="shared" si="126"/>
        <v>190000</v>
      </c>
      <c r="D428" s="48">
        <f t="shared" si="127"/>
        <v>94000</v>
      </c>
      <c r="E428" s="14" t="s">
        <v>18</v>
      </c>
      <c r="G428" s="118"/>
      <c r="H428" s="118"/>
      <c r="I428" s="118"/>
    </row>
    <row r="429" spans="1:9" ht="16.5" customHeight="1" x14ac:dyDescent="0.3">
      <c r="A429" s="40" t="s">
        <v>127</v>
      </c>
      <c r="B429" s="14">
        <f t="shared" si="124"/>
        <v>95</v>
      </c>
      <c r="C429" s="14">
        <f t="shared" si="126"/>
        <v>200000</v>
      </c>
      <c r="D429" s="48">
        <f t="shared" si="127"/>
        <v>102000</v>
      </c>
      <c r="E429" s="14" t="s">
        <v>18</v>
      </c>
      <c r="G429" s="118"/>
      <c r="H429" s="118"/>
      <c r="I429" s="118"/>
    </row>
    <row r="430" spans="1:9" ht="16.5" customHeight="1" x14ac:dyDescent="0.3">
      <c r="A430" s="40" t="s">
        <v>128</v>
      </c>
      <c r="B430" s="14">
        <f t="shared" si="124"/>
        <v>100</v>
      </c>
      <c r="C430" s="14">
        <f t="shared" si="126"/>
        <v>210000</v>
      </c>
      <c r="D430" s="48">
        <f t="shared" si="127"/>
        <v>110000</v>
      </c>
      <c r="E430" s="14" t="s">
        <v>18</v>
      </c>
      <c r="G430" s="118"/>
      <c r="H430" s="118"/>
      <c r="I430" s="118"/>
    </row>
    <row r="431" spans="1:9" ht="16.5" customHeight="1" x14ac:dyDescent="0.3">
      <c r="A431" s="40" t="s">
        <v>129</v>
      </c>
      <c r="B431" s="14">
        <f>B430+B$430*50%</f>
        <v>150</v>
      </c>
      <c r="C431" s="14">
        <f t="shared" si="126"/>
        <v>220000</v>
      </c>
      <c r="D431" s="49">
        <f t="shared" ref="D431:D448" si="128">D430+D$410*5</f>
        <v>120000</v>
      </c>
      <c r="E431" s="14" t="s">
        <v>18</v>
      </c>
      <c r="G431" s="118"/>
      <c r="H431" s="118"/>
      <c r="I431" s="118"/>
    </row>
    <row r="432" spans="1:9" ht="16.5" customHeight="1" x14ac:dyDescent="0.3">
      <c r="A432" s="40" t="s">
        <v>130</v>
      </c>
      <c r="B432" s="14">
        <f t="shared" ref="B432:B448" si="129">B431+B$430*50%</f>
        <v>200</v>
      </c>
      <c r="C432" s="14">
        <f t="shared" si="126"/>
        <v>230000</v>
      </c>
      <c r="D432" s="49">
        <f t="shared" si="128"/>
        <v>130000</v>
      </c>
      <c r="E432" s="14" t="s">
        <v>18</v>
      </c>
      <c r="G432" s="118"/>
      <c r="H432" s="118"/>
      <c r="I432" s="118"/>
    </row>
    <row r="433" spans="1:9" ht="16.5" customHeight="1" x14ac:dyDescent="0.3">
      <c r="A433" s="40" t="s">
        <v>131</v>
      </c>
      <c r="B433" s="14">
        <f t="shared" si="129"/>
        <v>250</v>
      </c>
      <c r="C433" s="14">
        <f t="shared" si="126"/>
        <v>240000</v>
      </c>
      <c r="D433" s="49">
        <f t="shared" si="128"/>
        <v>140000</v>
      </c>
      <c r="E433" s="14" t="s">
        <v>18</v>
      </c>
      <c r="G433" s="118"/>
      <c r="H433" s="118"/>
      <c r="I433" s="118"/>
    </row>
    <row r="434" spans="1:9" ht="16.5" customHeight="1" x14ac:dyDescent="0.3">
      <c r="A434" s="40" t="s">
        <v>132</v>
      </c>
      <c r="B434" s="14">
        <f t="shared" si="129"/>
        <v>300</v>
      </c>
      <c r="C434" s="14">
        <f t="shared" si="126"/>
        <v>250000</v>
      </c>
      <c r="D434" s="49">
        <f t="shared" si="128"/>
        <v>150000</v>
      </c>
      <c r="E434" s="14" t="s">
        <v>18</v>
      </c>
      <c r="G434" s="118"/>
      <c r="H434" s="118"/>
      <c r="I434" s="118"/>
    </row>
    <row r="435" spans="1:9" ht="16.5" customHeight="1" x14ac:dyDescent="0.3">
      <c r="A435" s="40" t="s">
        <v>133</v>
      </c>
      <c r="B435" s="14">
        <f t="shared" si="129"/>
        <v>350</v>
      </c>
      <c r="C435" s="14">
        <f t="shared" si="126"/>
        <v>260000</v>
      </c>
      <c r="D435" s="49">
        <f t="shared" si="128"/>
        <v>160000</v>
      </c>
      <c r="E435" s="14" t="s">
        <v>18</v>
      </c>
      <c r="G435" s="118"/>
      <c r="H435" s="118"/>
      <c r="I435" s="118"/>
    </row>
    <row r="436" spans="1:9" ht="16.5" customHeight="1" x14ac:dyDescent="0.3">
      <c r="A436" s="40" t="s">
        <v>134</v>
      </c>
      <c r="B436" s="14">
        <f t="shared" si="129"/>
        <v>400</v>
      </c>
      <c r="C436" s="14">
        <f t="shared" si="126"/>
        <v>270000</v>
      </c>
      <c r="D436" s="49">
        <f t="shared" si="128"/>
        <v>170000</v>
      </c>
      <c r="E436" s="14" t="s">
        <v>18</v>
      </c>
      <c r="G436" s="118"/>
      <c r="H436" s="118"/>
      <c r="I436" s="118"/>
    </row>
    <row r="437" spans="1:9" ht="16.5" customHeight="1" x14ac:dyDescent="0.3">
      <c r="A437" s="40" t="s">
        <v>135</v>
      </c>
      <c r="B437" s="14">
        <f t="shared" si="129"/>
        <v>450</v>
      </c>
      <c r="C437" s="14">
        <f t="shared" si="126"/>
        <v>280000</v>
      </c>
      <c r="D437" s="49">
        <f t="shared" si="128"/>
        <v>180000</v>
      </c>
      <c r="E437" s="14" t="s">
        <v>18</v>
      </c>
      <c r="G437" s="118"/>
      <c r="H437" s="118"/>
      <c r="I437" s="118"/>
    </row>
    <row r="438" spans="1:9" ht="16.5" customHeight="1" x14ac:dyDescent="0.3">
      <c r="A438" s="40" t="s">
        <v>136</v>
      </c>
      <c r="B438" s="14">
        <f t="shared" si="129"/>
        <v>500</v>
      </c>
      <c r="C438" s="14">
        <f t="shared" si="126"/>
        <v>290000</v>
      </c>
      <c r="D438" s="49">
        <f t="shared" si="128"/>
        <v>190000</v>
      </c>
      <c r="E438" s="14" t="s">
        <v>18</v>
      </c>
      <c r="G438" s="118"/>
      <c r="H438" s="118"/>
      <c r="I438" s="118"/>
    </row>
    <row r="439" spans="1:9" ht="16.5" customHeight="1" x14ac:dyDescent="0.3">
      <c r="A439" s="40" t="s">
        <v>137</v>
      </c>
      <c r="B439" s="14">
        <f t="shared" si="129"/>
        <v>550</v>
      </c>
      <c r="C439" s="14">
        <f t="shared" si="126"/>
        <v>300000</v>
      </c>
      <c r="D439" s="63">
        <f t="shared" si="128"/>
        <v>200000</v>
      </c>
      <c r="E439" s="14" t="s">
        <v>18</v>
      </c>
      <c r="G439" s="118"/>
      <c r="H439" s="118"/>
      <c r="I439" s="118"/>
    </row>
    <row r="440" spans="1:9" ht="16.5" customHeight="1" x14ac:dyDescent="0.3">
      <c r="A440" s="40" t="s">
        <v>138</v>
      </c>
      <c r="B440" s="14">
        <f t="shared" si="129"/>
        <v>600</v>
      </c>
      <c r="C440" s="14">
        <f t="shared" si="126"/>
        <v>310000</v>
      </c>
      <c r="D440" s="63">
        <f t="shared" si="128"/>
        <v>210000</v>
      </c>
      <c r="E440" s="14" t="s">
        <v>18</v>
      </c>
      <c r="G440" s="118"/>
      <c r="H440" s="118"/>
      <c r="I440" s="118"/>
    </row>
    <row r="441" spans="1:9" ht="16.5" customHeight="1" x14ac:dyDescent="0.3">
      <c r="A441" s="40" t="s">
        <v>139</v>
      </c>
      <c r="B441" s="14">
        <f t="shared" si="129"/>
        <v>650</v>
      </c>
      <c r="C441" s="14">
        <f t="shared" si="126"/>
        <v>320000</v>
      </c>
      <c r="D441" s="63">
        <f t="shared" si="128"/>
        <v>220000</v>
      </c>
      <c r="E441" s="14" t="s">
        <v>18</v>
      </c>
      <c r="G441" s="118"/>
      <c r="H441" s="118"/>
      <c r="I441" s="118"/>
    </row>
    <row r="442" spans="1:9" ht="16.5" customHeight="1" x14ac:dyDescent="0.3">
      <c r="A442" s="40" t="s">
        <v>140</v>
      </c>
      <c r="B442" s="14">
        <f t="shared" si="129"/>
        <v>700</v>
      </c>
      <c r="C442" s="14">
        <f t="shared" si="126"/>
        <v>330000</v>
      </c>
      <c r="D442" s="63">
        <f t="shared" si="128"/>
        <v>230000</v>
      </c>
      <c r="E442" s="14" t="s">
        <v>18</v>
      </c>
      <c r="G442" s="118"/>
      <c r="H442" s="118"/>
      <c r="I442" s="118"/>
    </row>
    <row r="443" spans="1:9" ht="16.5" customHeight="1" x14ac:dyDescent="0.3">
      <c r="A443" s="40" t="s">
        <v>141</v>
      </c>
      <c r="B443" s="14">
        <f t="shared" si="129"/>
        <v>750</v>
      </c>
      <c r="C443" s="14">
        <f t="shared" si="126"/>
        <v>340000</v>
      </c>
      <c r="D443" s="63">
        <f t="shared" si="128"/>
        <v>240000</v>
      </c>
      <c r="E443" s="14" t="s">
        <v>18</v>
      </c>
      <c r="G443" s="118"/>
      <c r="H443" s="118"/>
      <c r="I443" s="118"/>
    </row>
    <row r="444" spans="1:9" ht="16.5" customHeight="1" x14ac:dyDescent="0.3">
      <c r="A444" s="40" t="s">
        <v>142</v>
      </c>
      <c r="B444" s="14">
        <f t="shared" si="129"/>
        <v>800</v>
      </c>
      <c r="C444" s="14">
        <f t="shared" si="126"/>
        <v>350000</v>
      </c>
      <c r="D444" s="63">
        <f t="shared" si="128"/>
        <v>250000</v>
      </c>
      <c r="E444" s="14" t="s">
        <v>18</v>
      </c>
      <c r="G444" s="118"/>
      <c r="H444" s="118"/>
      <c r="I444" s="118"/>
    </row>
    <row r="445" spans="1:9" ht="16.5" customHeight="1" x14ac:dyDescent="0.3">
      <c r="A445" s="40" t="s">
        <v>143</v>
      </c>
      <c r="B445" s="14">
        <f t="shared" si="129"/>
        <v>850</v>
      </c>
      <c r="C445" s="14">
        <f t="shared" si="126"/>
        <v>360000</v>
      </c>
      <c r="D445" s="63">
        <f t="shared" si="128"/>
        <v>260000</v>
      </c>
      <c r="E445" s="14" t="s">
        <v>18</v>
      </c>
      <c r="G445" s="118"/>
      <c r="H445" s="118"/>
      <c r="I445" s="118"/>
    </row>
    <row r="446" spans="1:9" ht="16.5" customHeight="1" x14ac:dyDescent="0.3">
      <c r="A446" s="40" t="s">
        <v>144</v>
      </c>
      <c r="B446" s="14">
        <f t="shared" si="129"/>
        <v>900</v>
      </c>
      <c r="C446" s="14">
        <f t="shared" si="126"/>
        <v>370000</v>
      </c>
      <c r="D446" s="63">
        <f t="shared" si="128"/>
        <v>270000</v>
      </c>
      <c r="E446" s="14" t="s">
        <v>18</v>
      </c>
      <c r="G446" s="118"/>
      <c r="H446" s="118"/>
      <c r="I446" s="118"/>
    </row>
    <row r="447" spans="1:9" ht="16.5" customHeight="1" x14ac:dyDescent="0.3">
      <c r="A447" s="40" t="s">
        <v>145</v>
      </c>
      <c r="B447" s="14">
        <f t="shared" si="129"/>
        <v>950</v>
      </c>
      <c r="C447" s="14">
        <f t="shared" si="126"/>
        <v>380000</v>
      </c>
      <c r="D447" s="63">
        <f t="shared" si="128"/>
        <v>280000</v>
      </c>
      <c r="E447" s="14" t="s">
        <v>18</v>
      </c>
      <c r="G447" s="118"/>
      <c r="H447" s="118"/>
      <c r="I447" s="118"/>
    </row>
    <row r="448" spans="1:9" ht="16.5" customHeight="1" x14ac:dyDescent="0.3">
      <c r="A448" s="40" t="s">
        <v>146</v>
      </c>
      <c r="B448" s="14">
        <f t="shared" si="129"/>
        <v>1000</v>
      </c>
      <c r="C448" s="14">
        <f t="shared" si="126"/>
        <v>390000</v>
      </c>
      <c r="D448" s="63">
        <f t="shared" si="128"/>
        <v>290000</v>
      </c>
      <c r="E448" s="14" t="s">
        <v>18</v>
      </c>
      <c r="G448" s="118"/>
      <c r="H448" s="118"/>
      <c r="I448" s="118"/>
    </row>
  </sheetData>
  <mergeCells count="78">
    <mergeCell ref="G35:G44"/>
    <mergeCell ref="H35:H44"/>
    <mergeCell ref="G25:G34"/>
    <mergeCell ref="H25:H34"/>
    <mergeCell ref="G5:G14"/>
    <mergeCell ref="H5:H14"/>
    <mergeCell ref="G15:G24"/>
    <mergeCell ref="H15:H24"/>
    <mergeCell ref="G114:G120"/>
    <mergeCell ref="H114:H120"/>
    <mergeCell ref="G121:G142"/>
    <mergeCell ref="H121:H142"/>
    <mergeCell ref="G396:G409"/>
    <mergeCell ref="H396:H409"/>
    <mergeCell ref="G307:G330"/>
    <mergeCell ref="H307:H330"/>
    <mergeCell ref="G242:G264"/>
    <mergeCell ref="H242:H264"/>
    <mergeCell ref="G143:G182"/>
    <mergeCell ref="H143:H182"/>
    <mergeCell ref="H293:H306"/>
    <mergeCell ref="G214:G227"/>
    <mergeCell ref="H214:H227"/>
    <mergeCell ref="G228:G241"/>
    <mergeCell ref="G89:G96"/>
    <mergeCell ref="H89:H96"/>
    <mergeCell ref="G97:G98"/>
    <mergeCell ref="H97:H98"/>
    <mergeCell ref="G99:G111"/>
    <mergeCell ref="H99:H111"/>
    <mergeCell ref="G410:G448"/>
    <mergeCell ref="H410:H448"/>
    <mergeCell ref="G348:G371"/>
    <mergeCell ref="H348:H371"/>
    <mergeCell ref="G372:G395"/>
    <mergeCell ref="H372:H395"/>
    <mergeCell ref="I97:I98"/>
    <mergeCell ref="I99:I111"/>
    <mergeCell ref="G331:G347"/>
    <mergeCell ref="H331:H347"/>
    <mergeCell ref="I5:I14"/>
    <mergeCell ref="I15:I24"/>
    <mergeCell ref="I25:I34"/>
    <mergeCell ref="I35:I44"/>
    <mergeCell ref="I45:I88"/>
    <mergeCell ref="H228:H241"/>
    <mergeCell ref="G183:G213"/>
    <mergeCell ref="H183:H213"/>
    <mergeCell ref="G112:G113"/>
    <mergeCell ref="H112:H113"/>
    <mergeCell ref="G45:G88"/>
    <mergeCell ref="H45:H88"/>
    <mergeCell ref="I348:I371"/>
    <mergeCell ref="I372:I395"/>
    <mergeCell ref="I396:I409"/>
    <mergeCell ref="I410:I448"/>
    <mergeCell ref="I214:I227"/>
    <mergeCell ref="I228:I241"/>
    <mergeCell ref="I242:I264"/>
    <mergeCell ref="I265:I278"/>
    <mergeCell ref="I279:I292"/>
    <mergeCell ref="I293:I306"/>
    <mergeCell ref="G1:H1"/>
    <mergeCell ref="I1:J1"/>
    <mergeCell ref="K1:L1"/>
    <mergeCell ref="I307:I330"/>
    <mergeCell ref="I331:I347"/>
    <mergeCell ref="I112:I113"/>
    <mergeCell ref="I114:I120"/>
    <mergeCell ref="I121:I142"/>
    <mergeCell ref="I143:I182"/>
    <mergeCell ref="I183:I213"/>
    <mergeCell ref="G265:G278"/>
    <mergeCell ref="H265:H278"/>
    <mergeCell ref="G279:G292"/>
    <mergeCell ref="H279:H292"/>
    <mergeCell ref="G293:G306"/>
    <mergeCell ref="I89:I96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pane xSplit="1" ySplit="2" topLeftCell="B3" activePane="bottomRight" state="frozen"/>
      <selection pane="topRight" activeCell="D1" sqref="D1"/>
      <selection pane="bottomLeft" activeCell="A6" sqref="A6"/>
      <selection pane="bottomRight" activeCell="D22" sqref="D22"/>
    </sheetView>
  </sheetViews>
  <sheetFormatPr defaultColWidth="9" defaultRowHeight="16.5" customHeight="1" x14ac:dyDescent="0.3"/>
  <cols>
    <col min="1" max="1" width="38.5" style="2" bestFit="1" customWidth="1"/>
    <col min="2" max="2" width="12.75" style="2" bestFit="1" customWidth="1"/>
    <col min="3" max="3" width="10.5" style="2" customWidth="1"/>
    <col min="4" max="4" width="16.625" style="2" bestFit="1" customWidth="1"/>
    <col min="5" max="5" width="10" style="2" bestFit="1" customWidth="1"/>
    <col min="6" max="6" width="16.5" style="2" bestFit="1" customWidth="1"/>
    <col min="7" max="7" width="18.625" style="2" bestFit="1" customWidth="1"/>
    <col min="8" max="9" width="18.625" style="1" bestFit="1" customWidth="1"/>
    <col min="10" max="16384" width="9" style="1"/>
  </cols>
  <sheetData>
    <row r="1" spans="1:9" ht="16.5" customHeight="1" x14ac:dyDescent="0.3">
      <c r="A1" s="4" t="s">
        <v>22</v>
      </c>
      <c r="B1" s="5"/>
      <c r="C1" s="10"/>
      <c r="D1" s="10"/>
      <c r="E1" s="10"/>
      <c r="F1" s="10"/>
      <c r="G1" s="10"/>
    </row>
    <row r="2" spans="1:9" ht="16.5" customHeight="1" x14ac:dyDescent="0.3">
      <c r="A2" s="13" t="s">
        <v>10</v>
      </c>
      <c r="B2" s="13" t="s">
        <v>50</v>
      </c>
      <c r="C2" s="11" t="s">
        <v>14</v>
      </c>
      <c r="D2" s="13" t="s">
        <v>239</v>
      </c>
      <c r="E2" s="34" t="s">
        <v>235</v>
      </c>
      <c r="F2" s="13" t="s">
        <v>236</v>
      </c>
      <c r="G2" s="13" t="s">
        <v>237</v>
      </c>
      <c r="H2" s="13" t="s">
        <v>238</v>
      </c>
      <c r="I2" s="13" t="s">
        <v>259</v>
      </c>
    </row>
    <row r="3" spans="1:9" ht="16.5" customHeight="1" x14ac:dyDescent="0.3">
      <c r="A3" s="56" t="str">
        <f t="shared" ref="A3" si="0">"업적 - 캐릭터 레벨 달성 " &amp; "Lv." &amp; B3</f>
        <v>업적 - 캐릭터 레벨 달성 Lv.5</v>
      </c>
      <c r="B3" s="57">
        <v>5</v>
      </c>
      <c r="C3" s="57" t="s">
        <v>20</v>
      </c>
      <c r="D3" s="58">
        <f>IF(C3="Gem",10,IF(C3="Gold",1000))</f>
        <v>10</v>
      </c>
      <c r="E3" s="59">
        <v>0.5</v>
      </c>
      <c r="F3" s="58">
        <f>INT(D3*E3)</f>
        <v>5</v>
      </c>
      <c r="G3" s="58">
        <f>'Achievement Reward Base'!G5</f>
        <v>275</v>
      </c>
      <c r="H3" s="60" t="s">
        <v>242</v>
      </c>
      <c r="I3" s="60" t="s">
        <v>242</v>
      </c>
    </row>
    <row r="4" spans="1:9" ht="16.5" customHeight="1" x14ac:dyDescent="0.3">
      <c r="A4" s="56" t="str">
        <f t="shared" ref="A4" si="1">"업적 - 수호자 레벨 달성 " &amp; "Lv." &amp; B4</f>
        <v>업적 - 수호자 레벨 달성 Lv.10</v>
      </c>
      <c r="B4" s="57">
        <v>10</v>
      </c>
      <c r="C4" s="57" t="s">
        <v>20</v>
      </c>
      <c r="D4" s="58">
        <f t="shared" ref="D4:D25" si="2">IF(C4="Gem",10,IF(C4="Gold",1000))</f>
        <v>10</v>
      </c>
      <c r="E4" s="59">
        <v>1</v>
      </c>
      <c r="F4" s="58">
        <f>INT(D4*E4)</f>
        <v>10</v>
      </c>
      <c r="G4" s="58">
        <f>'Achievement Reward Base'!G45</f>
        <v>325</v>
      </c>
      <c r="H4" s="58">
        <f>'Achievement Reward Base'!H45</f>
        <v>595</v>
      </c>
      <c r="I4" s="58">
        <f>'Achievement Reward Base'!I45</f>
        <v>945</v>
      </c>
    </row>
    <row r="5" spans="1:9" ht="16.5" customHeight="1" x14ac:dyDescent="0.3">
      <c r="A5" s="18" t="str">
        <f>"업적 - 캐릭터 스킬 강화 누적 횟수 " &amp; B5 &amp; " 회"</f>
        <v>업적 - 캐릭터 스킬 강화 누적 횟수 5 회</v>
      </c>
      <c r="B5" s="21">
        <v>5</v>
      </c>
      <c r="C5" s="21" t="s">
        <v>243</v>
      </c>
      <c r="D5" s="50">
        <f t="shared" si="2"/>
        <v>1000</v>
      </c>
      <c r="E5" s="37">
        <v>1</v>
      </c>
      <c r="F5" s="50">
        <f>INT(D5*E5)</f>
        <v>1000</v>
      </c>
      <c r="G5" s="50">
        <f>'Achievement Reward Base'!G89</f>
        <v>22000</v>
      </c>
      <c r="H5" s="60" t="s">
        <v>242</v>
      </c>
      <c r="I5" s="60" t="s">
        <v>242</v>
      </c>
    </row>
    <row r="6" spans="1:9" ht="16.5" customHeight="1" x14ac:dyDescent="0.3">
      <c r="A6" s="52" t="str">
        <f>"업적 - 캐릭터 스킬 초기화 누적 횟수 " &amp; B6 &amp; " 회"</f>
        <v>업적 - 캐릭터 스킬 초기화 누적 횟수 1 회</v>
      </c>
      <c r="B6" s="53">
        <v>1</v>
      </c>
      <c r="C6" s="53" t="s">
        <v>243</v>
      </c>
      <c r="D6" s="54">
        <f t="shared" si="2"/>
        <v>1000</v>
      </c>
      <c r="E6" s="55">
        <v>10</v>
      </c>
      <c r="F6" s="54">
        <v>3000</v>
      </c>
      <c r="G6" s="54">
        <v>8000</v>
      </c>
      <c r="H6" s="60" t="s">
        <v>242</v>
      </c>
      <c r="I6" s="60" t="s">
        <v>242</v>
      </c>
    </row>
    <row r="7" spans="1:9" ht="16.5" customHeight="1" x14ac:dyDescent="0.3">
      <c r="A7" s="18" t="str">
        <f>"업적 - 수호자 스킬 강화 누적 횟수 " &amp; B7 &amp; " 회"</f>
        <v>업적 - 수호자 스킬 강화 누적 횟수 10 회</v>
      </c>
      <c r="B7" s="21">
        <v>10</v>
      </c>
      <c r="C7" s="21" t="s">
        <v>243</v>
      </c>
      <c r="D7" s="50">
        <f t="shared" si="2"/>
        <v>1000</v>
      </c>
      <c r="E7" s="37">
        <v>2</v>
      </c>
      <c r="F7" s="50">
        <f>INT(D7*E7)</f>
        <v>2000</v>
      </c>
      <c r="G7" s="50">
        <f>'Achievement Reward Base'!G99</f>
        <v>11000</v>
      </c>
      <c r="H7" s="50">
        <f>'Achievement Reward Base'!H99</f>
        <v>20000</v>
      </c>
      <c r="I7" s="50">
        <f>'Achievement Reward Base'!I99</f>
        <v>50000</v>
      </c>
    </row>
    <row r="8" spans="1:9" ht="16.5" customHeight="1" x14ac:dyDescent="0.3">
      <c r="A8" s="52" t="str">
        <f>"업적 - 수호자 스킬 초기화 누적 횟수 " &amp; B8 &amp; " 회"</f>
        <v>업적 - 수호자 스킬 초기화 누적 횟수 1 회</v>
      </c>
      <c r="B8" s="53">
        <v>1</v>
      </c>
      <c r="C8" s="53" t="s">
        <v>245</v>
      </c>
      <c r="D8" s="54">
        <f t="shared" si="2"/>
        <v>1000</v>
      </c>
      <c r="E8" s="55">
        <v>20</v>
      </c>
      <c r="F8" s="54">
        <v>5000</v>
      </c>
      <c r="G8" s="54">
        <v>15000</v>
      </c>
      <c r="H8" s="60" t="s">
        <v>242</v>
      </c>
      <c r="I8" s="60" t="s">
        <v>242</v>
      </c>
    </row>
    <row r="9" spans="1:9" ht="16.5" customHeight="1" x14ac:dyDescent="0.3">
      <c r="A9" s="56" t="str">
        <f>"업적 - 수호석 획득 누적 갯수 " &amp; B9&amp; "개"</f>
        <v>업적 - 수호석 획득 누적 갯수 1개</v>
      </c>
      <c r="B9" s="57">
        <v>1</v>
      </c>
      <c r="C9" s="57" t="s">
        <v>55</v>
      </c>
      <c r="D9" s="58">
        <f t="shared" si="2"/>
        <v>10</v>
      </c>
      <c r="E9" s="59">
        <v>1</v>
      </c>
      <c r="F9" s="58">
        <f t="shared" ref="F9:F25" si="3">INT(D9*E9)</f>
        <v>10</v>
      </c>
      <c r="G9" s="58">
        <f>'Achievement Reward Base'!G114</f>
        <v>325</v>
      </c>
      <c r="H9" s="60" t="s">
        <v>242</v>
      </c>
      <c r="I9" s="60" t="s">
        <v>242</v>
      </c>
    </row>
    <row r="10" spans="1:9" ht="16.5" customHeight="1" x14ac:dyDescent="0.3">
      <c r="A10" s="18" t="str">
        <f>"업적 - 수호석 업그레이드 단계별 달성 " &amp; "Lv."&amp; B10</f>
        <v>업적 - 수호석 업그레이드 단계별 달성 Lv.1</v>
      </c>
      <c r="B10" s="21">
        <v>1</v>
      </c>
      <c r="C10" s="21" t="s">
        <v>244</v>
      </c>
      <c r="D10" s="50">
        <f t="shared" si="2"/>
        <v>1000</v>
      </c>
      <c r="E10" s="37">
        <v>2</v>
      </c>
      <c r="F10" s="50">
        <f t="shared" si="3"/>
        <v>2000</v>
      </c>
      <c r="G10" s="50">
        <f>'Achievement Reward Base'!G121</f>
        <v>30000</v>
      </c>
      <c r="H10" s="50">
        <f>'Achievement Reward Base'!H121</f>
        <v>120000</v>
      </c>
      <c r="I10" s="50">
        <f>'Achievement Reward Base'!I121</f>
        <v>510000</v>
      </c>
    </row>
    <row r="11" spans="1:9" ht="16.5" customHeight="1" x14ac:dyDescent="0.3">
      <c r="A11" s="56" t="s">
        <v>46</v>
      </c>
      <c r="B11" s="57">
        <v>5</v>
      </c>
      <c r="C11" s="57" t="s">
        <v>20</v>
      </c>
      <c r="D11" s="58">
        <f t="shared" si="2"/>
        <v>10</v>
      </c>
      <c r="E11" s="59">
        <v>10</v>
      </c>
      <c r="F11" s="58">
        <f t="shared" si="3"/>
        <v>100</v>
      </c>
      <c r="G11" s="58">
        <f>'Achievement Reward Base'!G143</f>
        <v>850</v>
      </c>
      <c r="H11" s="58">
        <f>'Achievement Reward Base'!H143</f>
        <v>1250</v>
      </c>
      <c r="I11" s="58">
        <f>'Achievement Reward Base'!I143</f>
        <v>2000</v>
      </c>
    </row>
    <row r="12" spans="1:9" ht="16.5" customHeight="1" x14ac:dyDescent="0.3">
      <c r="A12" s="56" t="str">
        <f>"업적 - 결투장 "&amp;B12&amp;"연승 달성"</f>
        <v>업적 - 결투장 1연승 달성</v>
      </c>
      <c r="B12" s="57">
        <v>1</v>
      </c>
      <c r="C12" s="57" t="s">
        <v>20</v>
      </c>
      <c r="D12" s="58">
        <f t="shared" si="2"/>
        <v>10</v>
      </c>
      <c r="E12" s="59">
        <v>1</v>
      </c>
      <c r="F12" s="58">
        <f t="shared" si="3"/>
        <v>10</v>
      </c>
      <c r="G12" s="60" t="s">
        <v>241</v>
      </c>
      <c r="H12" s="58">
        <f>'Achievement Reward Base'!H183</f>
        <v>2530</v>
      </c>
      <c r="I12" s="58">
        <f>'Achievement Reward Base'!I183</f>
        <v>3510</v>
      </c>
    </row>
    <row r="13" spans="1:9" ht="16.5" customHeight="1" x14ac:dyDescent="0.3">
      <c r="A13" s="56" t="s">
        <v>43</v>
      </c>
      <c r="B13" s="57">
        <v>15</v>
      </c>
      <c r="C13" s="57" t="s">
        <v>20</v>
      </c>
      <c r="D13" s="58">
        <f t="shared" si="2"/>
        <v>10</v>
      </c>
      <c r="E13" s="59">
        <v>10</v>
      </c>
      <c r="F13" s="58">
        <f t="shared" si="3"/>
        <v>100</v>
      </c>
      <c r="G13" s="60" t="s">
        <v>241</v>
      </c>
      <c r="H13" s="58" t="e">
        <f>'Achievement Reward Base'!#REF!</f>
        <v>#REF!</v>
      </c>
      <c r="I13" s="58" t="e">
        <f>'Achievement Reward Base'!#REF!</f>
        <v>#REF!</v>
      </c>
    </row>
    <row r="14" spans="1:9" ht="16.5" customHeight="1" x14ac:dyDescent="0.3">
      <c r="A14" s="18" t="str">
        <f>"업적 - 길드전 참가 누적 횟수 " &amp; B14 &amp; "회"</f>
        <v>업적 - 길드전 참가 누적 횟수 1회</v>
      </c>
      <c r="B14" s="21">
        <v>1</v>
      </c>
      <c r="C14" s="21" t="s">
        <v>56</v>
      </c>
      <c r="D14" s="50">
        <f t="shared" si="2"/>
        <v>1000</v>
      </c>
      <c r="E14" s="37">
        <v>2</v>
      </c>
      <c r="F14" s="50">
        <f t="shared" si="3"/>
        <v>2000</v>
      </c>
      <c r="G14" s="60" t="s">
        <v>241</v>
      </c>
      <c r="H14" s="50">
        <f>'Achievement Reward Base'!H214</f>
        <v>59500</v>
      </c>
      <c r="I14" s="50">
        <f>'Achievement Reward Base'!I214</f>
        <v>594500</v>
      </c>
    </row>
    <row r="15" spans="1:9" ht="16.5" customHeight="1" x14ac:dyDescent="0.3">
      <c r="A15" s="56" t="str">
        <f>"업적 - 길드전 승리 누적 횟수 " &amp; B15 &amp; "회"</f>
        <v>업적 - 길드전 승리 누적 횟수 1회</v>
      </c>
      <c r="B15" s="57">
        <v>1</v>
      </c>
      <c r="C15" s="57" t="s">
        <v>20</v>
      </c>
      <c r="D15" s="58">
        <f t="shared" si="2"/>
        <v>10</v>
      </c>
      <c r="E15" s="59">
        <v>1</v>
      </c>
      <c r="F15" s="58">
        <f t="shared" si="3"/>
        <v>10</v>
      </c>
      <c r="G15" s="60" t="s">
        <v>241</v>
      </c>
      <c r="H15" s="58">
        <f>'Achievement Reward Base'!H228</f>
        <v>385</v>
      </c>
      <c r="I15" s="58">
        <f>'Achievement Reward Base'!I228</f>
        <v>2710</v>
      </c>
    </row>
    <row r="16" spans="1:9" ht="16.5" customHeight="1" x14ac:dyDescent="0.3">
      <c r="A16" s="18" t="str">
        <f>"업적 - 룬스톤 합성 횟수 " &amp; B16 &amp; " 회"</f>
        <v>업적 - 룬스톤 합성 횟수 5 회</v>
      </c>
      <c r="B16" s="21">
        <v>5</v>
      </c>
      <c r="C16" s="21" t="s">
        <v>18</v>
      </c>
      <c r="D16" s="50">
        <f t="shared" si="2"/>
        <v>1000</v>
      </c>
      <c r="E16" s="37">
        <v>5</v>
      </c>
      <c r="F16" s="50">
        <f t="shared" si="3"/>
        <v>5000</v>
      </c>
      <c r="G16" s="50">
        <f>'Achievement Reward Base'!G242</f>
        <v>136000</v>
      </c>
      <c r="H16" s="50">
        <f>'Achievement Reward Base'!H242</f>
        <v>286000</v>
      </c>
      <c r="I16" s="50">
        <f>'Achievement Reward Base'!I242</f>
        <v>466000</v>
      </c>
    </row>
    <row r="17" spans="1:9" ht="16.5" customHeight="1" x14ac:dyDescent="0.3">
      <c r="A17" s="52" t="str">
        <f>"업적 - 룬스톤 5성 누적 획득 " &amp; B17 &amp; " 회"</f>
        <v>업적 - 룬스톤 5성 누적 획득 1 회</v>
      </c>
      <c r="B17" s="53">
        <v>1</v>
      </c>
      <c r="C17" s="53" t="s">
        <v>246</v>
      </c>
      <c r="D17" s="54">
        <f t="shared" si="2"/>
        <v>1000</v>
      </c>
      <c r="E17" s="55">
        <v>5</v>
      </c>
      <c r="F17" s="54">
        <f t="shared" si="3"/>
        <v>5000</v>
      </c>
      <c r="G17" s="54">
        <f>'Achievement Reward Base'!G265</f>
        <v>15000</v>
      </c>
      <c r="H17" s="54">
        <f>'Achievement Reward Base'!H265</f>
        <v>40000</v>
      </c>
      <c r="I17" s="54">
        <f>'Achievement Reward Base'!I265</f>
        <v>155000</v>
      </c>
    </row>
    <row r="18" spans="1:9" ht="16.5" customHeight="1" x14ac:dyDescent="0.3">
      <c r="A18" s="18" t="str">
        <f>"업적 - 룬스톤 6성 누적 획득 " &amp; B18 &amp; " 회"</f>
        <v>업적 - 룬스톤 6성 누적 획득 1 회</v>
      </c>
      <c r="B18" s="17">
        <v>1</v>
      </c>
      <c r="C18" s="17" t="s">
        <v>18</v>
      </c>
      <c r="D18" s="51">
        <f t="shared" si="2"/>
        <v>1000</v>
      </c>
      <c r="E18" s="45">
        <v>10</v>
      </c>
      <c r="F18" s="51">
        <f t="shared" si="3"/>
        <v>10000</v>
      </c>
      <c r="G18" s="51">
        <f>'Achievement Reward Base'!G279</f>
        <v>10000</v>
      </c>
      <c r="H18" s="51">
        <f>'Achievement Reward Base'!H279</f>
        <v>70000</v>
      </c>
      <c r="I18" s="51">
        <f>'Achievement Reward Base'!I279</f>
        <v>225000</v>
      </c>
    </row>
    <row r="19" spans="1:9" ht="16.5" customHeight="1" x14ac:dyDescent="0.3">
      <c r="A19" s="52" t="str">
        <f>"업적 - 룬스톤 7성 누적 획득 " &amp; B19 &amp; " 회"</f>
        <v>업적 - 룬스톤 7성 누적 획득 1 회</v>
      </c>
      <c r="B19" s="53">
        <v>1</v>
      </c>
      <c r="C19" s="53" t="s">
        <v>247</v>
      </c>
      <c r="D19" s="54">
        <f t="shared" si="2"/>
        <v>1000</v>
      </c>
      <c r="E19" s="55">
        <v>20</v>
      </c>
      <c r="F19" s="54">
        <f t="shared" si="3"/>
        <v>20000</v>
      </c>
      <c r="G19" s="54">
        <f>'Achievement Reward Base'!G293</f>
        <v>20000</v>
      </c>
      <c r="H19" s="54">
        <f>'Achievement Reward Base'!H293</f>
        <v>60000</v>
      </c>
      <c r="I19" s="54">
        <f>'Achievement Reward Base'!I293</f>
        <v>290000</v>
      </c>
    </row>
    <row r="20" spans="1:9" ht="16.5" customHeight="1" x14ac:dyDescent="0.3">
      <c r="A20" s="18" t="str">
        <f>"업적 - 장비아이템 합성 누적 횟수 " &amp; B20 &amp; " 회"</f>
        <v>업적 - 장비아이템 합성 누적 횟수 1 회</v>
      </c>
      <c r="B20" s="21">
        <v>1</v>
      </c>
      <c r="C20" s="21" t="s">
        <v>18</v>
      </c>
      <c r="D20" s="50">
        <f t="shared" si="2"/>
        <v>1000</v>
      </c>
      <c r="E20" s="37">
        <v>3</v>
      </c>
      <c r="F20" s="50">
        <f t="shared" si="3"/>
        <v>3000</v>
      </c>
      <c r="G20" s="50">
        <f>'Achievement Reward Base'!G307</f>
        <v>30000</v>
      </c>
      <c r="H20" s="50">
        <f>'Achievement Reward Base'!H307</f>
        <v>220000</v>
      </c>
      <c r="I20" s="50">
        <f>'Achievement Reward Base'!I307</f>
        <v>500000</v>
      </c>
    </row>
    <row r="21" spans="1:9" ht="16.5" customHeight="1" x14ac:dyDescent="0.3">
      <c r="A21" s="52" t="str">
        <f>"업적 - 장비아이템 승급 누적 횟수 " &amp; B21 &amp; " 회"</f>
        <v>업적 - 장비아이템 승급 누적 횟수 1 회</v>
      </c>
      <c r="B21" s="53">
        <v>1</v>
      </c>
      <c r="C21" s="53" t="s">
        <v>248</v>
      </c>
      <c r="D21" s="54">
        <f t="shared" si="2"/>
        <v>1000</v>
      </c>
      <c r="E21" s="55">
        <v>5</v>
      </c>
      <c r="F21" s="54">
        <f t="shared" si="3"/>
        <v>5000</v>
      </c>
      <c r="G21" s="54">
        <f>'Achievement Reward Base'!G331</f>
        <v>5000</v>
      </c>
      <c r="H21" s="54">
        <f>'Achievement Reward Base'!H331</f>
        <v>30000</v>
      </c>
      <c r="I21" s="54">
        <f>'Achievement Reward Base'!I331</f>
        <v>80000</v>
      </c>
    </row>
    <row r="22" spans="1:9" ht="16.5" customHeight="1" x14ac:dyDescent="0.3">
      <c r="A22" s="18" t="str">
        <f t="shared" ref="A22" si="4">"업적 - 장비아이템 5성 누적 획득 " &amp; B22 &amp; " 회"</f>
        <v>업적 - 장비아이템 5성 누적 획득 1 회</v>
      </c>
      <c r="B22" s="17">
        <v>1</v>
      </c>
      <c r="C22" s="17" t="s">
        <v>18</v>
      </c>
      <c r="D22" s="51">
        <f t="shared" si="2"/>
        <v>1000</v>
      </c>
      <c r="E22" s="45">
        <v>5</v>
      </c>
      <c r="F22" s="51">
        <f t="shared" si="3"/>
        <v>5000</v>
      </c>
      <c r="G22" s="51">
        <f>'Achievement Reward Base'!G348</f>
        <v>25000</v>
      </c>
      <c r="H22" s="51">
        <f>'Achievement Reward Base'!H348</f>
        <v>85000</v>
      </c>
      <c r="I22" s="51">
        <f>'Achievement Reward Base'!I348</f>
        <v>265000</v>
      </c>
    </row>
    <row r="23" spans="1:9" ht="16.5" customHeight="1" x14ac:dyDescent="0.3">
      <c r="A23" s="52" t="str">
        <f t="shared" ref="A23" si="5">"업적 - 장비아이템 6성 누적 획득 " &amp; B23 &amp; " 회"</f>
        <v>업적 - 장비아이템 6성 누적 획득 1 회</v>
      </c>
      <c r="B23" s="53">
        <v>1</v>
      </c>
      <c r="C23" s="53" t="s">
        <v>244</v>
      </c>
      <c r="D23" s="54">
        <f t="shared" si="2"/>
        <v>1000</v>
      </c>
      <c r="E23" s="55">
        <v>10</v>
      </c>
      <c r="F23" s="54">
        <f t="shared" si="3"/>
        <v>10000</v>
      </c>
      <c r="G23" s="54">
        <f>'Achievement Reward Base'!G372</f>
        <v>30000</v>
      </c>
      <c r="H23" s="54">
        <f>'Achievement Reward Base'!H372</f>
        <v>150000</v>
      </c>
      <c r="I23" s="54">
        <f>'Achievement Reward Base'!I372</f>
        <v>450000</v>
      </c>
    </row>
    <row r="24" spans="1:9" ht="16.5" customHeight="1" x14ac:dyDescent="0.3">
      <c r="A24" s="18" t="str">
        <f t="shared" ref="A24" si="6">"업적 - 장비아이템 7성 누적 획득 " &amp; B24 &amp; " 회"</f>
        <v>업적 - 장비아이템 7성 누적 획득 1 회</v>
      </c>
      <c r="B24" s="21">
        <v>1</v>
      </c>
      <c r="C24" s="21" t="s">
        <v>18</v>
      </c>
      <c r="D24" s="50">
        <f t="shared" si="2"/>
        <v>1000</v>
      </c>
      <c r="E24" s="37">
        <v>20</v>
      </c>
      <c r="F24" s="50">
        <f t="shared" si="3"/>
        <v>20000</v>
      </c>
      <c r="G24" s="50">
        <f>'Achievement Reward Base'!G396</f>
        <v>20000</v>
      </c>
      <c r="H24" s="50">
        <f>'Achievement Reward Base'!H396</f>
        <v>60000</v>
      </c>
      <c r="I24" s="50">
        <f>'Achievement Reward Base'!I396</f>
        <v>290000</v>
      </c>
    </row>
    <row r="25" spans="1:9" ht="16.5" customHeight="1" x14ac:dyDescent="0.3">
      <c r="A25" s="52" t="s">
        <v>108</v>
      </c>
      <c r="B25" s="53">
        <v>1</v>
      </c>
      <c r="C25" s="53" t="s">
        <v>244</v>
      </c>
      <c r="D25" s="54">
        <f t="shared" si="2"/>
        <v>1000</v>
      </c>
      <c r="E25" s="55">
        <v>2</v>
      </c>
      <c r="F25" s="54">
        <f t="shared" si="3"/>
        <v>2000</v>
      </c>
      <c r="G25" s="54">
        <f>'Achievement Reward Base'!G410</f>
        <v>68000</v>
      </c>
      <c r="H25" s="54">
        <f>'Achievement Reward Base'!H410</f>
        <v>942000</v>
      </c>
      <c r="I25" s="54">
        <f>'Achievement Reward Base'!I410</f>
        <v>2182000</v>
      </c>
    </row>
    <row r="26" spans="1:9" ht="16.5" customHeight="1" x14ac:dyDescent="0.3">
      <c r="E26" s="62" t="s">
        <v>249</v>
      </c>
      <c r="F26" s="61">
        <f>SUMIF($C3:$C25,"Gem",F3:F25)</f>
        <v>245</v>
      </c>
      <c r="G26" s="61">
        <f t="shared" ref="G26:I26" si="7">SUMIF($C3:$C25,"Gem",G3:G25)</f>
        <v>1775</v>
      </c>
      <c r="H26" s="61" t="e">
        <f t="shared" si="7"/>
        <v>#REF!</v>
      </c>
      <c r="I26" s="61" t="e">
        <f t="shared" si="7"/>
        <v>#REF!</v>
      </c>
    </row>
    <row r="27" spans="1:9" ht="16.5" customHeight="1" x14ac:dyDescent="0.3">
      <c r="E27" s="62" t="s">
        <v>250</v>
      </c>
      <c r="F27" s="61">
        <f>SUMIF($C3:$C25,"Gold",F3:F25)</f>
        <v>100000</v>
      </c>
      <c r="G27" s="61">
        <f>SUMIF($C3:$C25,"Gold",G3:G25)</f>
        <v>445000</v>
      </c>
      <c r="H27" s="61">
        <f>SUMIF($C3:$C25,"Gold",H3:H25)</f>
        <v>2142500</v>
      </c>
      <c r="I27" s="61">
        <f t="shared" ref="I27" si="8">SUMIF($C3:$C25,"Gold",I3:I25)</f>
        <v>6057500</v>
      </c>
    </row>
    <row r="29" spans="1:9" ht="16.5" customHeight="1" x14ac:dyDescent="0.3">
      <c r="H29" s="65"/>
      <c r="I29" s="65"/>
    </row>
  </sheetData>
  <phoneticPr fontId="2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Mission</vt:lpstr>
      <vt:lpstr>Achievement</vt:lpstr>
      <vt:lpstr>TextAchievementName</vt:lpstr>
      <vt:lpstr>TextAchievementDesc</vt:lpstr>
      <vt:lpstr>Achievement Reward Base</vt:lpstr>
      <vt:lpstr>Achievement Reward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KangDoHee</cp:lastModifiedBy>
  <dcterms:created xsi:type="dcterms:W3CDTF">2013-11-11T11:04:50Z</dcterms:created>
  <dcterms:modified xsi:type="dcterms:W3CDTF">2017-03-02T09:55:15Z</dcterms:modified>
</cp:coreProperties>
</file>