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H:\JW_Work\07. 보상설정\"/>
    </mc:Choice>
  </mc:AlternateContent>
  <bookViews>
    <workbookView xWindow="0" yWindow="0" windowWidth="28800" windowHeight="13530" tabRatio="881"/>
  </bookViews>
  <sheets>
    <sheet name="버전" sheetId="19" r:id="rId1"/>
    <sheet name="개요" sheetId="3" r:id="rId2"/>
    <sheet name="획득수량&amp;확률" sheetId="9" r:id="rId3"/>
    <sheet name="일반&amp;정예 던전" sheetId="1" r:id="rId4"/>
    <sheet name="요일 던전" sheetId="5" r:id="rId5"/>
    <sheet name="균열" sheetId="2" r:id="rId6"/>
    <sheet name="초월" sheetId="6" r:id="rId7"/>
    <sheet name="결투장" sheetId="14" r:id="rId8"/>
    <sheet name="점령전" sheetId="20" r:id="rId9"/>
    <sheet name="수호레이드" sheetId="11" r:id="rId10"/>
    <sheet name="반복완료" sheetId="7" r:id="rId11"/>
    <sheet name="던전클리어등급보상" sheetId="12" r:id="rId12"/>
    <sheet name="출석보상" sheetId="8" r:id="rId13"/>
    <sheet name="업적" sheetId="10" r:id="rId14"/>
    <sheet name="뽑기&amp;소환권" sheetId="13" r:id="rId15"/>
    <sheet name="퀘스트" sheetId="17" r:id="rId16"/>
    <sheet name="스토리" sheetId="18" r:id="rId17"/>
    <sheet name="위시 선택권" sheetId="15" r:id="rId18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5" i="2" l="1"/>
  <c r="AA35" i="2"/>
  <c r="W25" i="2"/>
  <c r="Y15" i="2"/>
  <c r="AA8" i="2"/>
  <c r="AA9" i="2" s="1"/>
  <c r="W8" i="2"/>
  <c r="W9" i="2" s="1"/>
  <c r="T8" i="2"/>
  <c r="T9" i="2" s="1"/>
  <c r="S8" i="2"/>
  <c r="S9" i="2" s="1"/>
  <c r="AA7" i="2"/>
  <c r="Y7" i="2"/>
  <c r="Y8" i="2" s="1"/>
  <c r="Y9" i="2" s="1"/>
  <c r="W7" i="2"/>
  <c r="U7" i="2"/>
  <c r="U8" i="2" s="1"/>
  <c r="U9" i="2" s="1"/>
  <c r="T7" i="2"/>
  <c r="S7" i="2"/>
  <c r="R7" i="2"/>
  <c r="R8" i="2" s="1"/>
  <c r="R9" i="2" s="1"/>
  <c r="R6" i="2"/>
  <c r="H7" i="2" l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6" i="2"/>
  <c r="H34" i="2"/>
  <c r="I7" i="2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6" i="2"/>
  <c r="G21" i="2" l="1"/>
  <c r="K5" i="2" l="1"/>
  <c r="H22" i="2"/>
  <c r="K22" i="2" s="1"/>
  <c r="J23" i="2"/>
  <c r="J24" i="2" s="1"/>
  <c r="I23" i="2"/>
  <c r="I24" i="2" s="1"/>
  <c r="H24" i="2" s="1"/>
  <c r="K24" i="2" s="1"/>
  <c r="G6" i="2"/>
  <c r="K6" i="2" s="1"/>
  <c r="G5" i="2"/>
  <c r="J26" i="2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H13" i="6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H40" i="6"/>
  <c r="H35" i="6"/>
  <c r="H30" i="6"/>
  <c r="H25" i="6"/>
  <c r="I36" i="6"/>
  <c r="I31" i="6"/>
  <c r="I26" i="6"/>
  <c r="I27" i="6" s="1"/>
  <c r="I28" i="6" s="1"/>
  <c r="I29" i="6" s="1"/>
  <c r="I21" i="6"/>
  <c r="I22" i="6" s="1"/>
  <c r="I23" i="6" s="1"/>
  <c r="I24" i="6" s="1"/>
  <c r="I16" i="6"/>
  <c r="I17" i="6" s="1"/>
  <c r="I18" i="6" s="1"/>
  <c r="I19" i="6" s="1"/>
  <c r="I13" i="6"/>
  <c r="I14" i="6" s="1"/>
  <c r="G6" i="6"/>
  <c r="G7" i="6" s="1"/>
  <c r="G8" i="6" s="1"/>
  <c r="G9" i="6" s="1"/>
  <c r="G10" i="6" s="1"/>
  <c r="G11" i="6" s="1"/>
  <c r="F5" i="6"/>
  <c r="H6" i="6"/>
  <c r="F6" i="6" s="1"/>
  <c r="H7" i="6" l="1"/>
  <c r="H8" i="6" s="1"/>
  <c r="H9" i="6" s="1"/>
  <c r="H10" i="6" s="1"/>
  <c r="H11" i="6" s="1"/>
  <c r="I36" i="2"/>
  <c r="K36" i="2" s="1"/>
  <c r="I41" i="2"/>
  <c r="K41" i="2" s="1"/>
  <c r="I35" i="2"/>
  <c r="K35" i="2" s="1"/>
  <c r="I40" i="2"/>
  <c r="K40" i="2" s="1"/>
  <c r="H23" i="2"/>
  <c r="K23" i="2" s="1"/>
  <c r="G8" i="2"/>
  <c r="K8" i="2" s="1"/>
  <c r="I25" i="2"/>
  <c r="H25" i="2" s="1"/>
  <c r="K25" i="2" s="1"/>
  <c r="G7" i="2"/>
  <c r="K7" i="2" s="1"/>
  <c r="I37" i="2"/>
  <c r="K37" i="2" s="1"/>
  <c r="I42" i="2"/>
  <c r="K42" i="2" s="1"/>
  <c r="G13" i="6"/>
  <c r="I32" i="6"/>
  <c r="I37" i="6"/>
  <c r="F11" i="6"/>
  <c r="F8" i="6"/>
  <c r="F9" i="6"/>
  <c r="F10" i="6"/>
  <c r="F7" i="6"/>
  <c r="I26" i="2" l="1"/>
  <c r="H26" i="2" s="1"/>
  <c r="K26" i="2" s="1"/>
  <c r="G9" i="2"/>
  <c r="K9" i="2" s="1"/>
  <c r="I43" i="2"/>
  <c r="K43" i="2" s="1"/>
  <c r="I38" i="2"/>
  <c r="K38" i="2" s="1"/>
  <c r="I33" i="6"/>
  <c r="I38" i="6"/>
  <c r="G10" i="2" l="1"/>
  <c r="K10" i="2" s="1"/>
  <c r="I27" i="2"/>
  <c r="H27" i="2" s="1"/>
  <c r="K27" i="2" s="1"/>
  <c r="I44" i="2"/>
  <c r="K44" i="2" s="1"/>
  <c r="I39" i="2"/>
  <c r="K39" i="2" s="1"/>
  <c r="I39" i="6"/>
  <c r="I34" i="6"/>
  <c r="G11" i="2" l="1"/>
  <c r="K11" i="2" s="1"/>
  <c r="I28" i="2"/>
  <c r="H28" i="2" s="1"/>
  <c r="K28" i="2" s="1"/>
  <c r="G12" i="2" l="1"/>
  <c r="K12" i="2" s="1"/>
  <c r="I29" i="2"/>
  <c r="H29" i="2" s="1"/>
  <c r="K29" i="2" s="1"/>
  <c r="G13" i="2" l="1"/>
  <c r="K13" i="2" s="1"/>
  <c r="I30" i="2"/>
  <c r="H30" i="2" s="1"/>
  <c r="K30" i="2" s="1"/>
  <c r="G14" i="2" l="1"/>
  <c r="K14" i="2" s="1"/>
  <c r="I31" i="2"/>
  <c r="H31" i="2" s="1"/>
  <c r="K31" i="2" s="1"/>
  <c r="G15" i="2" l="1"/>
  <c r="K15" i="2" s="1"/>
  <c r="I32" i="2"/>
  <c r="H32" i="2" s="1"/>
  <c r="K32" i="2" s="1"/>
  <c r="G16" i="2" l="1"/>
  <c r="K16" i="2" s="1"/>
  <c r="I33" i="2"/>
  <c r="H33" i="2" s="1"/>
  <c r="K33" i="2" s="1"/>
  <c r="G17" i="2" l="1"/>
  <c r="K17" i="2" s="1"/>
  <c r="I34" i="2"/>
  <c r="K34" i="2" s="1"/>
  <c r="G18" i="2" l="1"/>
  <c r="K18" i="2" s="1"/>
  <c r="G19" i="2" l="1"/>
  <c r="K19" i="2" s="1"/>
  <c r="G20" i="2" l="1"/>
  <c r="K20" i="2" s="1"/>
  <c r="K21" i="2"/>
  <c r="D32" i="13" l="1"/>
  <c r="D31" i="13"/>
  <c r="D29" i="13"/>
  <c r="D28" i="13"/>
  <c r="D26" i="13"/>
  <c r="D25" i="13"/>
  <c r="D23" i="13"/>
  <c r="D22" i="13"/>
  <c r="H18" i="13"/>
  <c r="E6" i="13" l="1"/>
  <c r="O51" i="1" l="1"/>
  <c r="N51" i="1"/>
  <c r="L51" i="1" l="1"/>
  <c r="K51" i="1"/>
  <c r="J51" i="1"/>
  <c r="I51" i="1"/>
  <c r="H51" i="1"/>
  <c r="M51" i="1"/>
  <c r="N11" i="17" l="1"/>
  <c r="K17" i="17"/>
  <c r="K27" i="17" s="1"/>
  <c r="K37" i="17" s="1"/>
  <c r="K47" i="17" s="1"/>
  <c r="K57" i="17" s="1"/>
  <c r="K67" i="17" s="1"/>
  <c r="K77" i="17" s="1"/>
  <c r="K15" i="17"/>
  <c r="N4" i="17"/>
  <c r="N3" i="17"/>
  <c r="K25" i="17" l="1"/>
  <c r="K35" i="17" l="1"/>
  <c r="K45" i="17" l="1"/>
  <c r="K55" i="17" l="1"/>
  <c r="K65" i="17" l="1"/>
  <c r="N40" i="17" l="1"/>
  <c r="N9" i="17"/>
  <c r="N14" i="17"/>
  <c r="K75" i="17"/>
  <c r="N22" i="17"/>
  <c r="N41" i="17"/>
  <c r="N46" i="17"/>
  <c r="N28" i="17"/>
  <c r="N13" i="17"/>
  <c r="N29" i="17"/>
  <c r="N12" i="17"/>
  <c r="N18" i="17"/>
  <c r="N26" i="17"/>
  <c r="N25" i="17"/>
  <c r="N27" i="17"/>
  <c r="N48" i="17"/>
  <c r="N45" i="17"/>
  <c r="N33" i="17"/>
  <c r="N37" i="17"/>
  <c r="N42" i="17"/>
  <c r="N24" i="17"/>
  <c r="N16" i="17" l="1"/>
  <c r="N21" i="17"/>
  <c r="N6" i="17"/>
  <c r="N17" i="17"/>
  <c r="N38" i="17"/>
  <c r="N49" i="17"/>
  <c r="N32" i="17"/>
  <c r="N23" i="17"/>
  <c r="N44" i="17"/>
  <c r="N36" i="17"/>
  <c r="N43" i="17"/>
  <c r="N50" i="17"/>
  <c r="N34" i="17"/>
  <c r="N7" i="17"/>
  <c r="N35" i="17"/>
  <c r="N30" i="17"/>
  <c r="N8" i="17"/>
  <c r="N20" i="17"/>
  <c r="N47" i="17"/>
  <c r="N31" i="17"/>
  <c r="H20" i="13" l="1"/>
  <c r="H5" i="13"/>
  <c r="H4" i="13"/>
  <c r="E30" i="13"/>
  <c r="E27" i="13"/>
  <c r="E24" i="13"/>
  <c r="E18" i="13"/>
  <c r="E12" i="13"/>
  <c r="E9" i="13"/>
  <c r="E3" i="13"/>
  <c r="H3" i="13"/>
  <c r="G23" i="17" l="1"/>
  <c r="G33" i="17" s="1"/>
  <c r="G43" i="17" s="1"/>
  <c r="G53" i="17" s="1"/>
  <c r="G63" i="17" l="1"/>
  <c r="G73" i="17" l="1"/>
  <c r="G83" i="17" s="1"/>
  <c r="E35" i="18"/>
  <c r="E15" i="18"/>
  <c r="G254" i="10" l="1"/>
  <c r="H254" i="10"/>
  <c r="J29" i="10"/>
  <c r="I319" i="10"/>
  <c r="H319" i="10"/>
  <c r="G319" i="10"/>
  <c r="D321" i="10"/>
  <c r="D322" i="10" s="1"/>
  <c r="D323" i="10" s="1"/>
  <c r="D324" i="10" s="1"/>
  <c r="D325" i="10" s="1"/>
  <c r="D326" i="10" s="1"/>
  <c r="D327" i="10" s="1"/>
  <c r="D328" i="10" s="1"/>
  <c r="D329" i="10" s="1"/>
  <c r="D330" i="10" s="1"/>
  <c r="D331" i="10" s="1"/>
  <c r="D332" i="10" s="1"/>
  <c r="D333" i="10" s="1"/>
  <c r="D334" i="10" s="1"/>
  <c r="D335" i="10" s="1"/>
  <c r="D336" i="10" s="1"/>
  <c r="D337" i="10" s="1"/>
  <c r="D338" i="10" s="1"/>
  <c r="D339" i="10" s="1"/>
  <c r="D340" i="10" s="1"/>
  <c r="D341" i="10" s="1"/>
  <c r="D320" i="10"/>
  <c r="P41" i="6" l="1"/>
  <c r="P42" i="6" s="1"/>
  <c r="P43" i="6" s="1"/>
  <c r="P44" i="6" s="1"/>
  <c r="O41" i="6"/>
  <c r="O42" i="6" s="1"/>
  <c r="O43" i="6" s="1"/>
  <c r="O44" i="6" s="1"/>
  <c r="N41" i="6"/>
  <c r="M40" i="6"/>
  <c r="N21" i="6"/>
  <c r="N22" i="6" s="1"/>
  <c r="N23" i="6" s="1"/>
  <c r="N24" i="6" s="1"/>
  <c r="N25" i="6" s="1"/>
  <c r="N26" i="6" s="1"/>
  <c r="N27" i="6" s="1"/>
  <c r="N28" i="6" s="1"/>
  <c r="N29" i="6" s="1"/>
  <c r="N30" i="6" s="1"/>
  <c r="N31" i="6" s="1"/>
  <c r="N32" i="6" s="1"/>
  <c r="N33" i="6" s="1"/>
  <c r="N34" i="6" s="1"/>
  <c r="N35" i="6" s="1"/>
  <c r="N36" i="6" s="1"/>
  <c r="N37" i="6" s="1"/>
  <c r="N38" i="6" s="1"/>
  <c r="N39" i="6" s="1"/>
  <c r="L21" i="6"/>
  <c r="M21" i="6" s="1"/>
  <c r="M6" i="6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L6" i="6"/>
  <c r="L7" i="6" s="1"/>
  <c r="L8" i="6" s="1"/>
  <c r="L9" i="6" s="1"/>
  <c r="L10" i="6" s="1"/>
  <c r="L11" i="6" s="1"/>
  <c r="L12" i="6" s="1"/>
  <c r="L13" i="6" s="1"/>
  <c r="L14" i="6" s="1"/>
  <c r="L15" i="6" s="1"/>
  <c r="L16" i="6" s="1"/>
  <c r="L17" i="6" s="1"/>
  <c r="L18" i="6" s="1"/>
  <c r="L19" i="6" s="1"/>
  <c r="L22" i="6" l="1"/>
  <c r="M22" i="6" s="1"/>
  <c r="M41" i="6"/>
  <c r="N42" i="6"/>
  <c r="L23" i="6"/>
  <c r="N43" i="1"/>
  <c r="M43" i="1"/>
  <c r="L43" i="1"/>
  <c r="N43" i="6" l="1"/>
  <c r="M42" i="6"/>
  <c r="L24" i="6"/>
  <c r="M23" i="6"/>
  <c r="E6" i="18"/>
  <c r="E7" i="18" s="1"/>
  <c r="E14" i="18"/>
  <c r="E19" i="18" s="1"/>
  <c r="E24" i="18" s="1"/>
  <c r="E29" i="18" s="1"/>
  <c r="E34" i="18" s="1"/>
  <c r="E39" i="18" s="1"/>
  <c r="B14" i="18"/>
  <c r="B19" i="18" s="1"/>
  <c r="B24" i="18" s="1"/>
  <c r="B29" i="18" s="1"/>
  <c r="B34" i="18" s="1"/>
  <c r="B39" i="18" s="1"/>
  <c r="B44" i="18" s="1"/>
  <c r="B13" i="18"/>
  <c r="B18" i="18" s="1"/>
  <c r="B23" i="18" s="1"/>
  <c r="B28" i="18" s="1"/>
  <c r="B33" i="18" s="1"/>
  <c r="B38" i="18" s="1"/>
  <c r="B43" i="18" s="1"/>
  <c r="B12" i="18"/>
  <c r="B17" i="18" s="1"/>
  <c r="B22" i="18" s="1"/>
  <c r="B27" i="18" s="1"/>
  <c r="B32" i="18" s="1"/>
  <c r="B37" i="18" s="1"/>
  <c r="B42" i="18" s="1"/>
  <c r="B11" i="18"/>
  <c r="B16" i="18" s="1"/>
  <c r="B21" i="18" s="1"/>
  <c r="B26" i="18" s="1"/>
  <c r="B31" i="18" s="1"/>
  <c r="B36" i="18" s="1"/>
  <c r="B41" i="18" s="1"/>
  <c r="B10" i="18"/>
  <c r="B15" i="18" s="1"/>
  <c r="B20" i="18" s="1"/>
  <c r="B25" i="18" s="1"/>
  <c r="B30" i="18" s="1"/>
  <c r="B35" i="18" s="1"/>
  <c r="B40" i="18" s="1"/>
  <c r="E8" i="18" l="1"/>
  <c r="E10" i="18" s="1"/>
  <c r="E11" i="18" s="1"/>
  <c r="E12" i="18" s="1"/>
  <c r="E13" i="18" s="1"/>
  <c r="E16" i="18" s="1"/>
  <c r="L25" i="6"/>
  <c r="M24" i="6"/>
  <c r="N44" i="6"/>
  <c r="M44" i="6" s="1"/>
  <c r="M43" i="6"/>
  <c r="G5" i="17"/>
  <c r="G6" i="17" l="1"/>
  <c r="G7" i="17" s="1"/>
  <c r="M25" i="6"/>
  <c r="L26" i="6"/>
  <c r="E17" i="18"/>
  <c r="E18" i="18" s="1"/>
  <c r="E20" i="18" s="1"/>
  <c r="E21" i="18" s="1"/>
  <c r="E22" i="18" s="1"/>
  <c r="E23" i="18" s="1"/>
  <c r="E25" i="18" s="1"/>
  <c r="E26" i="18" s="1"/>
  <c r="E27" i="18" s="1"/>
  <c r="E28" i="18" s="1"/>
  <c r="E30" i="18" s="1"/>
  <c r="E31" i="18" s="1"/>
  <c r="E32" i="18" s="1"/>
  <c r="E33" i="18" s="1"/>
  <c r="E36" i="18" s="1"/>
  <c r="E37" i="18" s="1"/>
  <c r="E38" i="18" s="1"/>
  <c r="E40" i="18" s="1"/>
  <c r="E41" i="18" s="1"/>
  <c r="E42" i="18" s="1"/>
  <c r="E43" i="18" s="1"/>
  <c r="G8" i="17" l="1"/>
  <c r="G9" i="17" s="1"/>
  <c r="G10" i="17" s="1"/>
  <c r="G11" i="17" s="1"/>
  <c r="G12" i="17" s="1"/>
  <c r="G14" i="17" s="1"/>
  <c r="G15" i="17" s="1"/>
  <c r="M26" i="6"/>
  <c r="L27" i="6"/>
  <c r="E44" i="18"/>
  <c r="J31" i="6"/>
  <c r="J26" i="6"/>
  <c r="J21" i="6"/>
  <c r="J16" i="6"/>
  <c r="J17" i="6" s="1"/>
  <c r="J18" i="6" s="1"/>
  <c r="J19" i="6" s="1"/>
  <c r="G12" i="6"/>
  <c r="K12" i="6" s="1"/>
  <c r="I41" i="6"/>
  <c r="G14" i="6" l="1"/>
  <c r="K14" i="6" s="1"/>
  <c r="J22" i="6"/>
  <c r="J27" i="6"/>
  <c r="J28" i="6" s="1"/>
  <c r="H26" i="6"/>
  <c r="I42" i="6"/>
  <c r="J32" i="6"/>
  <c r="H31" i="6"/>
  <c r="G16" i="17"/>
  <c r="L28" i="6"/>
  <c r="M27" i="6"/>
  <c r="J36" i="6"/>
  <c r="H36" i="6" s="1"/>
  <c r="K25" i="6"/>
  <c r="K26" i="6"/>
  <c r="K13" i="6"/>
  <c r="G15" i="6" l="1"/>
  <c r="K15" i="6" s="1"/>
  <c r="J23" i="6"/>
  <c r="H27" i="6"/>
  <c r="K27" i="6" s="1"/>
  <c r="J33" i="6"/>
  <c r="H32" i="6"/>
  <c r="J37" i="6"/>
  <c r="I43" i="6"/>
  <c r="J29" i="6"/>
  <c r="H29" i="6" s="1"/>
  <c r="H28" i="6"/>
  <c r="K28" i="6" s="1"/>
  <c r="G17" i="17"/>
  <c r="G18" i="17" s="1"/>
  <c r="G19" i="17" s="1"/>
  <c r="G20" i="17" s="1"/>
  <c r="G21" i="17" s="1"/>
  <c r="G22" i="17" s="1"/>
  <c r="G24" i="17" s="1"/>
  <c r="G25" i="17" s="1"/>
  <c r="G26" i="17" s="1"/>
  <c r="G27" i="17" s="1"/>
  <c r="G28" i="17" s="1"/>
  <c r="G29" i="17" s="1"/>
  <c r="G30" i="17" s="1"/>
  <c r="G31" i="17" s="1"/>
  <c r="G32" i="17" s="1"/>
  <c r="G34" i="17" s="1"/>
  <c r="G35" i="17" s="1"/>
  <c r="L29" i="6"/>
  <c r="M28" i="6"/>
  <c r="G16" i="6" l="1"/>
  <c r="K16" i="6" s="1"/>
  <c r="J24" i="6"/>
  <c r="J38" i="6"/>
  <c r="H37" i="6"/>
  <c r="I44" i="6"/>
  <c r="J34" i="6"/>
  <c r="H34" i="6" s="1"/>
  <c r="H33" i="6"/>
  <c r="G36" i="17"/>
  <c r="M29" i="6"/>
  <c r="L30" i="6"/>
  <c r="K29" i="6"/>
  <c r="G17" i="6" l="1"/>
  <c r="K17" i="6" s="1"/>
  <c r="J39" i="6"/>
  <c r="H38" i="6"/>
  <c r="G37" i="17"/>
  <c r="G38" i="17" s="1"/>
  <c r="G39" i="17" s="1"/>
  <c r="G40" i="17" s="1"/>
  <c r="G41" i="17" s="1"/>
  <c r="G42" i="17" s="1"/>
  <c r="G44" i="17" s="1"/>
  <c r="G45" i="17" s="1"/>
  <c r="M30" i="6"/>
  <c r="L31" i="6"/>
  <c r="K30" i="6"/>
  <c r="G18" i="6" l="1"/>
  <c r="J41" i="6"/>
  <c r="H39" i="6"/>
  <c r="G46" i="17"/>
  <c r="L32" i="6"/>
  <c r="M31" i="6"/>
  <c r="H4" i="18"/>
  <c r="H5" i="18"/>
  <c r="K18" i="6"/>
  <c r="K31" i="6"/>
  <c r="G19" i="6" l="1"/>
  <c r="K19" i="6" s="1"/>
  <c r="J42" i="6"/>
  <c r="H41" i="6"/>
  <c r="G47" i="17"/>
  <c r="G48" i="17" s="1"/>
  <c r="G49" i="17" s="1"/>
  <c r="G50" i="17" s="1"/>
  <c r="G51" i="17" s="1"/>
  <c r="G52" i="17" s="1"/>
  <c r="G54" i="17" s="1"/>
  <c r="G55" i="17" s="1"/>
  <c r="G56" i="17" s="1"/>
  <c r="G57" i="17" s="1"/>
  <c r="G58" i="17" s="1"/>
  <c r="G59" i="17" s="1"/>
  <c r="G60" i="17" s="1"/>
  <c r="G61" i="17" s="1"/>
  <c r="G62" i="17" s="1"/>
  <c r="L33" i="6"/>
  <c r="M32" i="6"/>
  <c r="K32" i="6"/>
  <c r="G20" i="6" l="1"/>
  <c r="K20" i="6" s="1"/>
  <c r="J43" i="6"/>
  <c r="H42" i="6"/>
  <c r="M33" i="6"/>
  <c r="L34" i="6"/>
  <c r="K33" i="6"/>
  <c r="G21" i="6" l="1"/>
  <c r="K21" i="6" s="1"/>
  <c r="J44" i="6"/>
  <c r="H44" i="6" s="1"/>
  <c r="H43" i="6"/>
  <c r="G64" i="17"/>
  <c r="G65" i="17" s="1"/>
  <c r="G66" i="17" s="1"/>
  <c r="G67" i="17" s="1"/>
  <c r="M34" i="6"/>
  <c r="L35" i="6"/>
  <c r="K34" i="6"/>
  <c r="G22" i="6" l="1"/>
  <c r="K22" i="6" s="1"/>
  <c r="G68" i="17"/>
  <c r="L36" i="6"/>
  <c r="M35" i="6"/>
  <c r="K35" i="6"/>
  <c r="G24" i="6" l="1"/>
  <c r="K24" i="6" s="1"/>
  <c r="G23" i="6"/>
  <c r="K23" i="6" s="1"/>
  <c r="G69" i="17"/>
  <c r="G70" i="17" s="1"/>
  <c r="G71" i="17" s="1"/>
  <c r="G72" i="17" s="1"/>
  <c r="G74" i="17" s="1"/>
  <c r="G75" i="17" s="1"/>
  <c r="G76" i="17" s="1"/>
  <c r="G77" i="17" s="1"/>
  <c r="G78" i="17" s="1"/>
  <c r="G79" i="17" s="1"/>
  <c r="G80" i="17" s="1"/>
  <c r="G81" i="17" s="1"/>
  <c r="G82" i="17" s="1"/>
  <c r="L37" i="6"/>
  <c r="M36" i="6"/>
  <c r="K36" i="6"/>
  <c r="M37" i="6" l="1"/>
  <c r="L38" i="6"/>
  <c r="K37" i="6"/>
  <c r="M38" i="6" l="1"/>
  <c r="L39" i="6"/>
  <c r="M39" i="6" s="1"/>
  <c r="K38" i="6"/>
  <c r="K39" i="6" l="1"/>
  <c r="K40" i="6" l="1"/>
  <c r="K41" i="6" l="1"/>
  <c r="K42" i="6" l="1"/>
  <c r="K43" i="6" l="1"/>
  <c r="K44" i="6" l="1"/>
  <c r="M40" i="2" l="1"/>
  <c r="Q40" i="2" s="1"/>
  <c r="L21" i="2"/>
  <c r="L22" i="2" s="1"/>
  <c r="L23" i="2" l="1"/>
  <c r="L24" i="2" l="1"/>
  <c r="L25" i="2" l="1"/>
  <c r="L26" i="2" l="1"/>
  <c r="L27" i="2" l="1"/>
  <c r="L28" i="2" l="1"/>
  <c r="L29" i="2" l="1"/>
  <c r="L30" i="2" l="1"/>
  <c r="L31" i="2" l="1"/>
  <c r="L32" i="2" l="1"/>
  <c r="L33" i="2" l="1"/>
  <c r="L34" i="2" l="1"/>
  <c r="L35" i="2" l="1"/>
  <c r="L36" i="2" l="1"/>
  <c r="L37" i="2" l="1"/>
  <c r="L38" i="2" l="1"/>
  <c r="L39" i="2" l="1"/>
  <c r="B6" i="2" l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I487" i="10" l="1"/>
  <c r="H487" i="10"/>
  <c r="G487" i="10"/>
  <c r="I473" i="10"/>
  <c r="H473" i="10"/>
  <c r="G473" i="10"/>
  <c r="I449" i="10"/>
  <c r="H449" i="10"/>
  <c r="G449" i="10"/>
  <c r="I425" i="10"/>
  <c r="H425" i="10"/>
  <c r="G425" i="10"/>
  <c r="I408" i="10"/>
  <c r="H408" i="10"/>
  <c r="G408" i="10"/>
  <c r="I384" i="10"/>
  <c r="H384" i="10"/>
  <c r="G384" i="10"/>
  <c r="I370" i="10"/>
  <c r="H370" i="10"/>
  <c r="G370" i="10"/>
  <c r="I356" i="10"/>
  <c r="H356" i="10"/>
  <c r="G356" i="10"/>
  <c r="I342" i="10"/>
  <c r="H342" i="10"/>
  <c r="G342" i="10"/>
  <c r="I305" i="10"/>
  <c r="H305" i="10"/>
  <c r="I291" i="10"/>
  <c r="H291" i="10"/>
  <c r="I254" i="10"/>
  <c r="I214" i="10"/>
  <c r="H214" i="10"/>
  <c r="G214" i="10"/>
  <c r="I192" i="10"/>
  <c r="H192" i="10"/>
  <c r="G192" i="10"/>
  <c r="I185" i="10"/>
  <c r="H185" i="10"/>
  <c r="G185" i="10"/>
  <c r="I183" i="10"/>
  <c r="H183" i="10"/>
  <c r="G183" i="10"/>
  <c r="I131" i="10"/>
  <c r="H131" i="10"/>
  <c r="G131" i="10"/>
  <c r="I129" i="10"/>
  <c r="H129" i="10"/>
  <c r="G129" i="10"/>
  <c r="I113" i="10"/>
  <c r="H113" i="10"/>
  <c r="G113" i="10"/>
  <c r="I69" i="10"/>
  <c r="H69" i="10"/>
  <c r="G69" i="10"/>
  <c r="I59" i="10"/>
  <c r="I49" i="10"/>
  <c r="I39" i="10"/>
  <c r="I29" i="10"/>
  <c r="H29" i="10"/>
  <c r="G29" i="10"/>
  <c r="I4" i="10" l="1"/>
  <c r="J4" i="10" s="1"/>
  <c r="L4" i="10" s="1"/>
  <c r="I11" i="10"/>
  <c r="J11" i="10" s="1"/>
  <c r="L11" i="10" s="1"/>
  <c r="O29" i="10" l="1"/>
  <c r="K29" i="10" l="1"/>
  <c r="M29" i="10"/>
  <c r="N29" i="10" l="1"/>
  <c r="L29" i="10" l="1"/>
  <c r="F28" i="5"/>
  <c r="E28" i="5"/>
  <c r="F27" i="5"/>
  <c r="E27" i="5"/>
  <c r="F26" i="5"/>
  <c r="E26" i="5"/>
  <c r="F25" i="5"/>
  <c r="E25" i="5"/>
  <c r="F24" i="5"/>
  <c r="E24" i="5"/>
  <c r="F23" i="5"/>
  <c r="E23" i="5"/>
  <c r="F8" i="5"/>
  <c r="M8" i="5" s="1"/>
  <c r="E8" i="5"/>
  <c r="L8" i="5" s="1"/>
  <c r="F7" i="5"/>
  <c r="M7" i="5" s="1"/>
  <c r="E7" i="5"/>
  <c r="L7" i="5" s="1"/>
  <c r="F6" i="5"/>
  <c r="M6" i="5" s="1"/>
  <c r="E6" i="5"/>
  <c r="L6" i="5" s="1"/>
  <c r="F5" i="5"/>
  <c r="M5" i="5" s="1"/>
  <c r="E5" i="5"/>
  <c r="L5" i="5" s="1"/>
  <c r="F4" i="5"/>
  <c r="M4" i="5" s="1"/>
  <c r="E4" i="5"/>
  <c r="L4" i="5" s="1"/>
  <c r="F3" i="5"/>
  <c r="M3" i="5" s="1"/>
  <c r="E3" i="5"/>
  <c r="L3" i="5" s="1"/>
  <c r="E5" i="14" l="1"/>
  <c r="E8" i="14"/>
  <c r="E7" i="14" s="1"/>
  <c r="E14" i="14"/>
  <c r="E13" i="14" s="1"/>
  <c r="E12" i="14" s="1"/>
  <c r="E11" i="14" s="1"/>
  <c r="E10" i="14" s="1"/>
  <c r="E18" i="14"/>
  <c r="E17" i="14" s="1"/>
  <c r="E16" i="14" s="1"/>
  <c r="E14" i="12" l="1"/>
  <c r="E15" i="12" s="1"/>
  <c r="E16" i="12" s="1"/>
  <c r="E17" i="12" s="1"/>
  <c r="E18" i="12" s="1"/>
  <c r="E19" i="12" s="1"/>
  <c r="E20" i="12" s="1"/>
  <c r="I14" i="12"/>
  <c r="I15" i="12" s="1"/>
  <c r="I16" i="12" s="1"/>
  <c r="I17" i="12" s="1"/>
  <c r="I18" i="12" s="1"/>
  <c r="I19" i="12" s="1"/>
  <c r="I20" i="12" s="1"/>
  <c r="I6" i="12"/>
  <c r="I7" i="12" s="1"/>
  <c r="I8" i="12" s="1"/>
  <c r="I9" i="12" s="1"/>
  <c r="I10" i="12" s="1"/>
  <c r="I11" i="12" s="1"/>
  <c r="I5" i="12"/>
  <c r="E5" i="12"/>
  <c r="E6" i="12" s="1"/>
  <c r="E7" i="12" s="1"/>
  <c r="E8" i="12" s="1"/>
  <c r="E9" i="12" s="1"/>
  <c r="E10" i="12" s="1"/>
  <c r="E11" i="12" s="1"/>
  <c r="F22" i="11" l="1"/>
  <c r="F23" i="11" s="1"/>
  <c r="F24" i="11" s="1"/>
  <c r="F25" i="11" s="1"/>
  <c r="F26" i="11" s="1"/>
  <c r="E22" i="11"/>
  <c r="E23" i="11" s="1"/>
  <c r="E24" i="11" s="1"/>
  <c r="E25" i="11" s="1"/>
  <c r="E26" i="11" s="1"/>
  <c r="D22" i="11"/>
  <c r="D23" i="11" s="1"/>
  <c r="D24" i="11" s="1"/>
  <c r="D25" i="11" s="1"/>
  <c r="D26" i="11" s="1"/>
  <c r="E13" i="11"/>
  <c r="D13" i="11"/>
  <c r="M11" i="11" l="1"/>
  <c r="L11" i="11"/>
  <c r="L12" i="11" s="1"/>
  <c r="L13" i="11" s="1"/>
  <c r="L14" i="11" s="1"/>
  <c r="L15" i="11" s="1"/>
  <c r="L16" i="11" s="1"/>
  <c r="O11" i="11"/>
  <c r="N11" i="11"/>
  <c r="N12" i="11" s="1"/>
  <c r="N13" i="11" s="1"/>
  <c r="N14" i="11" s="1"/>
  <c r="N15" i="11" s="1"/>
  <c r="N16" i="11" s="1"/>
  <c r="O6" i="11"/>
  <c r="O7" i="11" s="1"/>
  <c r="O8" i="11" s="1"/>
  <c r="O9" i="11" s="1"/>
  <c r="O10" i="11" s="1"/>
  <c r="N6" i="11"/>
  <c r="N7" i="11" s="1"/>
  <c r="N8" i="11" s="1"/>
  <c r="N9" i="11" s="1"/>
  <c r="N10" i="11" s="1"/>
  <c r="M6" i="11"/>
  <c r="M7" i="11" s="1"/>
  <c r="M8" i="11" s="1"/>
  <c r="M9" i="11" s="1"/>
  <c r="M10" i="11" s="1"/>
  <c r="L6" i="11"/>
  <c r="L7" i="11" s="1"/>
  <c r="L8" i="11" s="1"/>
  <c r="L9" i="11" s="1"/>
  <c r="L10" i="11" s="1"/>
  <c r="K11" i="11"/>
  <c r="J11" i="11"/>
  <c r="Q11" i="11"/>
  <c r="Q12" i="11" s="1"/>
  <c r="Q13" i="11" s="1"/>
  <c r="Q14" i="11" s="1"/>
  <c r="Q15" i="11" s="1"/>
  <c r="Q16" i="11" s="1"/>
  <c r="P11" i="11"/>
  <c r="Q6" i="11"/>
  <c r="Q7" i="11" s="1"/>
  <c r="Q8" i="11" s="1"/>
  <c r="Q9" i="11" s="1"/>
  <c r="Q10" i="11" s="1"/>
  <c r="P6" i="11"/>
  <c r="P7" i="11" s="1"/>
  <c r="P8" i="11" s="1"/>
  <c r="P9" i="11" s="1"/>
  <c r="P10" i="11" s="1"/>
  <c r="K6" i="11"/>
  <c r="K7" i="11" s="1"/>
  <c r="K8" i="11" s="1"/>
  <c r="K9" i="11" s="1"/>
  <c r="K10" i="11" s="1"/>
  <c r="J6" i="11"/>
  <c r="J7" i="11" s="1"/>
  <c r="J8" i="11" s="1"/>
  <c r="J9" i="11" s="1"/>
  <c r="J10" i="11" s="1"/>
  <c r="J12" i="11" l="1"/>
  <c r="J13" i="11" s="1"/>
  <c r="J14" i="11" s="1"/>
  <c r="J15" i="11" s="1"/>
  <c r="J16" i="11" s="1"/>
  <c r="O12" i="11"/>
  <c r="O13" i="11" s="1"/>
  <c r="O14" i="11" s="1"/>
  <c r="O15" i="11" s="1"/>
  <c r="O16" i="11" s="1"/>
  <c r="P12" i="11"/>
  <c r="P13" i="11" s="1"/>
  <c r="P14" i="11" s="1"/>
  <c r="P15" i="11" s="1"/>
  <c r="P16" i="11" s="1"/>
  <c r="M12" i="11"/>
  <c r="M13" i="11" s="1"/>
  <c r="M14" i="11" s="1"/>
  <c r="M15" i="11" s="1"/>
  <c r="M16" i="11" s="1"/>
  <c r="K12" i="11"/>
  <c r="K13" i="11" s="1"/>
  <c r="K14" i="11" s="1"/>
  <c r="K15" i="11" s="1"/>
  <c r="K16" i="11" s="1"/>
  <c r="B19" i="8" l="1"/>
  <c r="C19" i="8"/>
  <c r="P41" i="2" l="1"/>
  <c r="P42" i="2" s="1"/>
  <c r="P43" i="2" s="1"/>
  <c r="P44" i="2" s="1"/>
  <c r="O41" i="2"/>
  <c r="O42" i="2" s="1"/>
  <c r="O43" i="2" s="1"/>
  <c r="O44" i="2" s="1"/>
  <c r="S40" i="1" l="1"/>
  <c r="T40" i="1" s="1"/>
  <c r="U40" i="1" s="1"/>
  <c r="V40" i="1" s="1"/>
  <c r="W40" i="1" s="1"/>
  <c r="X40" i="1" s="1"/>
  <c r="Y40" i="1" s="1"/>
  <c r="T39" i="1"/>
  <c r="U39" i="1" s="1"/>
  <c r="V39" i="1" s="1"/>
  <c r="W39" i="1" s="1"/>
  <c r="X39" i="1" s="1"/>
  <c r="Y39" i="1" s="1"/>
  <c r="D19" i="8" l="1"/>
  <c r="M5" i="8"/>
  <c r="O5" i="8" s="1"/>
  <c r="J8" i="8" s="1"/>
  <c r="L8" i="8" s="1"/>
  <c r="N8" i="8" s="1"/>
  <c r="P8" i="8" s="1"/>
  <c r="K11" i="8" s="1"/>
  <c r="M11" i="8" s="1"/>
  <c r="O11" i="8" s="1"/>
  <c r="J14" i="8" s="1"/>
  <c r="L14" i="8" s="1"/>
  <c r="N14" i="8" s="1"/>
  <c r="P14" i="8" s="1"/>
  <c r="R14" i="8" s="1"/>
  <c r="L5" i="8"/>
  <c r="J19" i="8" l="1"/>
  <c r="N5" i="8"/>
  <c r="P5" i="8" s="1"/>
  <c r="K8" i="8" s="1"/>
  <c r="M8" i="8" s="1"/>
  <c r="O8" i="8" s="1"/>
  <c r="J11" i="8" s="1"/>
  <c r="L11" i="8" s="1"/>
  <c r="N11" i="8" s="1"/>
  <c r="P11" i="8" s="1"/>
  <c r="K14" i="8" s="1"/>
  <c r="M14" i="8" s="1"/>
  <c r="O14" i="8" s="1"/>
  <c r="Q14" i="8" s="1"/>
  <c r="S14" i="8" s="1"/>
  <c r="K19" i="8" l="1"/>
  <c r="G13" i="7"/>
  <c r="G14" i="7" s="1"/>
  <c r="G15" i="7" s="1"/>
  <c r="G16" i="7" s="1"/>
  <c r="G17" i="7" s="1"/>
  <c r="G18" i="7" s="1"/>
  <c r="G19" i="7" s="1"/>
  <c r="G4" i="7"/>
  <c r="G5" i="7" s="1"/>
  <c r="G6" i="7" s="1"/>
  <c r="G7" i="7" s="1"/>
  <c r="G8" i="7" s="1"/>
  <c r="G9" i="7" s="1"/>
  <c r="G10" i="7" s="1"/>
  <c r="I13" i="7" l="1"/>
  <c r="I14" i="7" s="1"/>
  <c r="I15" i="7" s="1"/>
  <c r="I16" i="7" s="1"/>
  <c r="I17" i="7" s="1"/>
  <c r="I18" i="7" s="1"/>
  <c r="I19" i="7" s="1"/>
  <c r="I4" i="7"/>
  <c r="I5" i="7" s="1"/>
  <c r="I6" i="7" s="1"/>
  <c r="I7" i="7" s="1"/>
  <c r="I8" i="7" s="1"/>
  <c r="I9" i="7" s="1"/>
  <c r="I10" i="7" s="1"/>
  <c r="H13" i="7"/>
  <c r="H14" i="7" s="1"/>
  <c r="H15" i="7" s="1"/>
  <c r="H16" i="7" s="1"/>
  <c r="H17" i="7" s="1"/>
  <c r="H18" i="7" s="1"/>
  <c r="H19" i="7" s="1"/>
  <c r="F13" i="7"/>
  <c r="F14" i="7" s="1"/>
  <c r="F15" i="7" s="1"/>
  <c r="F16" i="7" s="1"/>
  <c r="F17" i="7" s="1"/>
  <c r="F18" i="7" s="1"/>
  <c r="F19" i="7" s="1"/>
  <c r="E13" i="7"/>
  <c r="E14" i="7" s="1"/>
  <c r="E15" i="7" s="1"/>
  <c r="E16" i="7" s="1"/>
  <c r="E17" i="7" s="1"/>
  <c r="E18" i="7" s="1"/>
  <c r="E19" i="7" s="1"/>
  <c r="D13" i="7"/>
  <c r="D14" i="7" s="1"/>
  <c r="D15" i="7" s="1"/>
  <c r="D16" i="7" s="1"/>
  <c r="D17" i="7" s="1"/>
  <c r="D18" i="7" s="1"/>
  <c r="D19" i="7" s="1"/>
  <c r="H4" i="7"/>
  <c r="H5" i="7" s="1"/>
  <c r="H6" i="7" s="1"/>
  <c r="H7" i="7" s="1"/>
  <c r="H8" i="7" s="1"/>
  <c r="H9" i="7" s="1"/>
  <c r="H10" i="7" s="1"/>
  <c r="E4" i="7"/>
  <c r="E5" i="7" s="1"/>
  <c r="E6" i="7" s="1"/>
  <c r="E7" i="7" s="1"/>
  <c r="E8" i="7" s="1"/>
  <c r="E9" i="7" s="1"/>
  <c r="E10" i="7" s="1"/>
  <c r="D4" i="7"/>
  <c r="D5" i="7" s="1"/>
  <c r="D6" i="7" s="1"/>
  <c r="D7" i="7" s="1"/>
  <c r="D8" i="7" s="1"/>
  <c r="D9" i="7" s="1"/>
  <c r="D10" i="7" s="1"/>
  <c r="F4" i="7"/>
  <c r="F5" i="7" s="1"/>
  <c r="F6" i="7" s="1"/>
  <c r="F7" i="7" s="1"/>
  <c r="F8" i="7" s="1"/>
  <c r="F9" i="7" s="1"/>
  <c r="F10" i="7" s="1"/>
  <c r="C6" i="6" l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B6" i="6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D6" i="6"/>
  <c r="D7" i="6" s="1"/>
  <c r="D8" i="6" s="1"/>
  <c r="D9" i="6" s="1"/>
  <c r="F6" i="2" l="1"/>
  <c r="F7" i="2" s="1"/>
  <c r="F8" i="2" s="1"/>
  <c r="E6" i="2"/>
  <c r="E7" i="2" s="1"/>
  <c r="E8" i="2" s="1"/>
  <c r="E9" i="2" s="1"/>
  <c r="N41" i="2" l="1"/>
  <c r="M41" i="2" s="1"/>
  <c r="Q41" i="2" s="1"/>
  <c r="L6" i="2"/>
  <c r="L7" i="2" s="1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N42" i="2" l="1"/>
  <c r="M42" i="2" s="1"/>
  <c r="Q42" i="2" s="1"/>
  <c r="U6" i="2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R10" i="2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R37" i="2" s="1"/>
  <c r="R38" i="2" s="1"/>
  <c r="R39" i="2" s="1"/>
  <c r="R40" i="2" s="1"/>
  <c r="R41" i="2" s="1"/>
  <c r="R42" i="2" s="1"/>
  <c r="R43" i="2" s="1"/>
  <c r="R44" i="2" s="1"/>
  <c r="AA6" i="2"/>
  <c r="AA10" i="2" s="1"/>
  <c r="AA11" i="2" s="1"/>
  <c r="AA12" i="2" s="1"/>
  <c r="AA13" i="2" s="1"/>
  <c r="AA14" i="2" s="1"/>
  <c r="AA15" i="2" s="1"/>
  <c r="AA16" i="2" s="1"/>
  <c r="AA17" i="2" s="1"/>
  <c r="AA18" i="2" s="1"/>
  <c r="AA19" i="2" s="1"/>
  <c r="AA20" i="2" s="1"/>
  <c r="AA21" i="2" s="1"/>
  <c r="AA22" i="2" s="1"/>
  <c r="AA23" i="2" s="1"/>
  <c r="AA24" i="2" s="1"/>
  <c r="AA25" i="2" s="1"/>
  <c r="Z6" i="2"/>
  <c r="Y6" i="2"/>
  <c r="Y10" i="2" s="1"/>
  <c r="Y11" i="2" s="1"/>
  <c r="Y12" i="2" s="1"/>
  <c r="Y13" i="2" s="1"/>
  <c r="Y14" i="2" s="1"/>
  <c r="Y16" i="2" s="1"/>
  <c r="Y17" i="2" s="1"/>
  <c r="Y18" i="2" s="1"/>
  <c r="Y19" i="2" s="1"/>
  <c r="Y20" i="2" s="1"/>
  <c r="Y21" i="2" s="1"/>
  <c r="Y22" i="2" s="1"/>
  <c r="Y23" i="2" s="1"/>
  <c r="Y24" i="2" s="1"/>
  <c r="Y25" i="2" s="1"/>
  <c r="Y26" i="2" s="1"/>
  <c r="Y27" i="2" s="1"/>
  <c r="Y28" i="2" s="1"/>
  <c r="Y29" i="2" s="1"/>
  <c r="Y30" i="2" s="1"/>
  <c r="Y31" i="2" s="1"/>
  <c r="Y32" i="2" s="1"/>
  <c r="Y33" i="2" s="1"/>
  <c r="Y34" i="2" s="1"/>
  <c r="Y35" i="2" s="1"/>
  <c r="Y36" i="2" s="1"/>
  <c r="Y37" i="2" s="1"/>
  <c r="Y38" i="2" s="1"/>
  <c r="Y39" i="2" s="1"/>
  <c r="Y40" i="2" s="1"/>
  <c r="Y41" i="2" s="1"/>
  <c r="Y42" i="2" s="1"/>
  <c r="Y43" i="2" s="1"/>
  <c r="Y44" i="2" s="1"/>
  <c r="X6" i="2"/>
  <c r="W6" i="2"/>
  <c r="W10" i="2" s="1"/>
  <c r="W11" i="2" s="1"/>
  <c r="W12" i="2" s="1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V6" i="2"/>
  <c r="T6" i="2"/>
  <c r="T10" i="2" s="1"/>
  <c r="T11" i="2" s="1"/>
  <c r="T12" i="2" s="1"/>
  <c r="T13" i="2" s="1"/>
  <c r="T14" i="2" s="1"/>
  <c r="T15" i="2" s="1"/>
  <c r="T16" i="2" s="1"/>
  <c r="T17" i="2" s="1"/>
  <c r="T18" i="2" s="1"/>
  <c r="T19" i="2" s="1"/>
  <c r="T20" i="2" s="1"/>
  <c r="T21" i="2" s="1"/>
  <c r="T22" i="2" s="1"/>
  <c r="T23" i="2" s="1"/>
  <c r="T24" i="2" s="1"/>
  <c r="T26" i="2" s="1"/>
  <c r="T27" i="2" s="1"/>
  <c r="T28" i="2" s="1"/>
  <c r="T29" i="2" s="1"/>
  <c r="T30" i="2" s="1"/>
  <c r="T31" i="2" s="1"/>
  <c r="T32" i="2" s="1"/>
  <c r="T33" i="2" s="1"/>
  <c r="T34" i="2" s="1"/>
  <c r="T35" i="2" s="1"/>
  <c r="T36" i="2" s="1"/>
  <c r="T37" i="2" s="1"/>
  <c r="T38" i="2" s="1"/>
  <c r="T39" i="2" s="1"/>
  <c r="T40" i="2" s="1"/>
  <c r="T41" i="2" s="1"/>
  <c r="T42" i="2" s="1"/>
  <c r="T43" i="2" s="1"/>
  <c r="T44" i="2" s="1"/>
  <c r="S6" i="2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N21" i="2"/>
  <c r="M6" i="2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V7" i="2" l="1"/>
  <c r="V8" i="2" s="1"/>
  <c r="V9" i="2" s="1"/>
  <c r="V10" i="2" s="1"/>
  <c r="V11" i="2" s="1"/>
  <c r="V12" i="2" s="1"/>
  <c r="V13" i="2" s="1"/>
  <c r="V14" i="2" s="1"/>
  <c r="V15" i="2" s="1"/>
  <c r="V16" i="2" s="1"/>
  <c r="V17" i="2" s="1"/>
  <c r="V18" i="2" s="1"/>
  <c r="V19" i="2" s="1"/>
  <c r="Z7" i="2"/>
  <c r="Z8" i="2" s="1"/>
  <c r="Z9" i="2" s="1"/>
  <c r="Z10" i="2" s="1"/>
  <c r="Z11" i="2" s="1"/>
  <c r="Z12" i="2" s="1"/>
  <c r="Z13" i="2" s="1"/>
  <c r="Z14" i="2" s="1"/>
  <c r="Z15" i="2" s="1"/>
  <c r="Z16" i="2" s="1"/>
  <c r="Z17" i="2" s="1"/>
  <c r="Z18" i="2" s="1"/>
  <c r="Z19" i="2" s="1"/>
  <c r="Z20" i="2" s="1"/>
  <c r="Z21" i="2" s="1"/>
  <c r="Z22" i="2" s="1"/>
  <c r="Z23" i="2" s="1"/>
  <c r="Z24" i="2" s="1"/>
  <c r="Z25" i="2" s="1"/>
  <c r="Z26" i="2" s="1"/>
  <c r="Z27" i="2" s="1"/>
  <c r="Z28" i="2" s="1"/>
  <c r="Z29" i="2" s="1"/>
  <c r="X7" i="2"/>
  <c r="X8" i="2" s="1"/>
  <c r="X9" i="2" s="1"/>
  <c r="X10" i="2" s="1"/>
  <c r="X11" i="2" s="1"/>
  <c r="X12" i="2" s="1"/>
  <c r="X13" i="2" s="1"/>
  <c r="X14" i="2" s="1"/>
  <c r="N22" i="2"/>
  <c r="M21" i="2"/>
  <c r="N43" i="2"/>
  <c r="M43" i="2" s="1"/>
  <c r="Q43" i="2" s="1"/>
  <c r="AA26" i="2"/>
  <c r="AA27" i="2" s="1"/>
  <c r="AA28" i="2" s="1"/>
  <c r="AA29" i="2" s="1"/>
  <c r="AA30" i="2" s="1"/>
  <c r="AA31" i="2" s="1"/>
  <c r="AA32" i="2" s="1"/>
  <c r="AA33" i="2" s="1"/>
  <c r="AA34" i="2" s="1"/>
  <c r="AA36" i="2" s="1"/>
  <c r="AA37" i="2" s="1"/>
  <c r="AA38" i="2" s="1"/>
  <c r="AA39" i="2" s="1"/>
  <c r="AA40" i="2" s="1"/>
  <c r="AA41" i="2" s="1"/>
  <c r="AA42" i="2" s="1"/>
  <c r="AA43" i="2" s="1"/>
  <c r="AA44" i="2" s="1"/>
  <c r="V20" i="2" l="1"/>
  <c r="V21" i="2" s="1"/>
  <c r="V22" i="2" s="1"/>
  <c r="V23" i="2" s="1"/>
  <c r="V24" i="2" s="1"/>
  <c r="V25" i="2" s="1"/>
  <c r="V26" i="2" s="1"/>
  <c r="V27" i="2" s="1"/>
  <c r="V28" i="2" s="1"/>
  <c r="V29" i="2" s="1"/>
  <c r="V30" i="2" s="1"/>
  <c r="V31" i="2" s="1"/>
  <c r="V32" i="2" s="1"/>
  <c r="V33" i="2" s="1"/>
  <c r="V34" i="2" s="1"/>
  <c r="V35" i="2" s="1"/>
  <c r="V36" i="2" s="1"/>
  <c r="V37" i="2" s="1"/>
  <c r="V38" i="2" s="1"/>
  <c r="V39" i="2" s="1"/>
  <c r="Z30" i="2"/>
  <c r="Z31" i="2" s="1"/>
  <c r="Z32" i="2" s="1"/>
  <c r="Z33" i="2" s="1"/>
  <c r="Z34" i="2" s="1"/>
  <c r="Z35" i="2" s="1"/>
  <c r="Z36" i="2" s="1"/>
  <c r="Z37" i="2" s="1"/>
  <c r="Z38" i="2" s="1"/>
  <c r="Z39" i="2" s="1"/>
  <c r="Z40" i="2" s="1"/>
  <c r="X15" i="2"/>
  <c r="X16" i="2" s="1"/>
  <c r="X17" i="2" s="1"/>
  <c r="X18" i="2" s="1"/>
  <c r="X19" i="2" s="1"/>
  <c r="X20" i="2" s="1"/>
  <c r="X21" i="2" s="1"/>
  <c r="X22" i="2" s="1"/>
  <c r="X23" i="2" s="1"/>
  <c r="X24" i="2" s="1"/>
  <c r="X25" i="2" s="1"/>
  <c r="X26" i="2" s="1"/>
  <c r="X27" i="2" s="1"/>
  <c r="X28" i="2" s="1"/>
  <c r="X29" i="2" s="1"/>
  <c r="X30" i="2" s="1"/>
  <c r="X31" i="2" s="1"/>
  <c r="X32" i="2" s="1"/>
  <c r="X33" i="2" s="1"/>
  <c r="X34" i="2" s="1"/>
  <c r="N23" i="2"/>
  <c r="M22" i="2"/>
  <c r="N44" i="2"/>
  <c r="M44" i="2" s="1"/>
  <c r="Q44" i="2" s="1"/>
  <c r="V40" i="2" l="1"/>
  <c r="V41" i="2" s="1"/>
  <c r="V42" i="2" s="1"/>
  <c r="V43" i="2" s="1"/>
  <c r="V44" i="2" s="1"/>
  <c r="Z41" i="2"/>
  <c r="Z42" i="2" s="1"/>
  <c r="X35" i="2"/>
  <c r="X36" i="2" s="1"/>
  <c r="X37" i="2" s="1"/>
  <c r="X38" i="2" s="1"/>
  <c r="X39" i="2" s="1"/>
  <c r="X40" i="2" s="1"/>
  <c r="X41" i="2" s="1"/>
  <c r="N24" i="2"/>
  <c r="M23" i="2"/>
  <c r="Z43" i="2" l="1"/>
  <c r="Z44" i="2" s="1"/>
  <c r="X42" i="2"/>
  <c r="X43" i="2" s="1"/>
  <c r="X44" i="2" s="1"/>
  <c r="N25" i="2"/>
  <c r="M24" i="2"/>
  <c r="N26" i="2" l="1"/>
  <c r="M25" i="2"/>
  <c r="D10" i="1"/>
  <c r="D11" i="1" s="1"/>
  <c r="D12" i="1" s="1"/>
  <c r="D13" i="1" s="1"/>
  <c r="D14" i="1" s="1"/>
  <c r="D15" i="1" s="1"/>
  <c r="D4" i="1"/>
  <c r="D5" i="1" s="1"/>
  <c r="N27" i="2" l="1"/>
  <c r="M26" i="2"/>
  <c r="D6" i="1"/>
  <c r="D7" i="1" s="1"/>
  <c r="D8" i="1" s="1"/>
  <c r="D17" i="1"/>
  <c r="N28" i="2" l="1"/>
  <c r="M27" i="2"/>
  <c r="D18" i="1"/>
  <c r="D19" i="1" s="1"/>
  <c r="D20" i="1" s="1"/>
  <c r="D21" i="1" s="1"/>
  <c r="D22" i="1" s="1"/>
  <c r="D24" i="1"/>
  <c r="D25" i="1" s="1"/>
  <c r="D26" i="1" s="1"/>
  <c r="D27" i="1" s="1"/>
  <c r="D28" i="1" s="1"/>
  <c r="D29" i="1" s="1"/>
  <c r="N29" i="2" l="1"/>
  <c r="M28" i="2"/>
  <c r="M29" i="2" l="1"/>
  <c r="N30" i="2"/>
  <c r="M30" i="2" l="1"/>
  <c r="N31" i="2"/>
  <c r="N32" i="2" l="1"/>
  <c r="M31" i="2"/>
  <c r="N33" i="2" l="1"/>
  <c r="M32" i="2"/>
  <c r="N34" i="2" l="1"/>
  <c r="M33" i="2"/>
  <c r="N35" i="2" l="1"/>
  <c r="M34" i="2"/>
  <c r="N36" i="2" l="1"/>
  <c r="M35" i="2"/>
  <c r="N37" i="2" l="1"/>
  <c r="M36" i="2"/>
  <c r="N38" i="2" l="1"/>
  <c r="M37" i="2"/>
  <c r="N39" i="2" l="1"/>
  <c r="M39" i="2" s="1"/>
  <c r="M38" i="2"/>
  <c r="H19" i="13" l="1"/>
  <c r="E21" i="13"/>
</calcChain>
</file>

<file path=xl/comments1.xml><?xml version="1.0" encoding="utf-8"?>
<comments xmlns="http://schemas.openxmlformats.org/spreadsheetml/2006/main">
  <authors>
    <author>Joongwon</author>
  </authors>
  <commentList>
    <comment ref="N38" authorId="0" shapeId="0">
      <text>
        <r>
          <rPr>
            <b/>
            <sz val="9"/>
            <color indexed="81"/>
            <rFont val="Tahoma"/>
            <family val="2"/>
          </rPr>
          <t>1~5 Slot</t>
        </r>
      </text>
    </comment>
    <comment ref="Q38" authorId="0" shapeId="0">
      <text>
        <r>
          <rPr>
            <b/>
            <sz val="9"/>
            <color indexed="81"/>
            <rFont val="돋움"/>
            <family val="3"/>
            <charset val="129"/>
          </rPr>
          <t>업데이트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조력자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조각</t>
        </r>
      </text>
    </comment>
    <comment ref="N39" authorId="0" shapeId="0">
      <text>
        <r>
          <rPr>
            <b/>
            <sz val="9"/>
            <color indexed="81"/>
            <rFont val="Tahoma"/>
            <family val="2"/>
          </rPr>
          <t>6 Slot</t>
        </r>
      </text>
    </comment>
    <comment ref="O39" authorId="0" shapeId="0">
      <text>
        <r>
          <rPr>
            <b/>
            <sz val="9"/>
            <color indexed="81"/>
            <rFont val="돋움"/>
            <family val="3"/>
            <charset val="129"/>
          </rPr>
          <t>뽑기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보너스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보상</t>
        </r>
      </text>
    </comment>
  </commentList>
</comments>
</file>

<file path=xl/comments2.xml><?xml version="1.0" encoding="utf-8"?>
<comments xmlns="http://schemas.openxmlformats.org/spreadsheetml/2006/main">
  <authors>
    <author>Joongwon</author>
  </authors>
  <commentList>
    <comment ref="D2" authorId="0" shapeId="0">
      <text>
        <r>
          <rPr>
            <b/>
            <sz val="9"/>
            <color indexed="81"/>
            <rFont val="돋움"/>
            <family val="3"/>
            <charset val="129"/>
          </rPr>
          <t>장비</t>
        </r>
        <r>
          <rPr>
            <b/>
            <sz val="9"/>
            <color indexed="81"/>
            <rFont val="Tahoma"/>
            <family val="2"/>
            <charset val="129"/>
          </rPr>
          <t>&amp;</t>
        </r>
        <r>
          <rPr>
            <b/>
            <sz val="9"/>
            <color indexed="81"/>
            <rFont val="돋움"/>
            <family val="3"/>
            <charset val="129"/>
          </rPr>
          <t>티켓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총합이</t>
        </r>
        <r>
          <rPr>
            <b/>
            <sz val="9"/>
            <color indexed="81"/>
            <rFont val="Tahoma"/>
            <family val="2"/>
            <charset val="129"/>
          </rPr>
          <t xml:space="preserve"> 100</t>
        </r>
        <r>
          <rPr>
            <b/>
            <sz val="9"/>
            <color indexed="81"/>
            <rFont val="돋움"/>
            <family val="3"/>
            <charset val="129"/>
          </rPr>
          <t>이며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최소수량과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최대수량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사이에서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당첨횟수를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먼저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결정하고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횟수만큼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결정한다</t>
        </r>
        <r>
          <rPr>
            <b/>
            <sz val="9"/>
            <color indexed="81"/>
            <rFont val="Tahoma"/>
            <family val="2"/>
            <charset val="129"/>
          </rPr>
          <t>.</t>
        </r>
      </text>
    </comment>
    <comment ref="J2" authorId="0" shapeId="0">
      <text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총합이</t>
        </r>
        <r>
          <rPr>
            <b/>
            <sz val="9"/>
            <color indexed="81"/>
            <rFont val="Tahoma"/>
            <family val="2"/>
            <charset val="129"/>
          </rPr>
          <t xml:space="preserve"> 100</t>
        </r>
        <r>
          <rPr>
            <b/>
            <sz val="9"/>
            <color indexed="81"/>
            <rFont val="돋움"/>
            <family val="3"/>
            <charset val="129"/>
          </rPr>
          <t>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아니며</t>
        </r>
        <r>
          <rPr>
            <b/>
            <sz val="9"/>
            <color indexed="81"/>
            <rFont val="Tahoma"/>
            <family val="2"/>
            <charset val="129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최소수량과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수량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Tahoma"/>
            <family val="2"/>
            <charset val="129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설정하여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아이템만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있거나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없을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있다</t>
        </r>
        <r>
          <rPr>
            <b/>
            <sz val="9"/>
            <color indexed="81"/>
            <rFont val="Tahoma"/>
            <family val="2"/>
            <charset val="129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개별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아이템에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설정된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획득확률에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의해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당첨여부를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판단하고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더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이상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당첨확인을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않는다</t>
        </r>
        <r>
          <rPr>
            <b/>
            <sz val="9"/>
            <color indexed="81"/>
            <rFont val="Tahoma"/>
            <family val="2"/>
            <charset val="129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최종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확인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당첨되지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있다</t>
        </r>
        <r>
          <rPr>
            <b/>
            <sz val="9"/>
            <color indexed="81"/>
            <rFont val="Tahoma"/>
            <family val="2"/>
            <charset val="129"/>
          </rPr>
          <t>.</t>
        </r>
      </text>
    </comment>
  </commentList>
</comments>
</file>

<file path=xl/comments3.xml><?xml version="1.0" encoding="utf-8"?>
<comments xmlns="http://schemas.openxmlformats.org/spreadsheetml/2006/main">
  <authors>
    <author>JoSoowoon</author>
  </authors>
  <commentList>
    <comment ref="G2" authorId="0" shapeId="0">
      <text>
        <r>
          <rPr>
            <b/>
            <sz val="9"/>
            <color indexed="8"/>
            <rFont val="돋움"/>
            <family val="3"/>
            <charset val="129"/>
          </rPr>
          <t>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획득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반복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횟수</t>
        </r>
      </text>
    </comment>
    <comment ref="I2" authorId="0" shapeId="0">
      <text>
        <r>
          <rPr>
            <b/>
            <sz val="9"/>
            <color indexed="8"/>
            <rFont val="돋움"/>
            <family val="3"/>
            <charset val="129"/>
          </rPr>
          <t>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획득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반복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횟수</t>
        </r>
      </text>
    </comment>
  </commentList>
</comments>
</file>

<file path=xl/sharedStrings.xml><?xml version="1.0" encoding="utf-8"?>
<sst xmlns="http://schemas.openxmlformats.org/spreadsheetml/2006/main" count="3218" uniqueCount="1608">
  <si>
    <t>Stage 1</t>
    <phoneticPr fontId="2" type="noConversion"/>
  </si>
  <si>
    <t>Stage 2</t>
  </si>
  <si>
    <t>Stage 3</t>
  </si>
  <si>
    <t>Stage 4</t>
  </si>
  <si>
    <t>Stage 6</t>
  </si>
  <si>
    <t>Stage 7</t>
  </si>
  <si>
    <t>Stage 8</t>
  </si>
  <si>
    <t>Stage 10</t>
  </si>
  <si>
    <t>V</t>
    <phoneticPr fontId="2" type="noConversion"/>
  </si>
  <si>
    <t>Act1</t>
    <phoneticPr fontId="2" type="noConversion"/>
  </si>
  <si>
    <t>Act2</t>
  </si>
  <si>
    <t>Act3</t>
  </si>
  <si>
    <t>Act4</t>
  </si>
  <si>
    <t>Act5</t>
  </si>
  <si>
    <t>Act6</t>
  </si>
  <si>
    <t>Act7</t>
  </si>
  <si>
    <t>Act8</t>
  </si>
  <si>
    <t>Shoes</t>
    <phoneticPr fontId="2" type="noConversion"/>
  </si>
  <si>
    <t>Pants</t>
    <phoneticPr fontId="2" type="noConversion"/>
  </si>
  <si>
    <t>Glove</t>
    <phoneticPr fontId="2" type="noConversion"/>
  </si>
  <si>
    <t>Head</t>
    <phoneticPr fontId="2" type="noConversion"/>
  </si>
  <si>
    <t>Body</t>
    <phoneticPr fontId="2" type="noConversion"/>
  </si>
  <si>
    <t>Weapon</t>
    <phoneticPr fontId="2" type="noConversion"/>
  </si>
  <si>
    <t>Stage 5</t>
    <phoneticPr fontId="2" type="noConversion"/>
  </si>
  <si>
    <t>Stage 9</t>
    <phoneticPr fontId="2" type="noConversion"/>
  </si>
  <si>
    <t>일반 던전</t>
    <phoneticPr fontId="2" type="noConversion"/>
  </si>
  <si>
    <t>요일던전</t>
    <phoneticPr fontId="2" type="noConversion"/>
  </si>
  <si>
    <t>균열던전</t>
    <phoneticPr fontId="2" type="noConversion"/>
  </si>
  <si>
    <t>초월던전</t>
    <phoneticPr fontId="2" type="noConversion"/>
  </si>
  <si>
    <t>뽑기상점</t>
    <phoneticPr fontId="2" type="noConversion"/>
  </si>
  <si>
    <t>출석보상</t>
    <phoneticPr fontId="2" type="noConversion"/>
  </si>
  <si>
    <t>업적보상</t>
    <phoneticPr fontId="2" type="noConversion"/>
  </si>
  <si>
    <t>무기</t>
    <phoneticPr fontId="2" type="noConversion"/>
  </si>
  <si>
    <t>투구</t>
    <phoneticPr fontId="2" type="noConversion"/>
  </si>
  <si>
    <t>하의</t>
    <phoneticPr fontId="2" type="noConversion"/>
  </si>
  <si>
    <t>장갑</t>
    <phoneticPr fontId="2" type="noConversion"/>
  </si>
  <si>
    <t>방어구</t>
    <phoneticPr fontId="2" type="noConversion"/>
  </si>
  <si>
    <t>장신구</t>
    <phoneticPr fontId="2" type="noConversion"/>
  </si>
  <si>
    <t>목걸이</t>
    <phoneticPr fontId="2" type="noConversion"/>
  </si>
  <si>
    <t>반지</t>
    <phoneticPr fontId="2" type="noConversion"/>
  </si>
  <si>
    <t>조력자</t>
    <phoneticPr fontId="2" type="noConversion"/>
  </si>
  <si>
    <t>룬스톤</t>
    <phoneticPr fontId="2" type="noConversion"/>
  </si>
  <si>
    <t>용맹의룬</t>
    <phoneticPr fontId="2" type="noConversion"/>
  </si>
  <si>
    <t>수호의룬</t>
    <phoneticPr fontId="2" type="noConversion"/>
  </si>
  <si>
    <t>지혜의룬</t>
    <phoneticPr fontId="2" type="noConversion"/>
  </si>
  <si>
    <t>재능의룬</t>
    <phoneticPr fontId="2" type="noConversion"/>
  </si>
  <si>
    <t>재화</t>
    <phoneticPr fontId="2" type="noConversion"/>
  </si>
  <si>
    <t>골드</t>
    <phoneticPr fontId="2" type="noConversion"/>
  </si>
  <si>
    <t>젬</t>
    <phoneticPr fontId="2" type="noConversion"/>
  </si>
  <si>
    <t>열쇠</t>
    <phoneticPr fontId="2" type="noConversion"/>
  </si>
  <si>
    <t>수호석</t>
    <phoneticPr fontId="2" type="noConversion"/>
  </si>
  <si>
    <t>길드전</t>
    <phoneticPr fontId="2" type="noConversion"/>
  </si>
  <si>
    <t>뽑기권</t>
    <phoneticPr fontId="2" type="noConversion"/>
  </si>
  <si>
    <t>V</t>
    <phoneticPr fontId="2" type="noConversion"/>
  </si>
  <si>
    <t>부츠</t>
    <phoneticPr fontId="2" type="noConversion"/>
  </si>
  <si>
    <t>승급
아이템</t>
    <phoneticPr fontId="2" type="noConversion"/>
  </si>
  <si>
    <t>상점</t>
    <phoneticPr fontId="2" type="noConversion"/>
  </si>
  <si>
    <t>보상</t>
    <phoneticPr fontId="2" type="noConversion"/>
  </si>
  <si>
    <t>정예 던전</t>
    <phoneticPr fontId="2" type="noConversion"/>
  </si>
  <si>
    <t>월정액</t>
    <phoneticPr fontId="2" type="noConversion"/>
  </si>
  <si>
    <t>던전반복보상</t>
    <phoneticPr fontId="2" type="noConversion"/>
  </si>
  <si>
    <t>패키지상점</t>
    <phoneticPr fontId="2" type="noConversion"/>
  </si>
  <si>
    <t>아바타</t>
    <phoneticPr fontId="2" type="noConversion"/>
  </si>
  <si>
    <t>트로피</t>
    <phoneticPr fontId="2" type="noConversion"/>
  </si>
  <si>
    <t>기타</t>
    <phoneticPr fontId="2" type="noConversion"/>
  </si>
  <si>
    <t>친구</t>
    <phoneticPr fontId="2" type="noConversion"/>
  </si>
  <si>
    <t>정수</t>
    <phoneticPr fontId="2" type="noConversion"/>
  </si>
  <si>
    <t>물약</t>
    <phoneticPr fontId="2" type="noConversion"/>
  </si>
  <si>
    <t>분해</t>
    <phoneticPr fontId="2" type="noConversion"/>
  </si>
  <si>
    <t>경험치 물약</t>
    <phoneticPr fontId="2" type="noConversion"/>
  </si>
  <si>
    <t>조력자 조각</t>
    <phoneticPr fontId="2" type="noConversion"/>
  </si>
  <si>
    <t>조각상점</t>
    <phoneticPr fontId="2" type="noConversion"/>
  </si>
  <si>
    <t>아바타상점</t>
    <phoneticPr fontId="2" type="noConversion"/>
  </si>
  <si>
    <t>접속보상</t>
    <phoneticPr fontId="2" type="noConversion"/>
  </si>
  <si>
    <t>장신구 뽑기권</t>
    <phoneticPr fontId="2" type="noConversion"/>
  </si>
  <si>
    <t>방어구 뽑기권</t>
    <phoneticPr fontId="2" type="noConversion"/>
  </si>
  <si>
    <t>무기 뽑기권</t>
    <phoneticPr fontId="2" type="noConversion"/>
  </si>
  <si>
    <t>정수 아이템</t>
    <phoneticPr fontId="2" type="noConversion"/>
  </si>
  <si>
    <t>갑옷</t>
    <phoneticPr fontId="2" type="noConversion"/>
  </si>
  <si>
    <t>보물상자</t>
    <phoneticPr fontId="2" type="noConversion"/>
  </si>
  <si>
    <t>보물상자</t>
    <phoneticPr fontId="2" type="noConversion"/>
  </si>
  <si>
    <t>티켓</t>
    <phoneticPr fontId="2" type="noConversion"/>
  </si>
  <si>
    <t>경험치+100%</t>
    <phoneticPr fontId="2" type="noConversion"/>
  </si>
  <si>
    <t>골드+100%</t>
    <phoneticPr fontId="2" type="noConversion"/>
  </si>
  <si>
    <t>즉시완료권</t>
    <phoneticPr fontId="2" type="noConversion"/>
  </si>
  <si>
    <t>버서커</t>
    <phoneticPr fontId="2" type="noConversion"/>
  </si>
  <si>
    <t>장비
등급</t>
    <phoneticPr fontId="2" type="noConversion"/>
  </si>
  <si>
    <t>Stage 5</t>
  </si>
  <si>
    <t>조력자 명칭</t>
    <phoneticPr fontId="2" type="noConversion"/>
  </si>
  <si>
    <t>Index</t>
    <phoneticPr fontId="2" type="noConversion"/>
  </si>
  <si>
    <t>정예던전
조력자 조각</t>
    <phoneticPr fontId="2" type="noConversion"/>
  </si>
  <si>
    <t>아쳐</t>
    <phoneticPr fontId="2" type="noConversion"/>
  </si>
  <si>
    <t>나이트</t>
    <phoneticPr fontId="2" type="noConversion"/>
  </si>
  <si>
    <t>Equip</t>
    <phoneticPr fontId="2" type="noConversion"/>
  </si>
  <si>
    <t>Character</t>
    <phoneticPr fontId="2" type="noConversion"/>
  </si>
  <si>
    <t>Mod</t>
    <phoneticPr fontId="2" type="noConversion"/>
  </si>
  <si>
    <t>Stage</t>
    <phoneticPr fontId="2" type="noConversion"/>
  </si>
  <si>
    <t>Weapon</t>
    <phoneticPr fontId="2" type="noConversion"/>
  </si>
  <si>
    <t>Body</t>
  </si>
  <si>
    <t>Head</t>
  </si>
  <si>
    <t>Glove</t>
  </si>
  <si>
    <t>Pants</t>
  </si>
  <si>
    <t>Shoes</t>
  </si>
  <si>
    <t>Grade 1</t>
    <phoneticPr fontId="2" type="noConversion"/>
  </si>
  <si>
    <t>Grade 2</t>
  </si>
  <si>
    <t>Grade 3</t>
  </si>
  <si>
    <t>Grade 4</t>
  </si>
  <si>
    <t>Grade 5</t>
  </si>
  <si>
    <t>Grade 6</t>
  </si>
  <si>
    <t>Grade 7</t>
  </si>
  <si>
    <t>데몬헌터</t>
    <phoneticPr fontId="2" type="noConversion"/>
  </si>
  <si>
    <t>Set1</t>
    <phoneticPr fontId="2" type="noConversion"/>
  </si>
  <si>
    <t>Set2</t>
  </si>
  <si>
    <t>Set3</t>
  </si>
  <si>
    <t>Set4</t>
  </si>
  <si>
    <t>Set5</t>
  </si>
  <si>
    <t>Set6</t>
  </si>
  <si>
    <t>갑옷 하의
세트</t>
    <phoneticPr fontId="2" type="noConversion"/>
  </si>
  <si>
    <t>무기
세트</t>
    <phoneticPr fontId="2" type="noConversion"/>
  </si>
  <si>
    <t>투구 장갑 부츠
세트</t>
    <phoneticPr fontId="2" type="noConversion"/>
  </si>
  <si>
    <t>Stage 9</t>
  </si>
  <si>
    <t>골드파밍던전 - 난이도 1</t>
  </si>
  <si>
    <t>골드파밍던전 - 난이도 2</t>
  </si>
  <si>
    <t>골드파밍던전 - 난이도 3</t>
  </si>
  <si>
    <t>골드파밍던전 - 난이도 4</t>
  </si>
  <si>
    <t>골드파밍던전 - 난이도 5</t>
  </si>
  <si>
    <t>골드파밍던전 - 난이도 6</t>
  </si>
  <si>
    <t>무기 승급템 파밍던전 - 난이도 1</t>
  </si>
  <si>
    <t>무기 승급템 파밍던전 - 난이도 2</t>
  </si>
  <si>
    <t>무기 승급템 파밍던전 - 난이도 3</t>
  </si>
  <si>
    <t>무기 승급템 파밍던전 - 난이도 4</t>
  </si>
  <si>
    <t>무기 승급템 파밍던전 - 난이도 5</t>
  </si>
  <si>
    <t>무기 승급템 파밍던전 - 난이도 6</t>
  </si>
  <si>
    <t>방어구 승급템 파밍던전 - 난이도 1</t>
  </si>
  <si>
    <t>방어구 승급템 파밍던전 - 난이도 2</t>
  </si>
  <si>
    <t>방어구 승급템 파밍던전 - 난이도 3</t>
  </si>
  <si>
    <t>방어구 승급템 파밍던전 - 난이도 4</t>
  </si>
  <si>
    <t>방어구 승급템 파밍던전 - 난이도 5</t>
  </si>
  <si>
    <t>방어구 승급템 파밍던전 - 난이도 6</t>
  </si>
  <si>
    <t>장신구 승급템 파밍던전 - 난이도 1</t>
    <phoneticPr fontId="27" type="noConversion"/>
  </si>
  <si>
    <t>장신구 승급템 파밍던전 - 난이도 2</t>
  </si>
  <si>
    <t>장신구 승급템 파밍던전 - 난이도 3</t>
  </si>
  <si>
    <t>장신구 승급템 파밍던전 - 난이도 4</t>
  </si>
  <si>
    <t>장신구 승급템 파밍던전 - 난이도 5</t>
  </si>
  <si>
    <t>장신구 승급템 파밍던전 - 난이도 6</t>
  </si>
  <si>
    <t>룬 파밍던전 - 난이도 2</t>
  </si>
  <si>
    <t>룬 파밍던전 - 난이도 3</t>
  </si>
  <si>
    <t>룬 파밍던전 - 난이도 4</t>
  </si>
  <si>
    <t>룬 파밍던전 - 난이도 5</t>
  </si>
  <si>
    <t>룬 파밍던전 - 난이도 6</t>
  </si>
  <si>
    <t>월요일</t>
    <phoneticPr fontId="2" type="noConversion"/>
  </si>
  <si>
    <t>화요일</t>
  </si>
  <si>
    <t>수요일</t>
  </si>
  <si>
    <t>목요일</t>
  </si>
  <si>
    <t>금요일</t>
  </si>
  <si>
    <t>일요일</t>
  </si>
  <si>
    <t>ItemMinCount</t>
  </si>
  <si>
    <t>ItemMaxCount</t>
  </si>
  <si>
    <t>Grade</t>
    <phoneticPr fontId="2" type="noConversion"/>
  </si>
  <si>
    <t>DropRate</t>
  </si>
  <si>
    <t>DOW</t>
    <phoneticPr fontId="2" type="noConversion"/>
  </si>
  <si>
    <t>Dungeon</t>
    <phoneticPr fontId="2" type="noConversion"/>
  </si>
  <si>
    <t>Superior</t>
  </si>
  <si>
    <t>Rare</t>
  </si>
  <si>
    <t>Invalid</t>
  </si>
  <si>
    <t>일반 Ⅰ</t>
    <phoneticPr fontId="2" type="noConversion"/>
  </si>
  <si>
    <t>일반 Ⅱ</t>
  </si>
  <si>
    <t>일반 Ⅲ</t>
  </si>
  <si>
    <t>일반 Ⅳ</t>
  </si>
  <si>
    <t>일반 Ⅴ</t>
  </si>
  <si>
    <t>어려움 Ⅰ</t>
  </si>
  <si>
    <t>어려움 Ⅱ</t>
  </si>
  <si>
    <t>어려움 Ⅲ</t>
  </si>
  <si>
    <t>어려움 Ⅳ</t>
  </si>
  <si>
    <t>어려움 Ⅴ</t>
  </si>
  <si>
    <t>고수 Ⅱ</t>
  </si>
  <si>
    <t>고수 Ⅲ</t>
  </si>
  <si>
    <t>고수 Ⅳ</t>
  </si>
  <si>
    <t>고수 Ⅴ</t>
  </si>
  <si>
    <t>달인 Ⅰ</t>
  </si>
  <si>
    <t>달인 Ⅱ</t>
  </si>
  <si>
    <t>달인 Ⅲ</t>
  </si>
  <si>
    <t>달인 Ⅳ</t>
  </si>
  <si>
    <t>달인 Ⅴ</t>
  </si>
  <si>
    <t>달인 Ⅶ</t>
  </si>
  <si>
    <t>달인 Ⅷ</t>
  </si>
  <si>
    <t>달인 Ⅸ</t>
  </si>
  <si>
    <t>달인 Ⅹ</t>
  </si>
  <si>
    <t>고행 Ⅰ</t>
  </si>
  <si>
    <t>고행 Ⅱ</t>
  </si>
  <si>
    <t>고행 Ⅲ</t>
  </si>
  <si>
    <t>고행 Ⅳ</t>
  </si>
  <si>
    <t>고행 Ⅴ</t>
  </si>
  <si>
    <t>고행 Ⅶ</t>
  </si>
  <si>
    <t>고행 Ⅷ</t>
  </si>
  <si>
    <t>고행 Ⅸ</t>
  </si>
  <si>
    <t>고행 Ⅹ</t>
  </si>
  <si>
    <t>고행 ⅩⅠ</t>
  </si>
  <si>
    <t>고행 ⅩⅡ</t>
  </si>
  <si>
    <t>고행 ⅩⅢ</t>
  </si>
  <si>
    <t>고행 ⅩⅣ</t>
  </si>
  <si>
    <t>고행 ⅩⅤ</t>
  </si>
  <si>
    <t>Min</t>
    <phoneticPr fontId="2" type="noConversion"/>
  </si>
  <si>
    <t>Max</t>
    <phoneticPr fontId="2" type="noConversion"/>
  </si>
  <si>
    <t>고수 Ⅰ</t>
    <phoneticPr fontId="2" type="noConversion"/>
  </si>
  <si>
    <t>달인 Ⅵ</t>
    <phoneticPr fontId="2" type="noConversion"/>
  </si>
  <si>
    <t>고행 Ⅵ</t>
    <phoneticPr fontId="2" type="noConversion"/>
  </si>
  <si>
    <t>Wave 1</t>
    <phoneticPr fontId="2" type="noConversion"/>
  </si>
  <si>
    <t>Wave 2</t>
  </si>
  <si>
    <t>Wave 3</t>
  </si>
  <si>
    <t>Wave 4</t>
  </si>
  <si>
    <t>Wave 5</t>
  </si>
  <si>
    <t>Difficult</t>
    <phoneticPr fontId="2" type="noConversion"/>
  </si>
  <si>
    <t>Step</t>
    <phoneticPr fontId="2" type="noConversion"/>
  </si>
  <si>
    <t>RiftStone Count - MapInfo</t>
    <phoneticPr fontId="2" type="noConversion"/>
  </si>
  <si>
    <t>RiftStone DropRate(%) - RewardInfo</t>
    <phoneticPr fontId="2" type="noConversion"/>
  </si>
  <si>
    <t>Necklace DropRate(20%) - RewardInfo</t>
    <phoneticPr fontId="2" type="noConversion"/>
  </si>
  <si>
    <t>Step Min</t>
    <phoneticPr fontId="2" type="noConversion"/>
  </si>
  <si>
    <t>Step Max</t>
    <phoneticPr fontId="2" type="noConversion"/>
  </si>
  <si>
    <t>Type</t>
    <phoneticPr fontId="2" type="noConversion"/>
  </si>
  <si>
    <t>DropRate(%)</t>
    <phoneticPr fontId="2" type="noConversion"/>
  </si>
  <si>
    <t>최초지급</t>
    <phoneticPr fontId="2" type="noConversion"/>
  </si>
  <si>
    <t>Mod</t>
    <phoneticPr fontId="2" type="noConversion"/>
  </si>
  <si>
    <t>일반던전</t>
    <phoneticPr fontId="2" type="noConversion"/>
  </si>
  <si>
    <t>Act</t>
    <phoneticPr fontId="2" type="noConversion"/>
  </si>
  <si>
    <t>Act 1</t>
    <phoneticPr fontId="2" type="noConversion"/>
  </si>
  <si>
    <t>Act 2</t>
  </si>
  <si>
    <t>Act 3</t>
  </si>
  <si>
    <t>Act 4</t>
  </si>
  <si>
    <t>Act 5</t>
  </si>
  <si>
    <t>Act 6</t>
  </si>
  <si>
    <t>Act 7</t>
  </si>
  <si>
    <t>Act 8</t>
  </si>
  <si>
    <t>FirstRewardType</t>
    <phoneticPr fontId="2" type="noConversion"/>
  </si>
  <si>
    <t>FirstRewardCount</t>
    <phoneticPr fontId="2" type="noConversion"/>
  </si>
  <si>
    <t>Gem</t>
    <phoneticPr fontId="2" type="noConversion"/>
  </si>
  <si>
    <t>RepeatRewardType</t>
    <phoneticPr fontId="2" type="noConversion"/>
  </si>
  <si>
    <t>RepeatRewardCount</t>
    <phoneticPr fontId="2" type="noConversion"/>
  </si>
  <si>
    <t>정예던전</t>
    <phoneticPr fontId="2" type="noConversion"/>
  </si>
  <si>
    <t>FirstDungeonClearCount</t>
    <phoneticPr fontId="2" type="noConversion"/>
  </si>
  <si>
    <t>RepetitionDungeonClearCount</t>
    <phoneticPr fontId="2" type="noConversion"/>
  </si>
  <si>
    <t>골드</t>
    <phoneticPr fontId="2" type="noConversion"/>
  </si>
  <si>
    <t>열쇠</t>
    <phoneticPr fontId="2" type="noConversion"/>
  </si>
  <si>
    <t>기본 출석보상</t>
    <phoneticPr fontId="2" type="noConversion"/>
  </si>
  <si>
    <t>기본 출석보상 합계</t>
    <phoneticPr fontId="2" type="noConversion"/>
  </si>
  <si>
    <t>이달의 연속출석 보상</t>
    <phoneticPr fontId="2" type="noConversion"/>
  </si>
  <si>
    <t>이달의 연속출석 합계</t>
    <phoneticPr fontId="2" type="noConversion"/>
  </si>
  <si>
    <t>Step</t>
    <phoneticPr fontId="2" type="noConversion"/>
  </si>
  <si>
    <t>Equip Item Count 
- MapInfo</t>
    <phoneticPr fontId="2" type="noConversion"/>
  </si>
  <si>
    <t>DropRate(80%)
- RewardInfo</t>
    <phoneticPr fontId="2" type="noConversion"/>
  </si>
  <si>
    <t>Ring Item DropRate(20%) - RewardInfo</t>
    <phoneticPr fontId="2" type="noConversion"/>
  </si>
  <si>
    <t xml:space="preserve"> DropRate(80%)
- RewardInfo</t>
    <phoneticPr fontId="2" type="noConversion"/>
  </si>
  <si>
    <t>* 1일 3회 입장이 가능하므로 1일 최대 획득가능량은 X300%임</t>
    <phoneticPr fontId="2" type="noConversion"/>
  </si>
  <si>
    <t>*매월 1일 초기화 / 미출석시 초기화</t>
    <phoneticPr fontId="2" type="noConversion"/>
  </si>
  <si>
    <t>결투장</t>
    <phoneticPr fontId="2" type="noConversion"/>
  </si>
  <si>
    <t>V</t>
    <phoneticPr fontId="2" type="noConversion"/>
  </si>
  <si>
    <t>4성 무기</t>
  </si>
  <si>
    <t>4성 룬</t>
  </si>
  <si>
    <t>5성 무기</t>
  </si>
  <si>
    <t>룬</t>
  </si>
  <si>
    <t>장신구</t>
  </si>
  <si>
    <t>방어구</t>
  </si>
  <si>
    <t>무기</t>
  </si>
  <si>
    <t>4성 장신구</t>
    <phoneticPr fontId="2" type="noConversion"/>
  </si>
  <si>
    <t>3성 룬</t>
    <phoneticPr fontId="2" type="noConversion"/>
  </si>
  <si>
    <t>5성 장신구</t>
    <phoneticPr fontId="2" type="noConversion"/>
  </si>
  <si>
    <t>5성 방어구</t>
    <phoneticPr fontId="2" type="noConversion"/>
  </si>
  <si>
    <t>4성 방어구</t>
    <phoneticPr fontId="2" type="noConversion"/>
  </si>
  <si>
    <t>젬</t>
    <phoneticPr fontId="2" type="noConversion"/>
  </si>
  <si>
    <t>V</t>
  </si>
  <si>
    <t>155102001</t>
  </si>
  <si>
    <t>155102002</t>
  </si>
  <si>
    <t>155102003</t>
  </si>
  <si>
    <t>155102004</t>
  </si>
  <si>
    <t>155102005</t>
  </si>
  <si>
    <t>155102006</t>
  </si>
  <si>
    <t>155103001</t>
  </si>
  <si>
    <t>155103002</t>
  </si>
  <si>
    <t>155103003</t>
  </si>
  <si>
    <t>155103004</t>
  </si>
  <si>
    <t>155102001</t>
    <phoneticPr fontId="2" type="noConversion"/>
  </si>
  <si>
    <t>155102002</t>
    <phoneticPr fontId="2" type="noConversion"/>
  </si>
  <si>
    <t>155102003</t>
    <phoneticPr fontId="2" type="noConversion"/>
  </si>
  <si>
    <t>155102004</t>
    <phoneticPr fontId="2" type="noConversion"/>
  </si>
  <si>
    <t>155102005</t>
    <phoneticPr fontId="2" type="noConversion"/>
  </si>
  <si>
    <t>155103002</t>
    <phoneticPr fontId="2" type="noConversion"/>
  </si>
  <si>
    <t>155103004</t>
    <phoneticPr fontId="2" type="noConversion"/>
  </si>
  <si>
    <t>155103001</t>
    <phoneticPr fontId="2" type="noConversion"/>
  </si>
  <si>
    <t>155103003</t>
    <phoneticPr fontId="2" type="noConversion"/>
  </si>
  <si>
    <t>155102006</t>
    <phoneticPr fontId="2" type="noConversion"/>
  </si>
  <si>
    <t>룬 파밍던전 - 난이도 1</t>
    <phoneticPr fontId="2" type="noConversion"/>
  </si>
  <si>
    <t>일반 보상</t>
    <phoneticPr fontId="2" type="noConversion"/>
  </si>
  <si>
    <t>특수 보상</t>
    <phoneticPr fontId="2" type="noConversion"/>
  </si>
  <si>
    <t>종류</t>
    <phoneticPr fontId="2" type="noConversion"/>
  </si>
  <si>
    <t>구분</t>
    <phoneticPr fontId="2" type="noConversion"/>
  </si>
  <si>
    <t>최소수량</t>
    <phoneticPr fontId="2" type="noConversion"/>
  </si>
  <si>
    <t>최대 수량</t>
    <phoneticPr fontId="2" type="noConversion"/>
  </si>
  <si>
    <t>확률</t>
    <phoneticPr fontId="2" type="noConversion"/>
  </si>
  <si>
    <t>일반던전</t>
    <phoneticPr fontId="2" type="noConversion"/>
  </si>
  <si>
    <t>장비</t>
    <phoneticPr fontId="2" type="noConversion"/>
  </si>
  <si>
    <t>무기</t>
    <phoneticPr fontId="2" type="noConversion"/>
  </si>
  <si>
    <t>-</t>
    <phoneticPr fontId="2" type="noConversion"/>
  </si>
  <si>
    <t>투구</t>
    <phoneticPr fontId="2" type="noConversion"/>
  </si>
  <si>
    <t>갑옷</t>
    <phoneticPr fontId="2" type="noConversion"/>
  </si>
  <si>
    <t>하의</t>
    <phoneticPr fontId="2" type="noConversion"/>
  </si>
  <si>
    <t>장갑</t>
    <phoneticPr fontId="2" type="noConversion"/>
  </si>
  <si>
    <t>부츠</t>
    <phoneticPr fontId="2" type="noConversion"/>
  </si>
  <si>
    <t>티켓</t>
    <phoneticPr fontId="2" type="noConversion"/>
  </si>
  <si>
    <t>아이템 100% 증가 권</t>
    <phoneticPr fontId="2" type="noConversion"/>
  </si>
  <si>
    <t>경험치 100% 증가 권</t>
  </si>
  <si>
    <t>골드 100% 증가 권</t>
  </si>
  <si>
    <t>즉시 완료 권</t>
  </si>
  <si>
    <t>정예던전</t>
    <phoneticPr fontId="2" type="noConversion"/>
  </si>
  <si>
    <t>장비</t>
    <phoneticPr fontId="2" type="noConversion"/>
  </si>
  <si>
    <t>무기</t>
    <phoneticPr fontId="2" type="noConversion"/>
  </si>
  <si>
    <t>조력자 조각</t>
    <phoneticPr fontId="2" type="noConversion"/>
  </si>
  <si>
    <t>조력자 조각 16종</t>
    <phoneticPr fontId="2" type="noConversion"/>
  </si>
  <si>
    <t>하의</t>
    <phoneticPr fontId="2" type="noConversion"/>
  </si>
  <si>
    <t>장갑</t>
    <phoneticPr fontId="2" type="noConversion"/>
  </si>
  <si>
    <t>부츠</t>
    <phoneticPr fontId="2" type="noConversion"/>
  </si>
  <si>
    <t>티켓</t>
    <phoneticPr fontId="2" type="noConversion"/>
  </si>
  <si>
    <t>아이템 100% 증가 권</t>
    <phoneticPr fontId="2" type="noConversion"/>
  </si>
  <si>
    <t>요일던전</t>
    <phoneticPr fontId="2" type="noConversion"/>
  </si>
  <si>
    <t>무기 승급템</t>
    <phoneticPr fontId="2" type="noConversion"/>
  </si>
  <si>
    <t>무기 승급템 파밍던전 - 난이도 1</t>
    <phoneticPr fontId="2" type="noConversion"/>
  </si>
  <si>
    <t>방어구 승급템</t>
    <phoneticPr fontId="2" type="noConversion"/>
  </si>
  <si>
    <t>장신구 승급템</t>
    <phoneticPr fontId="2" type="noConversion"/>
  </si>
  <si>
    <t>장신구 승급템 파밍던전 - 난이도 1</t>
    <phoneticPr fontId="27" type="noConversion"/>
  </si>
  <si>
    <t>룬스톤</t>
    <phoneticPr fontId="2" type="noConversion"/>
  </si>
  <si>
    <t>룬 파밍던전 - 난이도 1</t>
    <phoneticPr fontId="2" type="noConversion"/>
  </si>
  <si>
    <t>골드</t>
    <phoneticPr fontId="2" type="noConversion"/>
  </si>
  <si>
    <t>균열던전</t>
    <phoneticPr fontId="2" type="noConversion"/>
  </si>
  <si>
    <t>균열석</t>
    <phoneticPr fontId="2" type="noConversion"/>
  </si>
  <si>
    <t>난이도 1 ~ 5단계</t>
    <phoneticPr fontId="2" type="noConversion"/>
  </si>
  <si>
    <t>90~92%</t>
    <phoneticPr fontId="2" type="noConversion"/>
  </si>
  <si>
    <t>난이도 5 ~ 10단계</t>
    <phoneticPr fontId="2" type="noConversion"/>
  </si>
  <si>
    <t>92.5~94.5%</t>
    <phoneticPr fontId="2" type="noConversion"/>
  </si>
  <si>
    <t>난이도 11 ~ 15단계</t>
    <phoneticPr fontId="2" type="noConversion"/>
  </si>
  <si>
    <t>95~97%</t>
    <phoneticPr fontId="2" type="noConversion"/>
  </si>
  <si>
    <t>난이도 16 ~ 20단계</t>
    <phoneticPr fontId="2" type="noConversion"/>
  </si>
  <si>
    <t>난이도 21 ~ 25단계</t>
    <phoneticPr fontId="2" type="noConversion"/>
  </si>
  <si>
    <t>난이도 26 ~ 30단계</t>
    <phoneticPr fontId="2" type="noConversion"/>
  </si>
  <si>
    <t>장신구</t>
    <phoneticPr fontId="2" type="noConversion"/>
  </si>
  <si>
    <t>목걸이</t>
    <phoneticPr fontId="2" type="noConversion"/>
  </si>
  <si>
    <t>난이도 31 ~ 35단계</t>
    <phoneticPr fontId="2" type="noConversion"/>
  </si>
  <si>
    <t>난이도 36 ~ 40단계</t>
    <phoneticPr fontId="2" type="noConversion"/>
  </si>
  <si>
    <t>초월던전</t>
    <phoneticPr fontId="2" type="noConversion"/>
  </si>
  <si>
    <t>수호석</t>
    <phoneticPr fontId="2" type="noConversion"/>
  </si>
  <si>
    <t>최초 지급</t>
    <phoneticPr fontId="2" type="noConversion"/>
  </si>
  <si>
    <t>12종 랜덤 지급</t>
    <phoneticPr fontId="2" type="noConversion"/>
  </si>
  <si>
    <t>97.5~99.5%</t>
    <phoneticPr fontId="2" type="noConversion"/>
  </si>
  <si>
    <t>입장권
소비량</t>
    <phoneticPr fontId="2" type="noConversion"/>
  </si>
  <si>
    <t>행동력 3개</t>
    <phoneticPr fontId="2" type="noConversion"/>
  </si>
  <si>
    <t>행동력 6개
1일 3회</t>
    <phoneticPr fontId="2" type="noConversion"/>
  </si>
  <si>
    <t>행동력 0개
1일 3회</t>
    <phoneticPr fontId="2" type="noConversion"/>
  </si>
  <si>
    <t>행동력 3개
1일 5회</t>
    <phoneticPr fontId="2" type="noConversion"/>
  </si>
  <si>
    <t>균열석 1개</t>
    <phoneticPr fontId="2" type="noConversion"/>
  </si>
  <si>
    <t>조력자 경험치 물약 경험치량 - 작은 물약</t>
    <phoneticPr fontId="2" type="noConversion"/>
  </si>
  <si>
    <t>50</t>
    <phoneticPr fontId="2" type="noConversion"/>
  </si>
  <si>
    <t>조력자 경험치 물약 경험치량 - 중형 물약</t>
    <phoneticPr fontId="2" type="noConversion"/>
  </si>
  <si>
    <t>조력자 경험치 물약 경험치량 - 대형 물약</t>
    <phoneticPr fontId="2" type="noConversion"/>
  </si>
  <si>
    <t>조력자 경험치 물약 경험치량 - 초대형 물약</t>
    <phoneticPr fontId="2" type="noConversion"/>
  </si>
  <si>
    <t>100</t>
    <phoneticPr fontId="2" type="noConversion"/>
  </si>
  <si>
    <t>500</t>
    <phoneticPr fontId="2" type="noConversion"/>
  </si>
  <si>
    <t>1000</t>
    <phoneticPr fontId="2" type="noConversion"/>
  </si>
  <si>
    <t>Min</t>
    <phoneticPr fontId="2" type="noConversion"/>
  </si>
  <si>
    <t>Max</t>
    <phoneticPr fontId="2" type="noConversion"/>
  </si>
  <si>
    <t>NOX</t>
    <phoneticPr fontId="2" type="noConversion"/>
  </si>
  <si>
    <t>NOX</t>
    <phoneticPr fontId="2" type="noConversion"/>
  </si>
  <si>
    <t>결제/환전/열쇠상점</t>
    <phoneticPr fontId="2" type="noConversion"/>
  </si>
  <si>
    <t>조력자 경험치 물약</t>
    <phoneticPr fontId="2" type="noConversion"/>
  </si>
  <si>
    <t>조력자 경험치 작은 물약</t>
    <phoneticPr fontId="2" type="noConversion"/>
  </si>
  <si>
    <t>조력자 경험치 중형 물약</t>
    <phoneticPr fontId="2" type="noConversion"/>
  </si>
  <si>
    <t>조력자 피구르</t>
    <phoneticPr fontId="2" type="noConversion"/>
  </si>
  <si>
    <t>조력자 수페르모</t>
    <phoneticPr fontId="2" type="noConversion"/>
  </si>
  <si>
    <t>조력자 레글리스</t>
    <phoneticPr fontId="2" type="noConversion"/>
  </si>
  <si>
    <t>조력자 베아루스</t>
    <phoneticPr fontId="2" type="noConversion"/>
  </si>
  <si>
    <t>조력자 오넬로</t>
    <phoneticPr fontId="2" type="noConversion"/>
  </si>
  <si>
    <t>조력자 그리모크</t>
    <phoneticPr fontId="2" type="noConversion"/>
  </si>
  <si>
    <t>조력자 데스로크</t>
    <phoneticPr fontId="2" type="noConversion"/>
  </si>
  <si>
    <t>조력자 쿠르크</t>
    <phoneticPr fontId="2" type="noConversion"/>
  </si>
  <si>
    <t>조력자 쿠이안</t>
    <phoneticPr fontId="2" type="noConversion"/>
  </si>
  <si>
    <t>조력자 로켈토즈</t>
    <phoneticPr fontId="2" type="noConversion"/>
  </si>
  <si>
    <t>조력자 드레이크</t>
    <phoneticPr fontId="2" type="noConversion"/>
  </si>
  <si>
    <t>조력자 미아스튜터</t>
    <phoneticPr fontId="2" type="noConversion"/>
  </si>
  <si>
    <t>조력자 케라버그</t>
    <phoneticPr fontId="2" type="noConversion"/>
  </si>
  <si>
    <t>조력자 루스트룸</t>
    <phoneticPr fontId="2" type="noConversion"/>
  </si>
  <si>
    <t>조력자 프리겔리두즈</t>
    <phoneticPr fontId="2" type="noConversion"/>
  </si>
  <si>
    <t>조력자 헤르케리움</t>
    <phoneticPr fontId="2" type="noConversion"/>
  </si>
  <si>
    <t>* 젬 사용하여 추가 입장 가능</t>
    <phoneticPr fontId="2" type="noConversion"/>
  </si>
  <si>
    <t>RewardCount</t>
  </si>
  <si>
    <t>Gold</t>
  </si>
  <si>
    <t>Ticket</t>
  </si>
  <si>
    <t>Gem</t>
  </si>
  <si>
    <t>일일미션</t>
    <phoneticPr fontId="2" type="noConversion"/>
  </si>
  <si>
    <t>List</t>
    <phoneticPr fontId="2" type="noConversion"/>
  </si>
  <si>
    <t>Type</t>
    <phoneticPr fontId="2" type="noConversion"/>
  </si>
  <si>
    <t>업적</t>
    <phoneticPr fontId="2" type="noConversion"/>
  </si>
  <si>
    <t>월간미션</t>
    <phoneticPr fontId="2" type="noConversion"/>
  </si>
  <si>
    <t>주간미션</t>
    <phoneticPr fontId="2" type="noConversion"/>
  </si>
  <si>
    <t>던전 보상</t>
    <phoneticPr fontId="2" type="noConversion"/>
  </si>
  <si>
    <t>[NOX] 무기</t>
    <phoneticPr fontId="2" type="noConversion"/>
  </si>
  <si>
    <t>[NOX] 투구</t>
    <phoneticPr fontId="2" type="noConversion"/>
  </si>
  <si>
    <t>[NOX] 갑옷</t>
    <phoneticPr fontId="2" type="noConversion"/>
  </si>
  <si>
    <t>[NOX] 하의</t>
    <phoneticPr fontId="2" type="noConversion"/>
  </si>
  <si>
    <t>[NOX] 장갑</t>
    <phoneticPr fontId="2" type="noConversion"/>
  </si>
  <si>
    <t>[NOX] 부츠</t>
    <phoneticPr fontId="2" type="noConversion"/>
  </si>
  <si>
    <t>[NOX] 목걸이</t>
    <phoneticPr fontId="2" type="noConversion"/>
  </si>
  <si>
    <t>[NOX] 반지</t>
    <phoneticPr fontId="2" type="noConversion"/>
  </si>
  <si>
    <t>수호레이드</t>
    <phoneticPr fontId="2" type="noConversion"/>
  </si>
  <si>
    <t>Boss</t>
    <phoneticPr fontId="2" type="noConversion"/>
  </si>
  <si>
    <t>난이도 1</t>
    <phoneticPr fontId="2" type="noConversion"/>
  </si>
  <si>
    <t>난이도 2</t>
  </si>
  <si>
    <t>난이도 3</t>
  </si>
  <si>
    <t>난이도 4</t>
  </si>
  <si>
    <t>난이도 5</t>
  </si>
  <si>
    <t>난이도 6</t>
  </si>
  <si>
    <t>Step</t>
    <phoneticPr fontId="2" type="noConversion"/>
  </si>
  <si>
    <t>무기</t>
    <phoneticPr fontId="2" type="noConversion"/>
  </si>
  <si>
    <t>방어구</t>
    <phoneticPr fontId="2" type="noConversion"/>
  </si>
  <si>
    <t>장신구</t>
    <phoneticPr fontId="2" type="noConversion"/>
  </si>
  <si>
    <t>승급아이템</t>
    <phoneticPr fontId="2" type="noConversion"/>
  </si>
  <si>
    <t>룬스톤</t>
    <phoneticPr fontId="2" type="noConversion"/>
  </si>
  <si>
    <t>Item List</t>
    <phoneticPr fontId="2" type="noConversion"/>
  </si>
  <si>
    <t>정수아이템</t>
    <phoneticPr fontId="2" type="noConversion"/>
  </si>
  <si>
    <t>골드</t>
    <phoneticPr fontId="2" type="noConversion"/>
  </si>
  <si>
    <t>젬</t>
    <phoneticPr fontId="2" type="noConversion"/>
  </si>
  <si>
    <t>총합</t>
    <phoneticPr fontId="2" type="noConversion"/>
  </si>
  <si>
    <t>Treasure Chest DropRate(%)</t>
    <phoneticPr fontId="2" type="noConversion"/>
  </si>
  <si>
    <t>Item Grade DropRate(%)</t>
    <phoneticPr fontId="2" type="noConversion"/>
  </si>
  <si>
    <t>&gt; 무기장비 등 등급제 아이템의 등급별 획득 확률</t>
    <phoneticPr fontId="2" type="noConversion"/>
  </si>
  <si>
    <t>&gt; 정수, 골드 등 수량 아이템의 난이도별 수량</t>
    <phoneticPr fontId="2" type="noConversion"/>
  </si>
  <si>
    <t>Min</t>
    <phoneticPr fontId="2" type="noConversion"/>
  </si>
  <si>
    <t>Max</t>
    <phoneticPr fontId="2" type="noConversion"/>
  </si>
  <si>
    <t>Uncommon</t>
    <phoneticPr fontId="2" type="noConversion"/>
  </si>
  <si>
    <t>승급아이템</t>
    <phoneticPr fontId="2" type="noConversion"/>
  </si>
  <si>
    <t>정수아이템</t>
    <phoneticPr fontId="2" type="noConversion"/>
  </si>
  <si>
    <t>골드</t>
    <phoneticPr fontId="2" type="noConversion"/>
  </si>
  <si>
    <t>1번 보물상자</t>
    <phoneticPr fontId="2" type="noConversion"/>
  </si>
  <si>
    <t>1번 보물상자</t>
    <phoneticPr fontId="2" type="noConversion"/>
  </si>
  <si>
    <t>보물상자</t>
    <phoneticPr fontId="2" type="noConversion"/>
  </si>
  <si>
    <t>보물상자</t>
    <phoneticPr fontId="2" type="noConversion"/>
  </si>
  <si>
    <t>&gt; 보물상자 번호별 아이템 종류 구성 비율</t>
    <phoneticPr fontId="2" type="noConversion"/>
  </si>
  <si>
    <t>아이템</t>
    <phoneticPr fontId="2" type="noConversion"/>
  </si>
  <si>
    <t>수량</t>
    <phoneticPr fontId="2" type="noConversion"/>
  </si>
  <si>
    <t>젬</t>
  </si>
  <si>
    <t>골드</t>
    <phoneticPr fontId="2" type="noConversion"/>
  </si>
  <si>
    <t>3~4성 장갑 소환권</t>
    <phoneticPr fontId="2" type="noConversion"/>
  </si>
  <si>
    <t>3~4성 무기 소환권</t>
    <phoneticPr fontId="2" type="noConversion"/>
  </si>
  <si>
    <t>3~4성 투구 소환권</t>
    <phoneticPr fontId="2" type="noConversion"/>
  </si>
  <si>
    <t>3~4성 갑옷 소환권</t>
    <phoneticPr fontId="2" type="noConversion"/>
  </si>
  <si>
    <t>3~4성 하의 소환권</t>
    <phoneticPr fontId="2" type="noConversion"/>
  </si>
  <si>
    <t>3~4성 신발 소환권</t>
    <phoneticPr fontId="2" type="noConversion"/>
  </si>
  <si>
    <t>3~4성 목걸이 소환권</t>
    <phoneticPr fontId="2" type="noConversion"/>
  </si>
  <si>
    <t>3~4성 반지 소환권</t>
    <phoneticPr fontId="2" type="noConversion"/>
  </si>
  <si>
    <t>피구르 조각</t>
    <phoneticPr fontId="2" type="noConversion"/>
  </si>
  <si>
    <t>수페르모 조각</t>
    <phoneticPr fontId="2" type="noConversion"/>
  </si>
  <si>
    <t>베아루스 조각</t>
    <phoneticPr fontId="2" type="noConversion"/>
  </si>
  <si>
    <t>래글리스 조각</t>
    <phoneticPr fontId="2" type="noConversion"/>
  </si>
  <si>
    <t>쿠르크 조각</t>
    <phoneticPr fontId="2" type="noConversion"/>
  </si>
  <si>
    <t>쿠이안 조각</t>
    <phoneticPr fontId="2" type="noConversion"/>
  </si>
  <si>
    <t>케라버그 조각</t>
    <phoneticPr fontId="2" type="noConversion"/>
  </si>
  <si>
    <t>루스트룸 조각</t>
    <phoneticPr fontId="2" type="noConversion"/>
  </si>
  <si>
    <t>요일던전 반복완료보상</t>
  </si>
  <si>
    <t>수호레이드 반복완료보상</t>
  </si>
  <si>
    <t>Gold</t>
    <phoneticPr fontId="2" type="noConversion"/>
  </si>
  <si>
    <t>Gold</t>
    <phoneticPr fontId="2" type="noConversion"/>
  </si>
  <si>
    <t>1성</t>
    <phoneticPr fontId="2" type="noConversion"/>
  </si>
  <si>
    <t>2성</t>
  </si>
  <si>
    <t>3성</t>
  </si>
  <si>
    <t>4성</t>
  </si>
  <si>
    <t>5성</t>
  </si>
  <si>
    <t>6성</t>
  </si>
  <si>
    <t>7성</t>
  </si>
  <si>
    <t>Grade</t>
    <phoneticPr fontId="2" type="noConversion"/>
  </si>
  <si>
    <t>일반 장비 뽑기</t>
    <phoneticPr fontId="2" type="noConversion"/>
  </si>
  <si>
    <t>무기 1성</t>
    <phoneticPr fontId="2" type="noConversion"/>
  </si>
  <si>
    <t>방어구 1성</t>
    <phoneticPr fontId="2" type="noConversion"/>
  </si>
  <si>
    <t>장신구 1성</t>
    <phoneticPr fontId="2" type="noConversion"/>
  </si>
  <si>
    <t>무기 2성</t>
  </si>
  <si>
    <t>방어구 2성</t>
  </si>
  <si>
    <t>장신구 2성</t>
  </si>
  <si>
    <t>무기 3성</t>
  </si>
  <si>
    <t>방어구 3성</t>
  </si>
  <si>
    <t>장신구 3성</t>
  </si>
  <si>
    <t>무기 4성</t>
  </si>
  <si>
    <t>방어구 4성</t>
  </si>
  <si>
    <t>장신구 4성</t>
  </si>
  <si>
    <t>Rate(%)</t>
    <phoneticPr fontId="2" type="noConversion"/>
  </si>
  <si>
    <t>고급 장비 뽑기</t>
    <phoneticPr fontId="2" type="noConversion"/>
  </si>
  <si>
    <t>무기 5성</t>
  </si>
  <si>
    <t>방어구 5성</t>
  </si>
  <si>
    <t>장신구 5성</t>
  </si>
  <si>
    <t>무기 6성</t>
  </si>
  <si>
    <t>방어구 6성</t>
  </si>
  <si>
    <t>장신구 6성</t>
  </si>
  <si>
    <t>무기 7성</t>
  </si>
  <si>
    <t>방어구 7성</t>
  </si>
  <si>
    <t>장신구 7성</t>
  </si>
  <si>
    <t>일반 룬스톤 뽑기</t>
    <phoneticPr fontId="2" type="noConversion"/>
  </si>
  <si>
    <t>룬스톤 1성</t>
    <phoneticPr fontId="2" type="noConversion"/>
  </si>
  <si>
    <t>룬스톤 2성</t>
  </si>
  <si>
    <t>룬스톤 3성</t>
  </si>
  <si>
    <t>룬스톤 4성</t>
  </si>
  <si>
    <t>고급 룬스톤 뽑기</t>
    <phoneticPr fontId="2" type="noConversion"/>
  </si>
  <si>
    <t>룬스톤 5성</t>
  </si>
  <si>
    <t>룬스톤 6성</t>
  </si>
  <si>
    <t>룬스톤 7성</t>
  </si>
  <si>
    <t>* 일반 &amp; 고급 장비 뽑기에서 4~5성 장비 당첨 시 [녹스] 아이템 당첨 가능</t>
    <phoneticPr fontId="2" type="noConversion"/>
  </si>
  <si>
    <t>* 일반 뽑기권에는 [녹스] 아이템 당첨 불가</t>
    <phoneticPr fontId="2" type="noConversion"/>
  </si>
  <si>
    <t>* 무기 일반 아이템 vs [녹스] 무기 아이템 = 81% : 19%</t>
    <phoneticPr fontId="2" type="noConversion"/>
  </si>
  <si>
    <t>* 방어구 일반 아이템 vs [녹스] 방어구 아이템 = 75% : 25%</t>
    <phoneticPr fontId="2" type="noConversion"/>
  </si>
  <si>
    <t>* 장신구 일반 아이템 vs [녹스] 장신구 아이템 = 79.8% : 20.2%</t>
    <phoneticPr fontId="2" type="noConversion"/>
  </si>
  <si>
    <t>룬스톤 뽑기권</t>
    <phoneticPr fontId="2" type="noConversion"/>
  </si>
  <si>
    <t>[NOX] 무기 뽑기권</t>
    <phoneticPr fontId="2" type="noConversion"/>
  </si>
  <si>
    <t>[NOX] 방어구 뽑기권</t>
    <phoneticPr fontId="2" type="noConversion"/>
  </si>
  <si>
    <t>[NOX] 장신구 뽑기권</t>
    <phoneticPr fontId="2" type="noConversion"/>
  </si>
  <si>
    <t>액트 별 10개 획득</t>
    <phoneticPr fontId="27" type="noConversion"/>
  </si>
  <si>
    <t>액트 별 20개 획득</t>
    <phoneticPr fontId="2" type="noConversion"/>
  </si>
  <si>
    <t>액트 별 30개 획득</t>
    <phoneticPr fontId="2" type="noConversion"/>
  </si>
  <si>
    <t>2번 보물상자
3번 보물상자</t>
    <phoneticPr fontId="2" type="noConversion"/>
  </si>
  <si>
    <t>2~3번 보물상자</t>
    <phoneticPr fontId="2" type="noConversion"/>
  </si>
  <si>
    <t>&gt; 결투장 리그별 보상</t>
    <phoneticPr fontId="2" type="noConversion"/>
  </si>
  <si>
    <t>6성 룬스톤 뽑기권</t>
  </si>
  <si>
    <t>5성 룬스톤 뽑기권</t>
  </si>
  <si>
    <t>4성 룬스톤 뽑기권</t>
  </si>
  <si>
    <t>3성 룬스톤 뽑기권</t>
  </si>
  <si>
    <t>수호자 레벨 Lv.10 달성</t>
  </si>
  <si>
    <t>수호자 레벨 Lv.20 달성</t>
  </si>
  <si>
    <t>수호자 레벨 Lv.30 달성</t>
  </si>
  <si>
    <t>수호자 레벨 Lv.50 달성</t>
  </si>
  <si>
    <t>수호자 레벨 Lv.75 달성</t>
  </si>
  <si>
    <t>수호자 레벨 Lv.100 달성</t>
  </si>
  <si>
    <t>수호자 레벨 Lv.150 달성</t>
  </si>
  <si>
    <t>수호자 레벨 Lv.200 달성</t>
  </si>
  <si>
    <t>수호자 레벨 Lv.250 달성</t>
  </si>
  <si>
    <t>수호자 레벨 Lv.300 달성</t>
  </si>
  <si>
    <t>수호자 레벨 Lv.350 달성</t>
  </si>
  <si>
    <t>수호자 레벨 Lv.400 달성</t>
  </si>
  <si>
    <t>수호자 레벨 Lv.450 달성</t>
  </si>
  <si>
    <t>수호자 레벨 Lv.500 달성</t>
  </si>
  <si>
    <t>수호자 레벨 Lv.550 달성</t>
  </si>
  <si>
    <t>수호자 레벨 Lv.600 달성</t>
  </si>
  <si>
    <t>수호자 레벨 Lv.650 달성</t>
  </si>
  <si>
    <t>수호자 레벨 Lv.700 달성</t>
  </si>
  <si>
    <t>수호자 레벨 Lv.750 달성</t>
  </si>
  <si>
    <t>수호자 레벨 Lv.800 달성</t>
  </si>
  <si>
    <t>수호자 레벨 Lv.850 달성</t>
  </si>
  <si>
    <t>수호자 레벨 Lv.900 달성</t>
  </si>
  <si>
    <t>수호자 레벨 Lv.950 달성</t>
  </si>
  <si>
    <t>수호자 레벨 Lv.1000 달성</t>
  </si>
  <si>
    <t>수호자 레벨 Lv.1050 달성</t>
  </si>
  <si>
    <t>수호자 레벨 Lv.1100 달성</t>
  </si>
  <si>
    <t>수호자 레벨 Lv.1150 달성</t>
  </si>
  <si>
    <t>수호자 레벨 Lv.1200 달성</t>
  </si>
  <si>
    <t>수호자 레벨 Lv.1250 달성</t>
  </si>
  <si>
    <t>수호자 레벨 Lv.1300 달성</t>
  </si>
  <si>
    <t>수호자 레벨 Lv.1350 달성</t>
  </si>
  <si>
    <t>수호자 레벨 Lv.1400 달성</t>
  </si>
  <si>
    <t>수호자 레벨 Lv.1450 달성</t>
  </si>
  <si>
    <t>수호자 레벨 Lv.1500 달성</t>
  </si>
  <si>
    <t>수호자 레벨 Lv.1550 달성</t>
  </si>
  <si>
    <t>수호자 레벨 Lv.1600 달성</t>
  </si>
  <si>
    <t>수호자 레벨 Lv.1650 달성</t>
  </si>
  <si>
    <t>수호자 레벨 Lv.1700 달성</t>
  </si>
  <si>
    <t>수호자 레벨 Lv.1750 달성</t>
  </si>
  <si>
    <t>수호자 레벨 Lv.1800 달성</t>
  </si>
  <si>
    <t>수호자 레벨 Lv.1850 달성</t>
  </si>
  <si>
    <t>수호자 레벨 Lv.1900 달성</t>
  </si>
  <si>
    <t>수호자 레벨 Lv.1950 달성</t>
  </si>
  <si>
    <t>수호자 레벨 Lv.2000 달성</t>
  </si>
  <si>
    <t>캐릭터 스킬 강화 누적 횟수 5 회</t>
  </si>
  <si>
    <t>캐릭터 스킬 강화 누적 횟수 10 회</t>
  </si>
  <si>
    <t>캐릭터 스킬 강화 누적 횟수 15 회</t>
  </si>
  <si>
    <t>캐릭터 스킬 강화 누적 횟수 20 회</t>
  </si>
  <si>
    <t>캐릭터 스킬 강화 누적 횟수 25 회</t>
  </si>
  <si>
    <t>캐릭터 스킬 강화 누적 횟수 30 회</t>
  </si>
  <si>
    <t>캐릭터 스킬 강화 누적 횟수 35 회</t>
  </si>
  <si>
    <t>캐릭터 스킬 강화 누적 횟수 40 회</t>
  </si>
  <si>
    <t>캐릭터 스킬 강화 누적 횟수 45 회</t>
  </si>
  <si>
    <t>캐릭터 스킬 강화 누적 횟수 50 회</t>
  </si>
  <si>
    <t>캐릭터 스킬 강화 누적 횟수 55 회</t>
  </si>
  <si>
    <t>캐릭터 스킬 강화 누적 횟수 60 회</t>
  </si>
  <si>
    <t>캐릭터 스킬 강화 누적 횟수 65 회</t>
  </si>
  <si>
    <t>캐릭터 스킬 강화 누적 횟수 70 회</t>
  </si>
  <si>
    <t>캐릭터 스킬 강화 누적 횟수 75 회</t>
  </si>
  <si>
    <t>캐릭터 스킬 강화 누적 횟수 80 회</t>
  </si>
  <si>
    <t>캐릭터 스킬 초기화 누적 횟수 1 회</t>
  </si>
  <si>
    <t>수호자 스킬 강화 누적 횟수 10 회</t>
  </si>
  <si>
    <t>수호자 스킬 강화 누적 횟수 20 회</t>
  </si>
  <si>
    <t>수호자 스킬 강화 누적 횟수 30 회</t>
  </si>
  <si>
    <t>수호자 스킬 강화 누적 횟수 50 회</t>
  </si>
  <si>
    <t>수호자 스킬 강화 누적 횟수 75 회</t>
  </si>
  <si>
    <t>수호자 스킬 강화 누적 횟수 100 회</t>
  </si>
  <si>
    <t>수호자 스킬 강화 누적 횟수 150 회</t>
  </si>
  <si>
    <t>수호자 스킬 강화 누적 횟수 200 회</t>
  </si>
  <si>
    <t>수호자 스킬 강화 누적 횟수 250 회</t>
  </si>
  <si>
    <t>수호자 스킬 강화 누적 횟수 300 회</t>
  </si>
  <si>
    <t>수호자 스킬 강화 누적 횟수 350 회</t>
  </si>
  <si>
    <t>수호자 스킬 강화 누적 횟수 400 회</t>
  </si>
  <si>
    <t>수호자 스킬 강화 누적 횟수 450 회</t>
  </si>
  <si>
    <t>수호자 스킬 강화 누적 횟수 500 회</t>
  </si>
  <si>
    <t>수호자 스킬 강화 누적 횟수 550 회</t>
  </si>
  <si>
    <t>수호자 스킬 강화 누적 횟수 600 회</t>
  </si>
  <si>
    <t>수호자 스킬 강화 누적 횟수 650 회</t>
  </si>
  <si>
    <t>수호자 스킬 강화 누적 횟수 700 회</t>
  </si>
  <si>
    <t>수호자 스킬 강화 누적 횟수 750 회</t>
  </si>
  <si>
    <t>수호자 스킬 강화 누적 횟수 800 회</t>
  </si>
  <si>
    <t>수호자 스킬 강화 누적 횟수 850 회</t>
  </si>
  <si>
    <t>수호자 스킬 강화 누적 횟수 900 회</t>
  </si>
  <si>
    <t>수호자 스킬 강화 누적 횟수 950 회</t>
  </si>
  <si>
    <t>수호자 스킬 강화 누적 횟수 1000 회</t>
  </si>
  <si>
    <t>수호자 스킬 강화 누적 횟수 1050 회</t>
  </si>
  <si>
    <t>수호자 스킬 강화 누적 횟수 1100 회</t>
  </si>
  <si>
    <t>수호자 스킬 강화 누적 횟수 1150 회</t>
  </si>
  <si>
    <t>수호자 스킬 강화 누적 횟수 1200 회</t>
  </si>
  <si>
    <t>수호자 스킬 강화 누적 횟수 1250 회</t>
  </si>
  <si>
    <t>수호자 스킬 강화 누적 횟수 1300 회</t>
  </si>
  <si>
    <t>수호자 스킬 강화 누적 횟수 1350 회</t>
  </si>
  <si>
    <t>수호자 스킬 강화 누적 횟수 1400 회</t>
  </si>
  <si>
    <t>수호자 스킬 강화 누적 횟수 1450 회</t>
  </si>
  <si>
    <t>수호자 스킬 강화 누적 횟수 1500 회</t>
  </si>
  <si>
    <t>수호자 스킬 강화 누적 횟수 1550 회</t>
  </si>
  <si>
    <t>수호자 스킬 강화 누적 횟수 1600 회</t>
  </si>
  <si>
    <t>수호자 스킬 강화 누적 횟수 1650 회</t>
  </si>
  <si>
    <t>수호자 스킬 강화 누적 횟수 1700 회</t>
  </si>
  <si>
    <t>수호자 스킬 강화 누적 횟수 1750 회</t>
  </si>
  <si>
    <t>수호자 스킬 강화 누적 횟수 1800 회</t>
  </si>
  <si>
    <t>수호자 스킬 강화 누적 횟수 1850 회</t>
  </si>
  <si>
    <t>수호자 스킬 강화 누적 횟수 1900 회</t>
  </si>
  <si>
    <t>수호자 스킬 강화 누적 횟수 1950 회</t>
  </si>
  <si>
    <t>수호자 스킬 강화 누적 횟수 2000 회</t>
  </si>
  <si>
    <t>수호자 스킬 강화 누적 횟수 2050 회</t>
  </si>
  <si>
    <t>수호자 스킬 강화 누적 횟수 2100 회</t>
  </si>
  <si>
    <t>수호자 스킬 강화 누적 횟수 2150 회</t>
  </si>
  <si>
    <t>수호자 스킬 강화 누적 횟수 2200 회</t>
  </si>
  <si>
    <t>수호자 스킬 강화 누적 횟수 2250 회</t>
  </si>
  <si>
    <t>수호자 스킬 강화 누적 횟수 2300 회</t>
  </si>
  <si>
    <t>수호자 스킬 강화 누적 횟수 2350 회</t>
  </si>
  <si>
    <t>수호자 스킬 강화 누적 횟수 2400 회</t>
  </si>
  <si>
    <t>수호자 스킬 초기화 누적 횟수 1 회</t>
  </si>
  <si>
    <t>수호석 획득 누적 갯수 1개</t>
  </si>
  <si>
    <t>수호석 획득 누적 갯수 3개</t>
  </si>
  <si>
    <t>수호석 획득 누적 갯수 5개</t>
  </si>
  <si>
    <t>수호석 획득 누적 갯수 7개</t>
  </si>
  <si>
    <t>수호석 획득 누적 갯수 10개</t>
  </si>
  <si>
    <t>수호석 획득 누적 갯수 12개</t>
  </si>
  <si>
    <t>수호석 획득 누적 갯수 15개</t>
  </si>
  <si>
    <t>수호석 업그레이드 단계별 달성 Lv.1</t>
  </si>
  <si>
    <t>수호석 업그레이드 단계별 달성 Lv.5</t>
  </si>
  <si>
    <t>수호석 업그레이드 단계별 달성 Lv.10</t>
  </si>
  <si>
    <t>수호석 업그레이드 단계별 달성 Lv.20</t>
  </si>
  <si>
    <t>수호석 업그레이드 단계별 달성 Lv.30</t>
  </si>
  <si>
    <t>수호석 업그레이드 단계별 달성 Lv.40</t>
  </si>
  <si>
    <t>수호석 업그레이드 단계별 달성 Lv.50</t>
  </si>
  <si>
    <t>수호석 업그레이드 단계별 달성 Lv.60</t>
  </si>
  <si>
    <t>수호석 업그레이드 단계별 달성 Lv.70</t>
  </si>
  <si>
    <t>수호석 업그레이드 단계별 달성 Lv.80</t>
  </si>
  <si>
    <t>수호석 업그레이드 단계별 달성 Lv.90</t>
  </si>
  <si>
    <t>수호석 업그레이드 단계별 달성 Lv.100</t>
  </si>
  <si>
    <t>수호석 업그레이드 단계별 달성 Lv.110</t>
  </si>
  <si>
    <t>수호석 업그레이드 단계별 달성 Lv.120</t>
  </si>
  <si>
    <t>수호석 업그레이드 단계별 달성 Lv.130</t>
  </si>
  <si>
    <t>수호석 업그레이드 단계별 달성 Lv.140</t>
  </si>
  <si>
    <t>수호석 업그레이드 단계별 달성 Lv.150</t>
  </si>
  <si>
    <t>수호석 업그레이드 단계별 달성 Lv.160</t>
  </si>
  <si>
    <t>수호석 업그레이드 단계별 달성 Lv.170</t>
  </si>
  <si>
    <t>수호석 업그레이드 단계별 달성 Lv.180</t>
  </si>
  <si>
    <t>수호석 업그레이드 단계별 달성 Lv.190</t>
  </si>
  <si>
    <t>수호석 업그레이드 단계별 달성 Lv.200</t>
  </si>
  <si>
    <t xml:space="preserve">균열던전 일반 Ⅰ 최초 클리어 </t>
  </si>
  <si>
    <t xml:space="preserve">균열던전 일반 Ⅱ 최초 클리어 </t>
  </si>
  <si>
    <t xml:space="preserve">균열던전 일반 Ⅲ 최초 클리어 </t>
  </si>
  <si>
    <t xml:space="preserve">균열던전 일반 Ⅳ 최초 클리어 </t>
  </si>
  <si>
    <t xml:space="preserve">균열던전 일반 Ⅴ 최초 클리어 </t>
  </si>
  <si>
    <t xml:space="preserve">균열던전 어려움 Ⅰ 최초 클리어 </t>
  </si>
  <si>
    <t xml:space="preserve">균열던전 어려움 Ⅱ 최초 클리어 </t>
  </si>
  <si>
    <t xml:space="preserve">균열던전 어려움 Ⅲ 최초 클리어 </t>
  </si>
  <si>
    <t xml:space="preserve">균열던전 어려움 Ⅳ 최초 클리어 </t>
  </si>
  <si>
    <t xml:space="preserve">균열던전 어려움 Ⅴ 최초 클리어 </t>
  </si>
  <si>
    <t xml:space="preserve">균열던전 고수 Ⅰ 최초 클리어 </t>
  </si>
  <si>
    <t xml:space="preserve">균열던전 고수 Ⅱ 최초 클리어 </t>
  </si>
  <si>
    <t xml:space="preserve">균열던전 고수 Ⅲ 최초 클리어 </t>
  </si>
  <si>
    <t xml:space="preserve">균열던전 고수 Ⅳ 최초 클리어 </t>
  </si>
  <si>
    <t xml:space="preserve">균열던전 고수 Ⅴ 최초 클리어 </t>
  </si>
  <si>
    <t xml:space="preserve">균열던전 달인 Ⅰ 최초 클리어 </t>
  </si>
  <si>
    <t xml:space="preserve">균열던전 달인 Ⅱ 최초 클리어 </t>
  </si>
  <si>
    <t xml:space="preserve">균열던전 달인 Ⅲ 최초 클리어 </t>
  </si>
  <si>
    <t xml:space="preserve">균열던전 달인 Ⅳ 최초 클리어 </t>
  </si>
  <si>
    <t xml:space="preserve">균열던전 달인 Ⅴ 최초 클리어 </t>
  </si>
  <si>
    <t xml:space="preserve">균열던전 달인 Ⅵ 최초 클리어 </t>
  </si>
  <si>
    <t xml:space="preserve">균열던전 달인 Ⅶ 최초 클리어 </t>
  </si>
  <si>
    <t xml:space="preserve">균열던전 달인 Ⅷ 최초 클리어 </t>
  </si>
  <si>
    <t xml:space="preserve">균열던전 달인 Ⅸ 최초 클리어 </t>
  </si>
  <si>
    <t xml:space="preserve">균열던전 달인 Ⅹ 최초 클리어 </t>
  </si>
  <si>
    <t xml:space="preserve">균열던전 고행 Ⅰ 최초 클리어 </t>
  </si>
  <si>
    <t xml:space="preserve">균열던전 고행 Ⅱ 최초 클리어 </t>
  </si>
  <si>
    <t xml:space="preserve">균열던전 고행 Ⅲ 최초 클리어 </t>
  </si>
  <si>
    <t xml:space="preserve">균열던전 고행 Ⅳ 최초 클리어 </t>
  </si>
  <si>
    <t xml:space="preserve">균열던전 고행 Ⅴ 최초 클리어 </t>
  </si>
  <si>
    <t xml:space="preserve">균열던전 고행 Ⅵ 최초 클리어 </t>
  </si>
  <si>
    <t xml:space="preserve">균열던전 고행 Ⅶ 최초 클리어 </t>
  </si>
  <si>
    <t xml:space="preserve">균열던전 고행 Ⅷ 최초 클리어 </t>
  </si>
  <si>
    <t xml:space="preserve">균열던전 고행 Ⅸ 최초 클리어 </t>
  </si>
  <si>
    <t xml:space="preserve">균열던전 고행 Ⅹ 최초 클리어 </t>
  </si>
  <si>
    <t xml:space="preserve">균열던전 고행 ⅩⅠ 최초 클리어 </t>
  </si>
  <si>
    <t xml:space="preserve">균열던전 고행 ⅩⅡ 최초 클리어 </t>
  </si>
  <si>
    <t xml:space="preserve">균열던전 고행 ⅩⅢ 최초 클리어 </t>
  </si>
  <si>
    <t xml:space="preserve">균열던전 고행 ⅩⅣ 최초 클리어 </t>
  </si>
  <si>
    <t xml:space="preserve">균열던전 고행 ⅩⅤ 최초 클리어 </t>
  </si>
  <si>
    <t>결투장 1연승 달성</t>
  </si>
  <si>
    <t>결투장 2연승 달성</t>
  </si>
  <si>
    <t>결투장 3연승 달성</t>
  </si>
  <si>
    <t>결투장 4연승 달성</t>
  </si>
  <si>
    <t>결투장 5연승 달성</t>
  </si>
  <si>
    <t>결투장 6연승 달성</t>
  </si>
  <si>
    <t>결투장 7연승 달성</t>
  </si>
  <si>
    <t>결투장 8연승 달성</t>
  </si>
  <si>
    <t>결투장 9연승 달성</t>
  </si>
  <si>
    <t>결투장 10연승 달성</t>
  </si>
  <si>
    <t>결투장 11연승 달성</t>
  </si>
  <si>
    <t>결투장 12연승 달성</t>
  </si>
  <si>
    <t>결투장 13연승 달성</t>
  </si>
  <si>
    <t>결투장 14연승 달성</t>
  </si>
  <si>
    <t>결투장 15연승 달성</t>
  </si>
  <si>
    <t>결투장 16연승 달성</t>
  </si>
  <si>
    <t>결투장 17연승 달성</t>
  </si>
  <si>
    <t>결투장 18연승 달성</t>
  </si>
  <si>
    <t>결투장 19연승 달성</t>
  </si>
  <si>
    <t>결투장 20연승 달성</t>
  </si>
  <si>
    <t>결투장 25연승 달성</t>
  </si>
  <si>
    <t>결투장 30연승 달성</t>
  </si>
  <si>
    <t>결투장 35연승 달성</t>
  </si>
  <si>
    <t>결투장 40연승 달성</t>
  </si>
  <si>
    <t>결투장 45연승 달성</t>
  </si>
  <si>
    <t>결투장 50연승 달성</t>
  </si>
  <si>
    <t>길드전 참가 누적 횟수 1회</t>
  </si>
  <si>
    <t>길드전 참가 누적 횟수 10회</t>
  </si>
  <si>
    <t>길드전 참가 누적 횟수 20회</t>
  </si>
  <si>
    <t>길드전 참가 누적 횟수 30회</t>
  </si>
  <si>
    <t>길드전 참가 누적 횟수 50회</t>
  </si>
  <si>
    <t>길드전 참가 누적 횟수 100회</t>
  </si>
  <si>
    <t>길드전 참가 누적 횟수 150회</t>
  </si>
  <si>
    <t>길드전 참가 누적 횟수 200회</t>
  </si>
  <si>
    <t>길드전 참가 누적 횟수 250회</t>
  </si>
  <si>
    <t>길드전 참가 누적 횟수 300회</t>
  </si>
  <si>
    <t>길드전 참가 누적 횟수 350회</t>
  </si>
  <si>
    <t>길드전 참가 누적 횟수 400회</t>
  </si>
  <si>
    <t>길드전 참가 누적 횟수 450회</t>
  </si>
  <si>
    <t>길드전 참가 누적 횟수 500회</t>
  </si>
  <si>
    <t>길드전 승리 누적 횟수 1회</t>
  </si>
  <si>
    <t>길드전 승리 누적 횟수 10회</t>
  </si>
  <si>
    <t>길드전 승리 누적 횟수 20회</t>
  </si>
  <si>
    <t>길드전 승리 누적 횟수 30회</t>
  </si>
  <si>
    <t>길드전 승리 누적 횟수 50회</t>
  </si>
  <si>
    <t>길드전 승리 누적 횟수 100회</t>
  </si>
  <si>
    <t>길드전 승리 누적 횟수 150회</t>
  </si>
  <si>
    <t>길드전 승리 누적 횟수 200회</t>
  </si>
  <si>
    <t>길드전 승리 누적 횟수 250회</t>
  </si>
  <si>
    <t>길드전 승리 누적 횟수 300회</t>
  </si>
  <si>
    <t>길드전 승리 누적 횟수 350회</t>
  </si>
  <si>
    <t>길드전 승리 누적 횟수 400회</t>
  </si>
  <si>
    <t>길드전 승리 누적 횟수 450회</t>
  </si>
  <si>
    <t>길드전 승리 누적 횟수 500회</t>
  </si>
  <si>
    <t>룬스톤 5성 누적 획득 1 회</t>
  </si>
  <si>
    <t>룬스톤 5성 누적 획득 10 회</t>
  </si>
  <si>
    <t>룬스톤 5성 누적 획득 20 회</t>
  </si>
  <si>
    <t>룬스톤 5성 누적 획득 30 회</t>
  </si>
  <si>
    <t>룬스톤 5성 누적 획득 50 회</t>
  </si>
  <si>
    <t>룬스톤 5성 누적 획득 100 회</t>
  </si>
  <si>
    <t>룬스톤 5성 누적 획득 150 회</t>
  </si>
  <si>
    <t>룬스톤 5성 누적 획득 200 회</t>
  </si>
  <si>
    <t>룬스톤 5성 누적 획득 250 회</t>
  </si>
  <si>
    <t>룬스톤 5성 누적 획득 300 회</t>
  </si>
  <si>
    <t>룬스톤 5성 누적 획득 350 회</t>
  </si>
  <si>
    <t>룬스톤 5성 누적 획득 400 회</t>
  </si>
  <si>
    <t>룬스톤 5성 누적 획득 450 회</t>
  </si>
  <si>
    <t>룬스톤 5성 누적 획득 500 회</t>
  </si>
  <si>
    <t>룬스톤 6성 누적 획득 1 회</t>
  </si>
  <si>
    <t>룬스톤 6성 누적 획득 10 회</t>
  </si>
  <si>
    <t>룬스톤 6성 누적 획득 20 회</t>
  </si>
  <si>
    <t>룬스톤 6성 누적 획득 30 회</t>
  </si>
  <si>
    <t>룬스톤 6성 누적 획득 50 회</t>
  </si>
  <si>
    <t>룬스톤 6성 누적 획득 100 회</t>
  </si>
  <si>
    <t>룬스톤 6성 누적 획득 150 회</t>
  </si>
  <si>
    <t>룬스톤 6성 누적 획득 200 회</t>
  </si>
  <si>
    <t>룬스톤 6성 누적 획득 250 회</t>
  </si>
  <si>
    <t>룬스톤 6성 누적 획득 300 회</t>
  </si>
  <si>
    <t>룬스톤 6성 누적 획득 350 회</t>
  </si>
  <si>
    <t>룬스톤 6성 누적 획득 400 회</t>
  </si>
  <si>
    <t>룬스톤 6성 누적 획득 450 회</t>
  </si>
  <si>
    <t>룬스톤 6성 누적 획득 500 회</t>
  </si>
  <si>
    <t>룬스톤 7성 누적 획득 1 회</t>
  </si>
  <si>
    <t>룬스톤 7성 누적 획득 10 회</t>
  </si>
  <si>
    <t>룬스톤 7성 누적 획득 20 회</t>
  </si>
  <si>
    <t>룬스톤 7성 누적 획득 30 회</t>
  </si>
  <si>
    <t>룬스톤 7성 누적 획득 50 회</t>
  </si>
  <si>
    <t>룬스톤 7성 누적 획득 100 회</t>
  </si>
  <si>
    <t>룬스톤 7성 누적 획득 150 회</t>
  </si>
  <si>
    <t>룬스톤 7성 누적 획득 200 회</t>
  </si>
  <si>
    <t>룬스톤 7성 누적 획득 250 회</t>
  </si>
  <si>
    <t>룬스톤 7성 누적 획득 300 회</t>
  </si>
  <si>
    <t>룬스톤 7성 누적 획득 350 회</t>
  </si>
  <si>
    <t>룬스톤 7성 누적 획득 400 회</t>
  </si>
  <si>
    <t>룬스톤 7성 누적 획득 450 회</t>
  </si>
  <si>
    <t>룬스톤 7성 누적 획득 500 회</t>
  </si>
  <si>
    <t>장비아이템 5성 누적 획득 1 회</t>
  </si>
  <si>
    <t>장비아이템 5성 누적 획득 10 회</t>
  </si>
  <si>
    <t>장비아이템 5성 누적 획득 20 회</t>
  </si>
  <si>
    <t>장비아이템 5성 누적 획득 30 회</t>
  </si>
  <si>
    <t>장비아이템 5성 누적 획득 50 회</t>
  </si>
  <si>
    <t>장비아이템 5성 누적 획득 100 회</t>
  </si>
  <si>
    <t>장비아이템 5성 누적 획득 150 회</t>
  </si>
  <si>
    <t>장비아이템 5성 누적 획득 200 회</t>
  </si>
  <si>
    <t>장비아이템 5성 누적 획득 250 회</t>
  </si>
  <si>
    <t>장비아이템 5성 누적 획득 300 회</t>
  </si>
  <si>
    <t>장비아이템 5성 누적 획득 350 회</t>
  </si>
  <si>
    <t>장비아이템 5성 누적 획득 400 회</t>
  </si>
  <si>
    <t>장비아이템 5성 누적 획득 450 회</t>
  </si>
  <si>
    <t>장비아이템 5성 누적 획득 500 회</t>
  </si>
  <si>
    <t>장비아이템 5성 누적 획득 550 회</t>
  </si>
  <si>
    <t>장비아이템 5성 누적 획득 600 회</t>
  </si>
  <si>
    <t>장비아이템 5성 누적 획득 650 회</t>
  </si>
  <si>
    <t>장비아이템 5성 누적 획득 700 회</t>
  </si>
  <si>
    <t>장비아이템 5성 누적 획득 750 회</t>
  </si>
  <si>
    <t>장비아이템 5성 누적 획득 800 회</t>
  </si>
  <si>
    <t>장비아이템 5성 누적 획득 850 회</t>
  </si>
  <si>
    <t>장비아이템 5성 누적 획득 900 회</t>
  </si>
  <si>
    <t>장비아이템 5성 누적 획득 950 회</t>
  </si>
  <si>
    <t>장비아이템 5성 누적 획득 1000 회</t>
  </si>
  <si>
    <t>장비아이템 6성 누적 획득 1 회</t>
  </si>
  <si>
    <t>장비아이템 6성 누적 획득 10 회</t>
  </si>
  <si>
    <t>장비아이템 6성 누적 획득 20 회</t>
  </si>
  <si>
    <t>장비아이템 6성 누적 획득 30 회</t>
  </si>
  <si>
    <t>장비아이템 6성 누적 획득 50 회</t>
  </si>
  <si>
    <t>장비아이템 6성 누적 획득 100 회</t>
  </si>
  <si>
    <t>장비아이템 6성 누적 획득 150 회</t>
  </si>
  <si>
    <t>장비아이템 6성 누적 획득 200 회</t>
  </si>
  <si>
    <t>장비아이템 6성 누적 획득 250 회</t>
  </si>
  <si>
    <t>장비아이템 6성 누적 획득 300 회</t>
  </si>
  <si>
    <t>장비아이템 6성 누적 획득 350 회</t>
  </si>
  <si>
    <t>장비아이템 6성 누적 획득 400 회</t>
  </si>
  <si>
    <t>장비아이템 6성 누적 획득 450 회</t>
  </si>
  <si>
    <t>장비아이템 6성 누적 획득 500 회</t>
  </si>
  <si>
    <t>장비아이템 6성 누적 획득 550 회</t>
  </si>
  <si>
    <t>장비아이템 6성 누적 획득 600 회</t>
  </si>
  <si>
    <t>장비아이템 6성 누적 획득 650 회</t>
  </si>
  <si>
    <t>장비아이템 6성 누적 획득 700 회</t>
  </si>
  <si>
    <t>장비아이템 6성 누적 획득 750 회</t>
  </si>
  <si>
    <t>장비아이템 6성 누적 획득 800 회</t>
  </si>
  <si>
    <t>장비아이템 6성 누적 획득 850 회</t>
  </si>
  <si>
    <t>장비아이템 6성 누적 획득 900 회</t>
  </si>
  <si>
    <t>장비아이템 6성 누적 획득 950 회</t>
  </si>
  <si>
    <t>장비아이템 6성 누적 획득 1000 회</t>
  </si>
  <si>
    <t>장비아이템 7성 누적 획득 1 회</t>
  </si>
  <si>
    <t>장비아이템 7성 누적 획득 10 회</t>
  </si>
  <si>
    <t>장비아이템 7성 누적 획득 20 회</t>
  </si>
  <si>
    <t>장비아이템 7성 누적 획득 30 회</t>
  </si>
  <si>
    <t>장비아이템 7성 누적 획득 50 회</t>
  </si>
  <si>
    <t>장비아이템 7성 누적 획득 100 회</t>
  </si>
  <si>
    <t>장비아이템 7성 누적 획득 150 회</t>
  </si>
  <si>
    <t>장비아이템 7성 누적 획득 200 회</t>
  </si>
  <si>
    <t>장비아이템 7성 누적 획득 250 회</t>
  </si>
  <si>
    <t>장비아이템 7성 누적 획득 300 회</t>
  </si>
  <si>
    <t>장비아이템 7성 누적 획득 350 회</t>
  </si>
  <si>
    <t>장비아이템 7성 누적 획득 400 회</t>
  </si>
  <si>
    <t>장비아이템 7성 누적 획득 450 회</t>
  </si>
  <si>
    <t>장비아이템 7성 누적 획득 500 회</t>
  </si>
  <si>
    <t>장비아이템 랜덤옵션변경 누적 횟수 1 회</t>
  </si>
  <si>
    <t>장비아이템 랜덤옵션변경 누적 횟수 5 회</t>
  </si>
  <si>
    <t>장비아이템 랜덤옵션변경 누적 횟수 10 회</t>
  </si>
  <si>
    <t>장비아이템 랜덤옵션변경 누적 횟수 15 회</t>
  </si>
  <si>
    <t>장비아이템 랜덤옵션변경 누적 횟수 20 회</t>
  </si>
  <si>
    <t>장비아이템 랜덤옵션변경 누적 횟수 25 회</t>
  </si>
  <si>
    <t>장비아이템 랜덤옵션변경 누적 횟수 30 회</t>
  </si>
  <si>
    <t>장비아이템 랜덤옵션변경 누적 횟수 35 회</t>
  </si>
  <si>
    <t>장비아이템 랜덤옵션변경 누적 횟수 40 회</t>
  </si>
  <si>
    <t>장비아이템 랜덤옵션변경 누적 횟수 45 회</t>
  </si>
  <si>
    <t>장비아이템 랜덤옵션변경 누적 횟수 50 회</t>
  </si>
  <si>
    <t>장비아이템 랜덤옵션변경 누적 횟수 55 회</t>
  </si>
  <si>
    <t>장비아이템 랜덤옵션변경 누적 횟수 60 회</t>
  </si>
  <si>
    <t>장비아이템 랜덤옵션변경 누적 횟수 65 회</t>
  </si>
  <si>
    <t>장비아이템 랜덤옵션변경 누적 횟수 70 회</t>
  </si>
  <si>
    <t>장비아이템 랜덤옵션변경 누적 횟수 75 회</t>
  </si>
  <si>
    <t>장비아이템 랜덤옵션변경 누적 횟수 80 회</t>
  </si>
  <si>
    <t>장비아이템 랜덤옵션변경 누적 횟수 85 회</t>
  </si>
  <si>
    <t>장비아이템 랜덤옵션변경 누적 횟수 90 회</t>
  </si>
  <si>
    <t>장비아이템 랜덤옵션변경 누적 횟수 95 회</t>
  </si>
  <si>
    <t>장비아이템 랜덤옵션변경 누적 횟수 100 회</t>
  </si>
  <si>
    <t>ClearValue</t>
  </si>
  <si>
    <t>EquipType</t>
  </si>
  <si>
    <t>업적 - 룬스톤 합성 횟수 5 회</t>
  </si>
  <si>
    <t>업적 - 룬스톤 합성 횟수 10 회</t>
  </si>
  <si>
    <t>업적 - 룬스톤 합성 횟수 15 회</t>
  </si>
  <si>
    <t>업적 - 룬스톤 합성 횟수 20 회</t>
  </si>
  <si>
    <t>업적 - 룬스톤 합성 횟수 30 회</t>
  </si>
  <si>
    <t>업적 - 룬스톤 합성 횟수 40 회</t>
  </si>
  <si>
    <t>업적 - 룬스톤 합성 횟수 50 회</t>
  </si>
  <si>
    <t>업적 - 룬스톤 합성 횟수 60 회</t>
  </si>
  <si>
    <t>업적 - 룬스톤 합성 횟수 70 회</t>
  </si>
  <si>
    <t>업적 - 룬스톤 합성 횟수 80 회</t>
  </si>
  <si>
    <t>업적 - 룬스톤 합성 횟수 90 회</t>
  </si>
  <si>
    <t>업적 - 룬스톤 합성 횟수 100 회</t>
  </si>
  <si>
    <t>업적 - 룬스톤 합성 횟수 150 회</t>
  </si>
  <si>
    <t>업적 - 룬스톤 합성 횟수 200 회</t>
  </si>
  <si>
    <t>업적 - 룬스톤 합성 횟수 250 회</t>
  </si>
  <si>
    <t>업적 - 룬스톤 합성 횟수 300 회</t>
  </si>
  <si>
    <t>업적 - 룬스톤 합성 횟수 400 회</t>
  </si>
  <si>
    <t>업적 - 룬스톤 합성 횟수 500 회</t>
  </si>
  <si>
    <t>업적 - 장비아이템 합성 누적 횟수 1 회</t>
  </si>
  <si>
    <t>업적 - 장비아이템 합성 누적 횟수 5 회</t>
  </si>
  <si>
    <t>업적 - 장비아이템 합성 누적 횟수 10 회</t>
  </si>
  <si>
    <t>업적 - 장비아이템 합성 누적 횟수 15 회</t>
  </si>
  <si>
    <t>업적 - 장비아이템 합성 누적 횟수 20 회</t>
  </si>
  <si>
    <t>업적 - 장비아이템 합성 누적 횟수 25 회</t>
  </si>
  <si>
    <t>업적 - 장비아이템 합성 누적 횟수 30 회</t>
  </si>
  <si>
    <t>업적 - 장비아이템 합성 누적 횟수 35 회</t>
  </si>
  <si>
    <t>업적 - 장비아이템 합성 누적 횟수 40 회</t>
  </si>
  <si>
    <t>업적 - 장비아이템 합성 누적 횟수 45 회</t>
  </si>
  <si>
    <t>업적 - 장비아이템 합성 누적 횟수 50 회</t>
  </si>
  <si>
    <t>업적 - 장비아이템 합성 누적 횟수 60 회</t>
  </si>
  <si>
    <t>업적 - 장비아이템 합성 누적 횟수 70 회</t>
  </si>
  <si>
    <t>업적 - 장비아이템 합성 누적 횟수 80 회</t>
  </si>
  <si>
    <t>업적 - 장비아이템 합성 누적 횟수 90 회</t>
  </si>
  <si>
    <t>업적 - 장비아이템 합성 누적 횟수 100 회</t>
  </si>
  <si>
    <t>업적 - 장비아이템 합성 누적 횟수 150 회</t>
  </si>
  <si>
    <t>업적 - 장비아이템 합성 누적 횟수 200 회</t>
  </si>
  <si>
    <t>업적 - 장비아이템 합성 누적 횟수 250 회</t>
  </si>
  <si>
    <t>업적 - 장비아이템 합성 누적 횟수 300 회</t>
  </si>
  <si>
    <t>업적 - 장비아이템 합성 누적 횟수 350 회</t>
  </si>
  <si>
    <t>업적 - 장비아이템 합성 누적 횟수 400 회</t>
  </si>
  <si>
    <t>업적 - 장비아이템 합성 누적 횟수 450 회</t>
  </si>
  <si>
    <t>업적 - 장비아이템 합성 누적 횟수 500 회</t>
  </si>
  <si>
    <t>업적 - 장비아이템 승급 누적 횟수 1 회</t>
  </si>
  <si>
    <t>업적 - 장비아이템 승급 누적 횟수 5 회</t>
  </si>
  <si>
    <t>업적 - 장비아이템 승급 누적 횟수 10 회</t>
  </si>
  <si>
    <t>업적 - 장비아이템 승급 누적 횟수 15 회</t>
  </si>
  <si>
    <t>업적 - 장비아이템 승급 누적 횟수 20 회</t>
  </si>
  <si>
    <t>업적 - 장비아이템 승급 누적 횟수 25 회</t>
  </si>
  <si>
    <t>업적 - 장비아이템 승급 누적 횟수 30 회</t>
  </si>
  <si>
    <t>업적 - 장비아이템 승급 누적 횟수 35 회</t>
  </si>
  <si>
    <t>업적 - 장비아이템 승급 누적 횟수 40 회</t>
  </si>
  <si>
    <t>업적 - 장비아이템 승급 누적 횟수 45 회</t>
  </si>
  <si>
    <t>업적 - 장비아이템 승급 누적 횟수 50 회</t>
  </si>
  <si>
    <t>업적 - 장비아이템 승급 누적 횟수 60 회</t>
  </si>
  <si>
    <t>업적 - 장비아이템 승급 누적 횟수 70 회</t>
  </si>
  <si>
    <t>업적 - 장비아이템 승급 누적 횟수 80 회</t>
  </si>
  <si>
    <t>업적 - 장비아이템 승급 누적 횟수 90 회</t>
  </si>
  <si>
    <t>업적 - 장비아이템 승급 누적 횟수 100 회</t>
  </si>
  <si>
    <t>업적 - 장비아이템 승급 누적 횟수 150 회</t>
  </si>
  <si>
    <t>결투장 60연승 달성</t>
  </si>
  <si>
    <t>결투장 70연승 달성</t>
  </si>
  <si>
    <t>결투장 80연승 달성</t>
  </si>
  <si>
    <t>결투장 90연승 달성</t>
  </si>
  <si>
    <t>결투장 100연승 달성</t>
  </si>
  <si>
    <t>Gem</t>
    <phoneticPr fontId="2" type="noConversion"/>
  </si>
  <si>
    <t>Gold</t>
    <phoneticPr fontId="2" type="noConversion"/>
  </si>
  <si>
    <t>Lotto</t>
    <phoneticPr fontId="2" type="noConversion"/>
  </si>
  <si>
    <t>5성 무기 뽑기권 X1</t>
    <phoneticPr fontId="2" type="noConversion"/>
  </si>
  <si>
    <t>5성 투구 뽑기권 X1</t>
    <phoneticPr fontId="2" type="noConversion"/>
  </si>
  <si>
    <t>5성 갑옷 뽑기권 X1</t>
    <phoneticPr fontId="2" type="noConversion"/>
  </si>
  <si>
    <t>5성 하의 뽑기권 X1</t>
    <phoneticPr fontId="2" type="noConversion"/>
  </si>
  <si>
    <t>5성 장갑 뽑기권 X1</t>
    <phoneticPr fontId="2" type="noConversion"/>
  </si>
  <si>
    <t>5성 부츠 뽑기권 X1</t>
    <phoneticPr fontId="2" type="noConversion"/>
  </si>
  <si>
    <t>-</t>
    <phoneticPr fontId="2" type="noConversion"/>
  </si>
  <si>
    <t>-</t>
    <phoneticPr fontId="2" type="noConversion"/>
  </si>
  <si>
    <t>-</t>
    <phoneticPr fontId="2" type="noConversion"/>
  </si>
  <si>
    <t>명예포인트</t>
    <phoneticPr fontId="2" type="noConversion"/>
  </si>
  <si>
    <t>길드전 반복완료보상</t>
    <phoneticPr fontId="2" type="noConversion"/>
  </si>
  <si>
    <t>* 무기 / 방어구 / 장신구 장착 수량이 다르기 때문에 종류별 가중치 적용(2 : 5: 3)</t>
    <phoneticPr fontId="2" type="noConversion"/>
  </si>
  <si>
    <t>소환권 종류</t>
    <phoneticPr fontId="2" type="noConversion"/>
  </si>
  <si>
    <t>소환권 등급별 확률</t>
    <phoneticPr fontId="2" type="noConversion"/>
  </si>
  <si>
    <t>소환권
종류별 등급</t>
    <phoneticPr fontId="2" type="noConversion"/>
  </si>
  <si>
    <t>[녹스] 장비 소환권</t>
    <phoneticPr fontId="2" type="noConversion"/>
  </si>
  <si>
    <t>무기 소환권</t>
  </si>
  <si>
    <t>3성 소환권</t>
  </si>
  <si>
    <t>[녹스] 무기 4성 소환권</t>
  </si>
  <si>
    <t>방어구 소환권</t>
  </si>
  <si>
    <t>4성 소환권</t>
  </si>
  <si>
    <t>[녹스] 무기 5성 소환권</t>
  </si>
  <si>
    <t>장신구 소환권</t>
  </si>
  <si>
    <t>5성 소환권</t>
  </si>
  <si>
    <t>[녹스] 무기 6성 소환권</t>
  </si>
  <si>
    <t>룬스톤 소환권</t>
  </si>
  <si>
    <t>6성 소환권</t>
  </si>
  <si>
    <t>[녹스] 무기 7성 소환권</t>
  </si>
  <si>
    <t>투구 소환권</t>
  </si>
  <si>
    <t>7성 소환권</t>
  </si>
  <si>
    <t>[녹스] 장비 4성 소환권</t>
  </si>
  <si>
    <t>갑옷 소환권</t>
  </si>
  <si>
    <t>1~3성 소환권</t>
  </si>
  <si>
    <t>[녹스] 장비 5성 소환권</t>
  </si>
  <si>
    <t>하의 소환권</t>
  </si>
  <si>
    <t>3~4성 소환권</t>
  </si>
  <si>
    <t>[녹스] 장비 6성 소환권</t>
  </si>
  <si>
    <t>장갑 소환권</t>
  </si>
  <si>
    <t>3~5성 소환권</t>
  </si>
  <si>
    <t>[녹스] 장비 7성 소환권</t>
  </si>
  <si>
    <t>부츠 소환권</t>
  </si>
  <si>
    <t>4~5성 소환권</t>
  </si>
  <si>
    <t>[녹스] 장신구 4성 소환권</t>
  </si>
  <si>
    <t>목걸이 소환권</t>
  </si>
  <si>
    <t>4~7성 소환권</t>
  </si>
  <si>
    <t>[녹스] 장신구 5성 소환권</t>
  </si>
  <si>
    <t>반지 소환권</t>
  </si>
  <si>
    <t>5~7성 소환권</t>
  </si>
  <si>
    <t>[녹스] 장신구 6성 소환권</t>
  </si>
  <si>
    <t>[녹스] 장신구 7성 소환권</t>
  </si>
  <si>
    <t>* [녹스] 아이템 전용 소환권</t>
  </si>
  <si>
    <t>5성 무기 선택권</t>
  </si>
  <si>
    <t>6성 무기 선택권</t>
  </si>
  <si>
    <t>7성 무기 선택권</t>
  </si>
  <si>
    <t>[녹스] 4성 무기 선택권</t>
  </si>
  <si>
    <t>[녹스] 5성 무기 선택권</t>
  </si>
  <si>
    <t>[녹스] 6성 무기 선택권</t>
  </si>
  <si>
    <t>[녹스] 7성 무기 선택권</t>
  </si>
  <si>
    <t>5성 갑옷 선택권</t>
  </si>
  <si>
    <t>6성 갑옷 선택권</t>
  </si>
  <si>
    <t>7성 갑옷 선택권</t>
  </si>
  <si>
    <t>[녹스] 4성 갑옷 선택권</t>
  </si>
  <si>
    <t>[녹스] 5성 갑옷 선택권</t>
  </si>
  <si>
    <t>[녹스] 6성 갑옷 선택권</t>
  </si>
  <si>
    <t>[녹스] 7성 갑옷 선택권</t>
  </si>
  <si>
    <t>5성 장갑 선택권</t>
  </si>
  <si>
    <t>6성 장갑 선택권</t>
  </si>
  <si>
    <t>7성 장갑 선택권</t>
  </si>
  <si>
    <t>[녹스] 4성 장갑 선택권</t>
  </si>
  <si>
    <t>[녹스] 5성 장갑 선택권</t>
  </si>
  <si>
    <t>[녹스] 6성 장갑 선택권</t>
  </si>
  <si>
    <t>[녹스] 7성 장갑 선택권</t>
  </si>
  <si>
    <t>5성 목걸이 선택권</t>
  </si>
  <si>
    <t>6성 목걸이 선택권</t>
  </si>
  <si>
    <t>7성 목걸이 선택권</t>
  </si>
  <si>
    <t>[녹스] 4성 목걸이 선택권</t>
  </si>
  <si>
    <t>[녹스] 5성 목걸이 선택권</t>
  </si>
  <si>
    <t>[녹스] 6성 목걸이 선택권</t>
  </si>
  <si>
    <t>[녹스] 7성 목걸이 선택권</t>
  </si>
  <si>
    <t>3성 룬스톤 선택권</t>
  </si>
  <si>
    <t>4성 룬스톤 선택권</t>
  </si>
  <si>
    <t>5성 룬스톤 선택권</t>
  </si>
  <si>
    <t>6성 룬스톤 선택권</t>
  </si>
  <si>
    <t>7성 룬스톤 선택권</t>
  </si>
  <si>
    <t>5성 투구 선택권</t>
  </si>
  <si>
    <t>6성 투구 선택권</t>
  </si>
  <si>
    <t>7성 투구 선택권</t>
  </si>
  <si>
    <t>[녹스] 4성 투구 선택권</t>
  </si>
  <si>
    <t>[녹스] 5성 투구 선택권</t>
  </si>
  <si>
    <t>[녹스] 6성 투구 선택권</t>
  </si>
  <si>
    <t>[녹스] 7성 투구 선택권</t>
  </si>
  <si>
    <t>5성 하의 선택권</t>
  </si>
  <si>
    <t>6성 하의 선택권</t>
  </si>
  <si>
    <t>7성 하의 선택권</t>
  </si>
  <si>
    <t>[녹스] 4성 하의 선택권</t>
  </si>
  <si>
    <t>[녹스] 5성 하의 선택권</t>
  </si>
  <si>
    <t>[녹스] 6성 하의 선택권</t>
  </si>
  <si>
    <t>[녹스] 7성 하의 선택권</t>
  </si>
  <si>
    <t>5성 부츠 선택권</t>
  </si>
  <si>
    <t>6성 부츠 선택권</t>
  </si>
  <si>
    <t>7성 부츠 선택권</t>
  </si>
  <si>
    <t>[녹스] 4성 부츠 선택권</t>
  </si>
  <si>
    <t>[녹스] 5성 부츠 선택권</t>
  </si>
  <si>
    <t>[녹스] 6성 부츠 선택권</t>
  </si>
  <si>
    <t>[녹스] 7성 부츠 선택권</t>
  </si>
  <si>
    <t>5성 반지 선택권</t>
  </si>
  <si>
    <t>6성 반지 선택권</t>
  </si>
  <si>
    <t>7성 반지 선택권</t>
  </si>
  <si>
    <t>[녹스] 4성 반지 선택권</t>
  </si>
  <si>
    <t>[녹스] 5성 반지 선택권</t>
  </si>
  <si>
    <t>[녹스] 6성 반지 선택권</t>
  </si>
  <si>
    <t>[녹스] 7성 반지 선택권</t>
  </si>
  <si>
    <t>5성 장비 선택권</t>
  </si>
  <si>
    <t>6성 장비 선택권</t>
  </si>
  <si>
    <t>7성 장비 선택권</t>
  </si>
  <si>
    <t>[녹스] 4성 장비 선택권</t>
  </si>
  <si>
    <t>[녹스] 5성 장비 선택권</t>
  </si>
  <si>
    <t>[녹스] 6성 장비 선택권</t>
  </si>
  <si>
    <t>[녹스] 7성 장비 선택권</t>
  </si>
  <si>
    <t>무기 선택권</t>
    <phoneticPr fontId="2" type="noConversion"/>
  </si>
  <si>
    <t>투구 선택권</t>
    <phoneticPr fontId="2" type="noConversion"/>
  </si>
  <si>
    <t>갑옷 선택권</t>
    <phoneticPr fontId="2" type="noConversion"/>
  </si>
  <si>
    <t>하의 선택권</t>
    <phoneticPr fontId="2" type="noConversion"/>
  </si>
  <si>
    <t>장갑 선택권</t>
    <phoneticPr fontId="2" type="noConversion"/>
  </si>
  <si>
    <t>부츠 선택권</t>
    <phoneticPr fontId="2" type="noConversion"/>
  </si>
  <si>
    <t>목걸이 선택권</t>
    <phoneticPr fontId="2" type="noConversion"/>
  </si>
  <si>
    <t>반지 선택권</t>
    <phoneticPr fontId="2" type="noConversion"/>
  </si>
  <si>
    <t>룬스톤 선택권</t>
    <phoneticPr fontId="2" type="noConversion"/>
  </si>
  <si>
    <t>소환권 선택권</t>
    <phoneticPr fontId="2" type="noConversion"/>
  </si>
  <si>
    <t>* 위시 선택권 : 유저가 리스트 구성품 중 하나를 선택하여 획득하는 방식</t>
    <phoneticPr fontId="2" type="noConversion"/>
  </si>
  <si>
    <t>버서커 레벨 Lv.5 달성</t>
    <phoneticPr fontId="2" type="noConversion"/>
  </si>
  <si>
    <t>버서커 레벨 Lv.10 달성</t>
  </si>
  <si>
    <t>버서커 레벨 Lv.15 달성</t>
  </si>
  <si>
    <t>버서커 레벨 Lv.20 달성</t>
  </si>
  <si>
    <t>버서커 레벨 Lv.25 달성</t>
  </si>
  <si>
    <t>버서커 레벨 Lv.30 달성</t>
  </si>
  <si>
    <t>버서커 레벨 Lv.35 달성</t>
  </si>
  <si>
    <t>버서커 레벨 Lv.40 달성</t>
  </si>
  <si>
    <t>버서커 레벨 Lv.45 달성</t>
  </si>
  <si>
    <t>버서커 레벨 Lv.50 달성</t>
  </si>
  <si>
    <t>데몬헌터 레벨 Lv.5 달성</t>
  </si>
  <si>
    <t>데몬헌터 레벨 Lv.10 달성</t>
  </si>
  <si>
    <t>데몬헌터 레벨 Lv.15 달성</t>
  </si>
  <si>
    <t>데몬헌터 레벨 Lv.20 달성</t>
  </si>
  <si>
    <t>데몬헌터 레벨 Lv.25 달성</t>
  </si>
  <si>
    <t>데몬헌터 레벨 Lv.30 달성</t>
  </si>
  <si>
    <t>데몬헌터 레벨 Lv.35 달성</t>
  </si>
  <si>
    <t>데몬헌터 레벨 Lv.40 달성</t>
  </si>
  <si>
    <t>데몬헌터 레벨 Lv.45 달성</t>
  </si>
  <si>
    <t>데몬헌터 레벨 Lv.50 달성</t>
  </si>
  <si>
    <t>아칸 레벨 Lv.5 달성</t>
  </si>
  <si>
    <t>아칸 레벨 Lv.10 달성</t>
  </si>
  <si>
    <t>아칸 레벨 Lv.15 달성</t>
  </si>
  <si>
    <t>아칸 레벨 Lv.20 달성</t>
  </si>
  <si>
    <t>아칸 레벨 Lv.25 달성</t>
  </si>
  <si>
    <t>아칸 레벨 Lv.30 달성</t>
  </si>
  <si>
    <t>아칸 레벨 Lv.35 달성</t>
  </si>
  <si>
    <t>아칸 레벨 Lv.40 달성</t>
  </si>
  <si>
    <t>아칸 레벨 Lv.45 달성</t>
  </si>
  <si>
    <t>아칸 레벨 Lv.50 달성</t>
  </si>
  <si>
    <t>나이트 레벨 Lv.5 달성</t>
  </si>
  <si>
    <t>나이트 레벨 Lv.10 달성</t>
  </si>
  <si>
    <t>나이트 레벨 Lv.15 달성</t>
  </si>
  <si>
    <t>나이트 레벨 Lv.20 달성</t>
  </si>
  <si>
    <t>나이트 레벨 Lv.25 달성</t>
  </si>
  <si>
    <t>나이트 레벨 Lv.30 달성</t>
  </si>
  <si>
    <t>나이트 레벨 Lv.35 달성</t>
  </si>
  <si>
    <t>나이트 레벨 Lv.40 달성</t>
  </si>
  <si>
    <t>나이트 레벨 Lv.45 달성</t>
  </si>
  <si>
    <t>나이트 레벨 Lv.50 달성</t>
  </si>
  <si>
    <t>장비아이템 랜덤옵션변경 누적 횟수 150 회</t>
  </si>
  <si>
    <t>장비아이템 랜덤옵션변경 누적 횟수 200 회</t>
  </si>
  <si>
    <t>장비아이템 랜덤옵션변경 누적 횟수 250 회</t>
  </si>
  <si>
    <t>장비아이템 랜덤옵션변경 누적 횟수 300 회</t>
  </si>
  <si>
    <t>장비아이템 랜덤옵션변경 누적 횟수 350 회</t>
  </si>
  <si>
    <t>장비아이템 랜덤옵션변경 누적 횟수 400 회</t>
  </si>
  <si>
    <t>장비아이템 랜덤옵션변경 누적 횟수 450 회</t>
  </si>
  <si>
    <t>장비아이템 랜덤옵션변경 누적 횟수 500 회</t>
  </si>
  <si>
    <t>장비아이템 랜덤옵션변경 누적 횟수 550 회</t>
  </si>
  <si>
    <t>장비아이템 랜덤옵션변경 누적 횟수 600 회</t>
  </si>
  <si>
    <t>장비아이템 랜덤옵션변경 누적 횟수 650 회</t>
  </si>
  <si>
    <t>장비아이템 랜덤옵션변경 누적 횟수 700 회</t>
  </si>
  <si>
    <t>장비아이템 랜덤옵션변경 누적 횟수 750 회</t>
  </si>
  <si>
    <t>장비아이템 랜덤옵션변경 누적 횟수 800 회</t>
  </si>
  <si>
    <t>장비아이템 랜덤옵션변경 누적 횟수 850 회</t>
  </si>
  <si>
    <t>장비아이템 랜덤옵션변경 누적 횟수 900 회</t>
  </si>
  <si>
    <t>장비아이템 랜덤옵션변경 누적 횟수 950 회</t>
  </si>
  <si>
    <t>장비아이템 랜덤옵션변경 누적 횟수 1000 회</t>
  </si>
  <si>
    <t>5성 반지 뽑기권 X1</t>
  </si>
  <si>
    <t>5성 귀걸이 뽑기권 X1</t>
  </si>
  <si>
    <t>일일설명 - 모든 일일미션을 완료하세요</t>
  </si>
  <si>
    <t>일일설명 - 일반던전을 5회 완료하세요</t>
  </si>
  <si>
    <t>일일설명 - 정예던전을 3회 완료하세요</t>
  </si>
  <si>
    <t>일일설명 - 요일던전을 2회 완료하세요</t>
  </si>
  <si>
    <t>일일설명 - 균열던전을 3회 참가하세요</t>
  </si>
  <si>
    <t>일일설명 - 결투장을 3회 참가하세요</t>
  </si>
  <si>
    <t>일일설명 - 장비아이템을 20개 획득하세요</t>
  </si>
  <si>
    <t>주간설명 - 모든 주간미션을 완료하세요</t>
  </si>
  <si>
    <t>주간설명 - 모든 일일미션 완료를 4회 완료하세요</t>
  </si>
  <si>
    <t>주간설명 - 수호석 업그레이드를 5회 성공하세요</t>
  </si>
  <si>
    <t>주간설명 - 결투장에서 10회 승리하세요</t>
  </si>
  <si>
    <t>주간설명 - 수호레이드를 10회 참가하세요</t>
  </si>
  <si>
    <t>주간설명 - 균열석을 10개 획득하세요</t>
  </si>
  <si>
    <t>주간설명 - 장비아이템을 100개 획득하세요</t>
  </si>
  <si>
    <t>주간설명 - 장비아이템을 10회 강화하세요</t>
  </si>
  <si>
    <t>주간설명 - 장비아이템을 50회 분해하세요</t>
  </si>
  <si>
    <t>월간설명 - 모든 주간미션 완료를 3회 완료하세요</t>
  </si>
  <si>
    <t>월간설명 - 균열던전을 100회 참가하세요</t>
  </si>
  <si>
    <t>월간설명 - 초월던전을 50회 참가하세요</t>
  </si>
  <si>
    <t>월간설명 - 결투장을 100회 참가하세요</t>
  </si>
  <si>
    <t>월간설명 - 균열석을 50개 획득하세요</t>
  </si>
  <si>
    <t>1MonAccount</t>
    <phoneticPr fontId="2" type="noConversion"/>
  </si>
  <si>
    <t>3MonAccount</t>
    <phoneticPr fontId="2" type="noConversion"/>
  </si>
  <si>
    <t>6MonAccount</t>
    <phoneticPr fontId="2" type="noConversion"/>
  </si>
  <si>
    <t>수호자 스킬 초기화 누적 횟수 10 회</t>
    <phoneticPr fontId="2" type="noConversion"/>
  </si>
  <si>
    <t>캐릭터 스킬 초기화 누적 횟수 10 회</t>
    <phoneticPr fontId="2" type="noConversion"/>
  </si>
  <si>
    <t>NOX Rare</t>
    <phoneticPr fontId="2" type="noConversion"/>
  </si>
  <si>
    <t>균열석</t>
    <phoneticPr fontId="2" type="noConversion"/>
  </si>
  <si>
    <t>1위</t>
  </si>
  <si>
    <t>2~10위</t>
  </si>
  <si>
    <t>11~50위</t>
  </si>
  <si>
    <t>51~100위</t>
  </si>
  <si>
    <t>1% 이내</t>
  </si>
  <si>
    <t>2~5%</t>
  </si>
  <si>
    <t>6~8%</t>
  </si>
  <si>
    <t>9~10%</t>
  </si>
  <si>
    <t>11~20%</t>
  </si>
  <si>
    <t>21~30%</t>
  </si>
  <si>
    <t>31~40%</t>
  </si>
  <si>
    <t>41~50%</t>
  </si>
  <si>
    <t>51~60%</t>
  </si>
  <si>
    <t>61~70%</t>
  </si>
  <si>
    <t>71~80%</t>
  </si>
  <si>
    <t>81~100%</t>
  </si>
  <si>
    <t>랭킹</t>
    <phoneticPr fontId="27" type="noConversion"/>
  </si>
  <si>
    <t>잼 보상</t>
    <phoneticPr fontId="27" type="noConversion"/>
  </si>
  <si>
    <t>아이템 보상</t>
    <phoneticPr fontId="27" type="noConversion"/>
  </si>
  <si>
    <t>아이템 수량</t>
    <phoneticPr fontId="27" type="noConversion"/>
  </si>
  <si>
    <t>* 50% 확률로 조력자 물약 드랍</t>
    <phoneticPr fontId="2" type="noConversion"/>
  </si>
  <si>
    <t>스토리</t>
    <phoneticPr fontId="2" type="noConversion"/>
  </si>
  <si>
    <t>퀘스트</t>
    <phoneticPr fontId="2" type="noConversion"/>
  </si>
  <si>
    <t>아바타 장비</t>
    <phoneticPr fontId="2" type="noConversion"/>
  </si>
  <si>
    <t>아이템+1개</t>
    <phoneticPr fontId="2" type="noConversion"/>
  </si>
  <si>
    <t>1-1</t>
    <phoneticPr fontId="2" type="noConversion"/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</si>
  <si>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</si>
  <si>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</si>
  <si>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</si>
  <si>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</si>
  <si>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</si>
  <si>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</si>
  <si>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</si>
  <si>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</si>
  <si>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</si>
  <si>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2-2</t>
  </si>
  <si>
    <t>2-3</t>
  </si>
  <si>
    <t>2-4</t>
  </si>
  <si>
    <t>2-5</t>
  </si>
  <si>
    <t>2-6</t>
  </si>
  <si>
    <t>2-7</t>
  </si>
  <si>
    <t>2-8</t>
  </si>
  <si>
    <t>2-9</t>
  </si>
  <si>
    <t>2-10</t>
  </si>
  <si>
    <t>Paly Mode</t>
    <phoneticPr fontId="2" type="noConversion"/>
  </si>
  <si>
    <t>Dungeon</t>
  </si>
  <si>
    <t>EliteDungeon</t>
  </si>
  <si>
    <t>1-7</t>
    <phoneticPr fontId="2" type="noConversion"/>
  </si>
  <si>
    <t>ServantWindow</t>
  </si>
  <si>
    <t>2-3</t>
    <phoneticPr fontId="2" type="noConversion"/>
  </si>
  <si>
    <t>WeeklyStageWindow</t>
  </si>
  <si>
    <t>2-7</t>
    <phoneticPr fontId="2" type="noConversion"/>
  </si>
  <si>
    <t>3-1</t>
    <phoneticPr fontId="2" type="noConversion"/>
  </si>
  <si>
    <t>3-2</t>
  </si>
  <si>
    <t>3-3</t>
  </si>
  <si>
    <t>3-4</t>
  </si>
  <si>
    <t>3-5</t>
  </si>
  <si>
    <t>3-6</t>
  </si>
  <si>
    <t>3-7</t>
  </si>
  <si>
    <t>3-8</t>
  </si>
  <si>
    <t>3-9</t>
  </si>
  <si>
    <t>3-10</t>
  </si>
  <si>
    <t>Dialogue</t>
  </si>
  <si>
    <t>GuildWindow</t>
  </si>
  <si>
    <t>3-10</t>
    <phoneticPr fontId="2" type="noConversion"/>
  </si>
  <si>
    <t>4-1</t>
  </si>
  <si>
    <t>4-1</t>
    <phoneticPr fontId="2" type="noConversion"/>
  </si>
  <si>
    <t>4-2</t>
  </si>
  <si>
    <t>4-3</t>
  </si>
  <si>
    <t>4-4</t>
  </si>
  <si>
    <t>4-5</t>
  </si>
  <si>
    <t>4-6</t>
  </si>
  <si>
    <t>4-7</t>
  </si>
  <si>
    <t>4-8</t>
  </si>
  <si>
    <t>4-9</t>
  </si>
  <si>
    <t>4-10</t>
  </si>
  <si>
    <t>5-1</t>
    <phoneticPr fontId="2" type="noConversion"/>
  </si>
  <si>
    <t>5-2</t>
  </si>
  <si>
    <t>5-3</t>
  </si>
  <si>
    <t>5-4</t>
  </si>
  <si>
    <t>5-5</t>
  </si>
  <si>
    <t>5-6</t>
  </si>
  <si>
    <t>5-7</t>
  </si>
  <si>
    <t>5-8</t>
  </si>
  <si>
    <t>5-9</t>
  </si>
  <si>
    <t>5-10</t>
  </si>
  <si>
    <t>PvP</t>
  </si>
  <si>
    <t>6-1</t>
    <phoneticPr fontId="2" type="noConversion"/>
  </si>
  <si>
    <t>6-2</t>
  </si>
  <si>
    <t>6-3</t>
  </si>
  <si>
    <t>6-4</t>
  </si>
  <si>
    <t>6-5</t>
  </si>
  <si>
    <t>6-6</t>
  </si>
  <si>
    <t>6-7</t>
  </si>
  <si>
    <t>6-8</t>
  </si>
  <si>
    <t>6-9</t>
  </si>
  <si>
    <t>6-10</t>
  </si>
  <si>
    <t>7-1</t>
    <phoneticPr fontId="2" type="noConversion"/>
  </si>
  <si>
    <t>7-2</t>
  </si>
  <si>
    <t>7-3</t>
  </si>
  <si>
    <t>7-4</t>
  </si>
  <si>
    <t>7-5</t>
  </si>
  <si>
    <t>7-6</t>
  </si>
  <si>
    <t>7-7</t>
  </si>
  <si>
    <t>7-8</t>
  </si>
  <si>
    <t>7-9</t>
  </si>
  <si>
    <t>7-10</t>
  </si>
  <si>
    <t>7-5</t>
    <phoneticPr fontId="2" type="noConversion"/>
  </si>
  <si>
    <t>8-1</t>
    <phoneticPr fontId="2" type="noConversion"/>
  </si>
  <si>
    <t>8-2</t>
  </si>
  <si>
    <t>8-3</t>
  </si>
  <si>
    <t>8-4</t>
  </si>
  <si>
    <t>8-5</t>
  </si>
  <si>
    <t>8-6</t>
  </si>
  <si>
    <t>8-7</t>
  </si>
  <si>
    <t>8-8</t>
  </si>
  <si>
    <t>8-9</t>
  </si>
  <si>
    <t>8-10</t>
  </si>
  <si>
    <t>룬스톤</t>
    <phoneticPr fontId="2" type="noConversion"/>
  </si>
  <si>
    <t>균열</t>
    <phoneticPr fontId="2" type="noConversion"/>
  </si>
  <si>
    <t>초월</t>
    <phoneticPr fontId="2" type="noConversion"/>
  </si>
  <si>
    <t>Paly Act</t>
    <phoneticPr fontId="2" type="noConversion"/>
  </si>
  <si>
    <t>Quest List</t>
    <phoneticPr fontId="2" type="noConversion"/>
  </si>
  <si>
    <t>세트아이템</t>
    <phoneticPr fontId="2" type="noConversion"/>
  </si>
  <si>
    <t>길드</t>
    <phoneticPr fontId="2" type="noConversion"/>
  </si>
  <si>
    <t>조력자</t>
    <phoneticPr fontId="2" type="noConversion"/>
  </si>
  <si>
    <t>요일던전</t>
    <phoneticPr fontId="2" type="noConversion"/>
  </si>
  <si>
    <t>수호석 고유 능력</t>
    <phoneticPr fontId="2" type="noConversion"/>
  </si>
  <si>
    <t>수호석</t>
    <phoneticPr fontId="2" type="noConversion"/>
  </si>
  <si>
    <t>RewardItemInfo</t>
  </si>
  <si>
    <t>RewardItemCount</t>
  </si>
  <si>
    <t>RewardItem2Info</t>
  </si>
  <si>
    <t>RewardItem2Count</t>
  </si>
  <si>
    <t>트로피</t>
  </si>
  <si>
    <t>ItemDecompose / ItemUpgrade</t>
    <phoneticPr fontId="2" type="noConversion"/>
  </si>
  <si>
    <t>아이템 분해 / 강화</t>
    <phoneticPr fontId="2" type="noConversion"/>
  </si>
  <si>
    <t>2-1</t>
    <phoneticPr fontId="2" type="noConversion"/>
  </si>
  <si>
    <t>PassiveSkillUpgrade / Dungeon</t>
    <phoneticPr fontId="2" type="noConversion"/>
  </si>
  <si>
    <t>SkillRegistration / Dungeon</t>
    <phoneticPr fontId="2" type="noConversion"/>
  </si>
  <si>
    <t>ParticularGoodsPurchase / Dungeon</t>
    <phoneticPr fontId="2" type="noConversion"/>
  </si>
  <si>
    <t>Dialogue / Dungeon</t>
    <phoneticPr fontId="2" type="noConversion"/>
  </si>
  <si>
    <t>열쇠</t>
  </si>
  <si>
    <t>균열석</t>
  </si>
  <si>
    <t>정수</t>
  </si>
  <si>
    <t>조력자 조각 - 레글리스</t>
  </si>
  <si>
    <t>조력자 조각 - 쿠르크</t>
  </si>
  <si>
    <t>조력자 조각 - 케라버그</t>
  </si>
  <si>
    <t>Lv.2</t>
  </si>
  <si>
    <t>Lv.3</t>
  </si>
  <si>
    <t>Lv.5</t>
  </si>
  <si>
    <t>Lv.7</t>
  </si>
  <si>
    <t>Lv.8</t>
  </si>
  <si>
    <t>Lv.9</t>
  </si>
  <si>
    <t>Lv.10</t>
  </si>
  <si>
    <t>Lv.11</t>
  </si>
  <si>
    <t>Lv.12</t>
  </si>
  <si>
    <t>Lv.13</t>
  </si>
  <si>
    <t>Lv.14</t>
  </si>
  <si>
    <t>Lv.15</t>
  </si>
  <si>
    <t>Lv.16</t>
  </si>
  <si>
    <t>Lv.19</t>
  </si>
  <si>
    <t>Lv.20</t>
  </si>
  <si>
    <t>Lv.22</t>
  </si>
  <si>
    <t>Lv.28</t>
  </si>
  <si>
    <t>Lv.29</t>
  </si>
  <si>
    <t>Lv.30</t>
  </si>
  <si>
    <t xml:space="preserve">Lv.30 (75%) </t>
  </si>
  <si>
    <t>Lv.1</t>
    <phoneticPr fontId="2" type="noConversion"/>
  </si>
  <si>
    <t>Lv.27</t>
    <phoneticPr fontId="2" type="noConversion"/>
  </si>
  <si>
    <t>Char Lv</t>
    <phoneticPr fontId="2" type="noConversion"/>
  </si>
  <si>
    <t>무기 승급스톤</t>
    <phoneticPr fontId="2" type="noConversion"/>
  </si>
  <si>
    <t>방어구 승급스톤</t>
    <phoneticPr fontId="2" type="noConversion"/>
  </si>
  <si>
    <t>장신구 승급스톤</t>
    <phoneticPr fontId="2" type="noConversion"/>
  </si>
  <si>
    <t>증가권 - 경험치</t>
  </si>
  <si>
    <t>증가권 - 아이템</t>
  </si>
  <si>
    <t>증가권 - 골드</t>
  </si>
  <si>
    <t>조력자 조각 - 피구르</t>
  </si>
  <si>
    <t>조력자 조각 - 수페르모</t>
  </si>
  <si>
    <t>조력자 조각 - 베아루스</t>
  </si>
  <si>
    <t>3성 무기 소환권</t>
  </si>
  <si>
    <t>4성 무기 소환권</t>
  </si>
  <si>
    <t>5성 무기 소환권</t>
  </si>
  <si>
    <t>3성 방어구 소환권</t>
  </si>
  <si>
    <t>4성 방어구 소환권</t>
  </si>
  <si>
    <t>5성 방어구 소환권</t>
  </si>
  <si>
    <t>3성 징신구 소환권</t>
  </si>
  <si>
    <t>4성 징신구 소환권</t>
  </si>
  <si>
    <t>5성 징신구 소환권</t>
  </si>
  <si>
    <t>승급스톤 - 방어구</t>
  </si>
  <si>
    <t>승급스톤 - 무기</t>
  </si>
  <si>
    <t>승급스톤 - 장신구</t>
  </si>
  <si>
    <t>3성 룬스톤 소환권</t>
  </si>
  <si>
    <t>4성 룬스톤 소환권</t>
  </si>
  <si>
    <t>5성 룬스톤 소환권</t>
  </si>
  <si>
    <t>1-6</t>
    <phoneticPr fontId="2" type="noConversion"/>
  </si>
  <si>
    <t>1-9</t>
    <phoneticPr fontId="2" type="noConversion"/>
  </si>
  <si>
    <t>1-10</t>
    <phoneticPr fontId="2" type="noConversion"/>
  </si>
  <si>
    <t>2-1</t>
    <phoneticPr fontId="2" type="noConversion"/>
  </si>
  <si>
    <t>2-3</t>
    <phoneticPr fontId="2" type="noConversion"/>
  </si>
  <si>
    <t>2-6</t>
    <phoneticPr fontId="2" type="noConversion"/>
  </si>
  <si>
    <t>2-9</t>
    <phoneticPr fontId="2" type="noConversion"/>
  </si>
  <si>
    <t>2-10</t>
    <phoneticPr fontId="2" type="noConversion"/>
  </si>
  <si>
    <t>3-3</t>
    <phoneticPr fontId="2" type="noConversion"/>
  </si>
  <si>
    <t>4-9</t>
    <phoneticPr fontId="2" type="noConversion"/>
  </si>
  <si>
    <t>5-3</t>
    <phoneticPr fontId="2" type="noConversion"/>
  </si>
  <si>
    <t>7-3</t>
    <phoneticPr fontId="2" type="noConversion"/>
  </si>
  <si>
    <t>List</t>
    <phoneticPr fontId="2" type="noConversion"/>
  </si>
  <si>
    <t>3-1</t>
    <phoneticPr fontId="2" type="noConversion"/>
  </si>
  <si>
    <t>3-6</t>
    <phoneticPr fontId="2" type="noConversion"/>
  </si>
  <si>
    <t>3-9</t>
    <phoneticPr fontId="2" type="noConversion"/>
  </si>
  <si>
    <t>4-3</t>
    <phoneticPr fontId="2" type="noConversion"/>
  </si>
  <si>
    <t>4-6</t>
    <phoneticPr fontId="2" type="noConversion"/>
  </si>
  <si>
    <t>4-10</t>
    <phoneticPr fontId="2" type="noConversion"/>
  </si>
  <si>
    <t>5-6</t>
    <phoneticPr fontId="2" type="noConversion"/>
  </si>
  <si>
    <t>5-9</t>
    <phoneticPr fontId="2" type="noConversion"/>
  </si>
  <si>
    <t>5-10</t>
    <phoneticPr fontId="2" type="noConversion"/>
  </si>
  <si>
    <t>6-3</t>
    <phoneticPr fontId="2" type="noConversion"/>
  </si>
  <si>
    <t>6-6</t>
    <phoneticPr fontId="2" type="noConversion"/>
  </si>
  <si>
    <t>6-9</t>
    <phoneticPr fontId="2" type="noConversion"/>
  </si>
  <si>
    <t>6-10</t>
    <phoneticPr fontId="2" type="noConversion"/>
  </si>
  <si>
    <t>7-6</t>
    <phoneticPr fontId="2" type="noConversion"/>
  </si>
  <si>
    <t>7-9</t>
    <phoneticPr fontId="2" type="noConversion"/>
  </si>
  <si>
    <t>7-10</t>
    <phoneticPr fontId="2" type="noConversion"/>
  </si>
  <si>
    <t>8-3</t>
    <phoneticPr fontId="2" type="noConversion"/>
  </si>
  <si>
    <t>8-6</t>
    <phoneticPr fontId="2" type="noConversion"/>
  </si>
  <si>
    <t>8-9</t>
    <phoneticPr fontId="2" type="noConversion"/>
  </si>
  <si>
    <t>8-10</t>
    <phoneticPr fontId="2" type="noConversion"/>
  </si>
  <si>
    <t>젬</t>
    <phoneticPr fontId="2" type="noConversion"/>
  </si>
  <si>
    <t>승급아이템</t>
    <phoneticPr fontId="2" type="noConversion"/>
  </si>
  <si>
    <t>4 -&gt; 7성 승급 시 3.8개월 소요</t>
    <phoneticPr fontId="2" type="noConversion"/>
  </si>
  <si>
    <t>퀘스트로 각각 30 / 60 /30 개 지급</t>
    <phoneticPr fontId="2" type="noConversion"/>
  </si>
  <si>
    <t>룬스톤</t>
    <phoneticPr fontId="2" type="noConversion"/>
  </si>
  <si>
    <t>1개월 4성 1개 / 5성 1개 획득</t>
    <phoneticPr fontId="2" type="noConversion"/>
  </si>
  <si>
    <t>1개월 출석 3성 1개 / 4성 1개 획득</t>
    <phoneticPr fontId="2" type="noConversion"/>
  </si>
  <si>
    <t>1개월 업적 5성 1개 획득</t>
    <phoneticPr fontId="2" type="noConversion"/>
  </si>
  <si>
    <t>퀘스트 2성 ~ 5성 각 2개 획득</t>
    <phoneticPr fontId="2" type="noConversion"/>
  </si>
  <si>
    <t>7성 획득을 위해 2성 3125개 필요 - 일반 / 정예 1일 100회 1개월 플레이 시 2성 1개씩 지급량</t>
    <phoneticPr fontId="2" type="noConversion"/>
  </si>
  <si>
    <t>7단계 난이도 업데이트</t>
    <phoneticPr fontId="2" type="noConversion"/>
  </si>
  <si>
    <t>요일던전 1개월 평균 4성 획득 시 6성 3개 획득으로 변경</t>
    <phoneticPr fontId="2" type="noConversion"/>
  </si>
  <si>
    <t>6개월 7성 12개 장착 속도</t>
    <phoneticPr fontId="2" type="noConversion"/>
  </si>
  <si>
    <t>일반/정예 던전
장비종류</t>
    <phoneticPr fontId="2" type="noConversion"/>
  </si>
  <si>
    <t>날짜</t>
    <phoneticPr fontId="2" type="noConversion"/>
  </si>
  <si>
    <t>변경내용</t>
    <phoneticPr fontId="2" type="noConversion"/>
  </si>
  <si>
    <t>Version</t>
    <phoneticPr fontId="2" type="noConversion"/>
  </si>
  <si>
    <t>일반 / 정예
룬스톤
등급</t>
    <phoneticPr fontId="2" type="noConversion"/>
  </si>
  <si>
    <t>룬스톤</t>
    <phoneticPr fontId="2" type="noConversion"/>
  </si>
  <si>
    <t>스토리</t>
    <phoneticPr fontId="2" type="noConversion"/>
  </si>
  <si>
    <t>2성 소환권</t>
    <phoneticPr fontId="2" type="noConversion"/>
  </si>
  <si>
    <t>획득수량&amp;확률 Sheet &gt; 요일던전 난이도별 획득 수량 변경</t>
    <phoneticPr fontId="2" type="noConversion"/>
  </si>
  <si>
    <t>일반&amp;정예 던전 Sheet &gt; 일반/정예 룬스톤 획득 등급 추가</t>
    <phoneticPr fontId="2" type="noConversion"/>
  </si>
  <si>
    <t>개요 Sheet &gt; 스토리 보상 신규 추가</t>
    <phoneticPr fontId="2" type="noConversion"/>
  </si>
  <si>
    <t>스토리 Sheet &gt; 스토리 보상 신규 추가</t>
    <phoneticPr fontId="2" type="noConversion"/>
  </si>
  <si>
    <t>개요 Sheet &gt; 퀘스트 보상 신규 추가</t>
    <phoneticPr fontId="2" type="noConversion"/>
  </si>
  <si>
    <t>퀘스트 Sheet &gt; 퀘스트 보상 신규 추가</t>
    <phoneticPr fontId="2" type="noConversion"/>
  </si>
  <si>
    <t>뽑기&amp;소환권 Sheet &gt; 퀘스트 보상용 2성 무기/방어구/장신구/룬스톤 소환권 신규 추가</t>
    <phoneticPr fontId="2" type="noConversion"/>
  </si>
  <si>
    <t>5성 룬스톤 뽑기권 X1</t>
    <phoneticPr fontId="2" type="noConversion"/>
  </si>
  <si>
    <t>Lotto</t>
    <phoneticPr fontId="2" type="noConversion"/>
  </si>
  <si>
    <t>업적</t>
    <phoneticPr fontId="2" type="noConversion"/>
  </si>
  <si>
    <t>업적 Sheet &gt; 월간 업적 달성 조건 횟수 변경</t>
    <phoneticPr fontId="2" type="noConversion"/>
  </si>
  <si>
    <t>월간설명 - 일반던전을 200회 완료하세요</t>
    <phoneticPr fontId="2" type="noConversion"/>
  </si>
  <si>
    <t>월간설명 - 정예던전을 100회 완료하세요</t>
    <phoneticPr fontId="2" type="noConversion"/>
  </si>
  <si>
    <t>월간설명 - 요일던전을 30회 완료하세요</t>
    <phoneticPr fontId="2" type="noConversion"/>
  </si>
  <si>
    <t>월간설명 - 룬스톤을 100개 획득하세요</t>
    <phoneticPr fontId="2" type="noConversion"/>
  </si>
  <si>
    <t>초월 파티보상</t>
    <phoneticPr fontId="2" type="noConversion"/>
  </si>
  <si>
    <t>초월 파티보상 Sheet &gt; 삭제</t>
    <phoneticPr fontId="2" type="noConversion"/>
  </si>
  <si>
    <t>2017.01.31</t>
    <phoneticPr fontId="2" type="noConversion"/>
  </si>
  <si>
    <t>2017.01.24</t>
    <phoneticPr fontId="2" type="noConversion"/>
  </si>
  <si>
    <t>구분</t>
    <phoneticPr fontId="2" type="noConversion"/>
  </si>
  <si>
    <t>점령전</t>
    <phoneticPr fontId="2" type="noConversion"/>
  </si>
  <si>
    <t>점령전</t>
    <phoneticPr fontId="2" type="noConversion"/>
  </si>
  <si>
    <t>개요 Sheet &gt; 일반/정예 던전 룬스톤 획득으로 변경</t>
    <phoneticPr fontId="2" type="noConversion"/>
  </si>
  <si>
    <t>개요 Sheet &gt; 점령전 신규 추가</t>
    <phoneticPr fontId="2" type="noConversion"/>
  </si>
  <si>
    <t>&gt; 점령전 파티별 보상</t>
    <phoneticPr fontId="2" type="noConversion"/>
  </si>
  <si>
    <t>구분</t>
    <phoneticPr fontId="27" type="noConversion"/>
  </si>
  <si>
    <t>점령전일반 2인 파티</t>
  </si>
  <si>
    <t>순위</t>
    <phoneticPr fontId="27" type="noConversion"/>
  </si>
  <si>
    <t>기여도</t>
    <phoneticPr fontId="2" type="noConversion"/>
  </si>
  <si>
    <t>1~3성 룬스톤 소환권</t>
  </si>
  <si>
    <t>보상 종류</t>
    <phoneticPr fontId="27" type="noConversion"/>
  </si>
  <si>
    <t>-</t>
    <phoneticPr fontId="2" type="noConversion"/>
  </si>
  <si>
    <t>처치</t>
    <phoneticPr fontId="2" type="noConversion"/>
  </si>
  <si>
    <t>점령기여</t>
    <phoneticPr fontId="2" type="noConversion"/>
  </si>
  <si>
    <t>점령전일반 3인 파티</t>
  </si>
  <si>
    <t>3성 룬스톤 소환권</t>
    <phoneticPr fontId="2" type="noConversion"/>
  </si>
  <si>
    <t>점령전일반 4인 파티</t>
    <phoneticPr fontId="2" type="noConversion"/>
  </si>
  <si>
    <t>3~5성 룬스톤 소환권</t>
    <phoneticPr fontId="2" type="noConversion"/>
  </si>
  <si>
    <t>&gt; 점령전 시즌 보상</t>
    <phoneticPr fontId="2" type="noConversion"/>
  </si>
  <si>
    <t>일반2대2 시즌 누적보상 1승</t>
  </si>
  <si>
    <t>일반2대2 시즌 누적보상 5승</t>
  </si>
  <si>
    <t>일반2대2 시즌 누적보상 10승</t>
  </si>
  <si>
    <t>일반2대2 시즌 누적보상 15승</t>
  </si>
  <si>
    <t>일반2대2 시즌 누적보상 20승</t>
  </si>
  <si>
    <t>일반2대2 시즌 누적보상 30승</t>
  </si>
  <si>
    <t>일반2대2 시즌 누적보상 50승</t>
  </si>
  <si>
    <t>일반2대2 시즌 누적보상 70승</t>
  </si>
  <si>
    <t>일반2대2 시즌 누적보상 100승</t>
  </si>
  <si>
    <t>일반2대2 시즌 누적보상 150승</t>
  </si>
  <si>
    <t>일반2대2 시즌 누적보상 200승</t>
  </si>
  <si>
    <t>일반2대2 시즌 누적보상 250승</t>
  </si>
  <si>
    <t>일반2대2 시즌 누적보상 300승</t>
  </si>
  <si>
    <t>일반2대2 시즌 누적보상 400승</t>
  </si>
  <si>
    <t>일반2대2 시즌 누적보상 500승</t>
  </si>
  <si>
    <t>일반2대2 시즌 누적보상 1000승</t>
  </si>
  <si>
    <t>잼</t>
    <phoneticPr fontId="27" type="noConversion"/>
  </si>
  <si>
    <t>6성 룬스톤 소환권</t>
  </si>
  <si>
    <t>일반3대3 시즌 누적보상 1승</t>
  </si>
  <si>
    <t>일반3대3 시즌 누적보상 5승</t>
  </si>
  <si>
    <t>일반3대3 시즌 누적보상 10승</t>
  </si>
  <si>
    <t>일반3대3 시즌 누적보상 15승</t>
  </si>
  <si>
    <t>일반3대3 시즌 누적보상 20승</t>
  </si>
  <si>
    <t>일반3대3 시즌 누적보상 30승</t>
  </si>
  <si>
    <t>일반3대3 시즌 누적보상 50승</t>
  </si>
  <si>
    <t>일반3대3 시즌 누적보상 70승</t>
  </si>
  <si>
    <t>일반3대3 시즌 누적보상 100승</t>
  </si>
  <si>
    <t>일반3대3 시즌 누적보상 150승</t>
  </si>
  <si>
    <t>일반3대3 시즌 누적보상 200승</t>
  </si>
  <si>
    <t>일반3대3 시즌 누적보상 250승</t>
  </si>
  <si>
    <t>일반3대3 시즌 누적보상 300승</t>
  </si>
  <si>
    <t>일반3대3 시즌 누적보상 400승</t>
  </si>
  <si>
    <t>일반3대3 시즌 누적보상 500승</t>
  </si>
  <si>
    <t>일반3대3 시즌 누적보상 1000승</t>
  </si>
  <si>
    <t>점령전일반 4인 파티</t>
  </si>
  <si>
    <t>일반4대4 시즌 누적보상 1승</t>
  </si>
  <si>
    <t>일반4대4 시즌 누적보상 5승</t>
  </si>
  <si>
    <t>일반4대4 시즌 누적보상 10승</t>
  </si>
  <si>
    <t>일반4대4 시즌 누적보상 15승</t>
  </si>
  <si>
    <t>일반4대4 시즌 누적보상 20승</t>
  </si>
  <si>
    <t>일반4대4 시즌 누적보상 30승</t>
  </si>
  <si>
    <t>일반4대4 시즌 누적보상 50승</t>
  </si>
  <si>
    <t>일반4대4 시즌 누적보상 70승</t>
  </si>
  <si>
    <t>일반4대4 시즌 누적보상 100승</t>
  </si>
  <si>
    <t>일반4대4 시즌 누적보상 150승</t>
  </si>
  <si>
    <t>일반4대4 시즌 누적보상 200승</t>
  </si>
  <si>
    <t>일반4대4 시즌 누적보상 250승</t>
  </si>
  <si>
    <t>일반4대4 시즌 누적보상 300승</t>
  </si>
  <si>
    <t>일반4대4 시즌 누적보상 400승</t>
  </si>
  <si>
    <t>일반4대4 시즌 누적보상 500승</t>
  </si>
  <si>
    <t>일반4대4 시즌 누적보상 1000승</t>
  </si>
  <si>
    <t>업적 - 룬스톤 합성 횟수 600 회</t>
  </si>
  <si>
    <t>업적 - 룬스톤 합성 횟수 700 회</t>
  </si>
  <si>
    <t>업적 - 룬스톤 합성 횟수 800 회</t>
  </si>
  <si>
    <t>업적 - 룬스톤 합성 횟수 900 회</t>
  </si>
  <si>
    <t>업적 - 룬스톤 합성 횟수 1000 회</t>
  </si>
  <si>
    <t>업적 - 결투장 루키 리그 승급</t>
    <phoneticPr fontId="2" type="noConversion"/>
  </si>
  <si>
    <t>업적 - 결투장 챌린저 리그 승급</t>
    <phoneticPr fontId="2" type="noConversion"/>
  </si>
  <si>
    <t>업적 - 결투장 프리미어 리그 승급</t>
    <phoneticPr fontId="2" type="noConversion"/>
  </si>
  <si>
    <t>업적 - 결투장 마스터 리그 승급</t>
    <phoneticPr fontId="2" type="noConversion"/>
  </si>
  <si>
    <t>업적 - 결투장 레전드 리그 승급</t>
    <phoneticPr fontId="2" type="noConversion"/>
  </si>
  <si>
    <t>업적 - 결투장 챔피언 리그 승급</t>
    <phoneticPr fontId="2" type="noConversion"/>
  </si>
  <si>
    <t>2017.02.01</t>
    <phoneticPr fontId="2" type="noConversion"/>
  </si>
  <si>
    <t>업적</t>
    <phoneticPr fontId="2" type="noConversion"/>
  </si>
  <si>
    <t>퀘스트</t>
    <phoneticPr fontId="2" type="noConversion"/>
  </si>
  <si>
    <t>점령전 Sheet &gt; 점령전 신규 추가</t>
    <phoneticPr fontId="2" type="noConversion"/>
  </si>
  <si>
    <t>[NOX] 보상 설정_20170131.xlsx</t>
    <phoneticPr fontId="2" type="noConversion"/>
  </si>
  <si>
    <t>2017.02.03</t>
    <phoneticPr fontId="2" type="noConversion"/>
  </si>
  <si>
    <t>퀘스트</t>
    <phoneticPr fontId="2" type="noConversion"/>
  </si>
  <si>
    <t>던전 장비 보상</t>
    <phoneticPr fontId="2" type="noConversion"/>
  </si>
  <si>
    <t>퀘스트 보상</t>
    <phoneticPr fontId="2" type="noConversion"/>
  </si>
  <si>
    <t>퀘스트 Sheet &gt; 퀘스트 보상 중 장비 등급 하향 개선 및 무기 소환권 지급 수량 축소</t>
    <phoneticPr fontId="2" type="noConversion"/>
  </si>
  <si>
    <t>무기 확률</t>
    <phoneticPr fontId="2" type="noConversion"/>
  </si>
  <si>
    <t>방어구 확률</t>
    <phoneticPr fontId="2" type="noConversion"/>
  </si>
  <si>
    <t>장신구 확률</t>
    <phoneticPr fontId="2" type="noConversion"/>
  </si>
  <si>
    <t>2017.02.06</t>
    <phoneticPr fontId="2" type="noConversion"/>
  </si>
  <si>
    <t>뽑기&amp;소환권</t>
    <phoneticPr fontId="2" type="noConversion"/>
  </si>
  <si>
    <t>뽑기&amp;소환권 Sheet &gt; 장비 종류별 당첨 확률 내용 추가</t>
    <phoneticPr fontId="2" type="noConversion"/>
  </si>
  <si>
    <t>2017.02.07</t>
    <phoneticPr fontId="2" type="noConversion"/>
  </si>
  <si>
    <t>[NOX] 보상 설정_20170206.xlsx</t>
    <phoneticPr fontId="2" type="noConversion"/>
  </si>
  <si>
    <t>잼</t>
    <phoneticPr fontId="2" type="noConversion"/>
  </si>
  <si>
    <t>즉시완료권</t>
  </si>
  <si>
    <t>조력자 물약 - 중형</t>
  </si>
  <si>
    <t>조력자 물약 - 대형</t>
  </si>
  <si>
    <t>조력자 조각 - 쿠이안</t>
  </si>
  <si>
    <t>조력자 초대형 물약</t>
  </si>
  <si>
    <t>조력자 조각 - 루스트룸</t>
    <phoneticPr fontId="2" type="noConversion"/>
  </si>
  <si>
    <t>보상 종류</t>
    <phoneticPr fontId="2" type="noConversion"/>
  </si>
  <si>
    <t>등급</t>
    <phoneticPr fontId="2" type="noConversion"/>
  </si>
  <si>
    <t>골드</t>
    <phoneticPr fontId="2" type="noConversion"/>
  </si>
  <si>
    <t>1성 무기 소환권</t>
    <phoneticPr fontId="2" type="noConversion"/>
  </si>
  <si>
    <t>2성 무기 소환권</t>
    <phoneticPr fontId="2" type="noConversion"/>
  </si>
  <si>
    <t>1성 방어구 소환권</t>
    <phoneticPr fontId="2" type="noConversion"/>
  </si>
  <si>
    <t>2성 방어구 소환권</t>
    <phoneticPr fontId="2" type="noConversion"/>
  </si>
  <si>
    <t>1성 징신구 소환권</t>
    <phoneticPr fontId="2" type="noConversion"/>
  </si>
  <si>
    <t>2성 징신구 소환권</t>
    <phoneticPr fontId="2" type="noConversion"/>
  </si>
  <si>
    <t>2성 룬스톤 소환권</t>
    <phoneticPr fontId="2" type="noConversion"/>
  </si>
  <si>
    <t>조력자 물약 - 중형</t>
    <phoneticPr fontId="2" type="noConversion"/>
  </si>
  <si>
    <t>조력자 물약 - 대형</t>
    <phoneticPr fontId="2" type="noConversion"/>
  </si>
  <si>
    <t>조력자 조각 - 쿠이안</t>
    <phoneticPr fontId="2" type="noConversion"/>
  </si>
  <si>
    <t>일반 / 정예
액트별 
보상 장비
등급별 확률</t>
    <phoneticPr fontId="2" type="noConversion"/>
  </si>
  <si>
    <t>퀘스트 Sheet &gt; 퀘스트 장비 소환권 등 보상 축소 등 전면 개편</t>
    <phoneticPr fontId="2" type="noConversion"/>
  </si>
  <si>
    <t>던전 보상</t>
    <phoneticPr fontId="2" type="noConversion"/>
  </si>
  <si>
    <t>2017.02.08</t>
    <phoneticPr fontId="2" type="noConversion"/>
  </si>
  <si>
    <t>뽑기확률</t>
    <phoneticPr fontId="2" type="noConversion"/>
  </si>
  <si>
    <t>뽑기&amp;소환권 Sheet &gt; 고급뽑기 확률 변경</t>
    <phoneticPr fontId="2" type="noConversion"/>
  </si>
  <si>
    <t>업적 Sheet &gt; 룬스톤 합성 횟수 완료 조건 설정 변경 및 골드 보상량 축소
업적 Sheet &gt; 균열던전 등급별 최초 클리어 다이아 보상량 축소</t>
    <phoneticPr fontId="2" type="noConversion"/>
  </si>
  <si>
    <t>퀘스트 Sheet &gt; 퀘스트 보상 축소</t>
    <phoneticPr fontId="2" type="noConversion"/>
  </si>
  <si>
    <t>일반&amp;정예 던전 Sheet &gt; 일반 / 정예 액트별 보상 장비 등급별 확률 개선</t>
    <phoneticPr fontId="2" type="noConversion"/>
  </si>
  <si>
    <t>Normal</t>
  </si>
  <si>
    <t>Unique</t>
  </si>
  <si>
    <t>2017.02.09</t>
    <phoneticPr fontId="2" type="noConversion"/>
  </si>
  <si>
    <t>균열던전 보상</t>
    <phoneticPr fontId="2" type="noConversion"/>
  </si>
  <si>
    <t>초월던전 보상</t>
    <phoneticPr fontId="2" type="noConversion"/>
  </si>
  <si>
    <t>초월 Sheet &gt; 3~4성 획득확률 축소 및 녹스 장비 획득확률 축소</t>
    <phoneticPr fontId="2" type="noConversion"/>
  </si>
  <si>
    <t>고통</t>
  </si>
  <si>
    <t>무적</t>
  </si>
  <si>
    <t>거울</t>
  </si>
  <si>
    <t>신속</t>
  </si>
  <si>
    <t>중독</t>
  </si>
  <si>
    <t>근성</t>
  </si>
  <si>
    <t>신성</t>
  </si>
  <si>
    <t>도움</t>
  </si>
  <si>
    <t>은총</t>
  </si>
  <si>
    <t>부활</t>
  </si>
  <si>
    <t>태극</t>
  </si>
  <si>
    <t>선고</t>
  </si>
  <si>
    <t>보호</t>
  </si>
  <si>
    <t>통제</t>
  </si>
  <si>
    <t>유예</t>
    <phoneticPr fontId="2" type="noConversion"/>
  </si>
  <si>
    <t>GudianStone DropRate(%) - RewardInfo</t>
    <phoneticPr fontId="2" type="noConversion"/>
  </si>
  <si>
    <t>List</t>
    <phoneticPr fontId="2" type="noConversion"/>
  </si>
  <si>
    <t>Notice</t>
    <phoneticPr fontId="2" type="noConversion"/>
  </si>
  <si>
    <t>균열 Sheet &gt; 3~4성 획득확률 축소 및 녹스 장비 획득확률 축소</t>
    <phoneticPr fontId="2" type="noConversion"/>
  </si>
  <si>
    <t>균열 Sheet &gt; 균열석 획득확률 100% 고정 및 수량 증가</t>
    <phoneticPr fontId="2" type="noConversion"/>
  </si>
  <si>
    <t>2017.02.10</t>
    <phoneticPr fontId="2" type="noConversion"/>
  </si>
  <si>
    <t>요일던전 보상</t>
    <phoneticPr fontId="2" type="noConversion"/>
  </si>
  <si>
    <t>요일던전 Sheet &gt; 룬스톤 획득량 &amp; 등급 변경</t>
    <phoneticPr fontId="2" type="noConversion"/>
  </si>
  <si>
    <t>토요일</t>
    <phoneticPr fontId="2" type="noConversion"/>
  </si>
  <si>
    <t>요일던전 Sheet &gt; 토요일 다이아 보상에서 룬스톤 보상으로 변경</t>
    <phoneticPr fontId="2" type="noConversion"/>
  </si>
  <si>
    <t>퀘스트 보상</t>
    <phoneticPr fontId="2" type="noConversion"/>
  </si>
  <si>
    <t>퀘스트 Sheet &gt; 승급 스톤 수량 축소 및 방어구-&gt;장신구-&gt;무기 승급 스톤 순으로 변경</t>
    <phoneticPr fontId="2" type="noConversion"/>
  </si>
  <si>
    <t>[NOX] 보상 설정_20170209.xlsx</t>
    <phoneticPr fontId="2" type="noConversion"/>
  </si>
  <si>
    <t>[NOX] 보상 설정_20170214.xlsx</t>
    <phoneticPr fontId="2" type="noConversion"/>
  </si>
  <si>
    <t>2017.02.14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</si>
</sst>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 "/>
    <numFmt numFmtId="177" formatCode="0.0000_);[Red]\(0.0000\)"/>
  </numFmts>
  <fonts count="4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indexed="8"/>
      <name val="맑은 고딕"/>
      <family val="3"/>
      <charset val="129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8"/>
      <color indexed="57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0"/>
      <name val="맑은 고딕"/>
      <family val="2"/>
      <charset val="129"/>
      <scheme val="minor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sz val="11"/>
      <color theme="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9"/>
      <color indexed="81"/>
      <name val="Tahoma"/>
      <family val="2"/>
      <charset val="129"/>
    </font>
    <font>
      <b/>
      <sz val="9"/>
      <color indexed="8"/>
      <name val="돋움"/>
      <family val="3"/>
      <charset val="129"/>
    </font>
    <font>
      <b/>
      <sz val="9"/>
      <color indexed="8"/>
      <name val="Tahoma"/>
      <family val="3"/>
      <charset val="129"/>
    </font>
    <font>
      <sz val="10"/>
      <color theme="0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11" fillId="8" borderId="7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9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0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543">
    <xf numFmtId="0" fontId="0" fillId="0" borderId="0" xfId="0">
      <alignment vertical="center"/>
    </xf>
    <xf numFmtId="0" fontId="3" fillId="3" borderId="2" xfId="1" applyFont="1" applyFill="1" applyBorder="1" applyAlignment="1">
      <alignment horizontal="center" vertical="center"/>
    </xf>
    <xf numFmtId="0" fontId="0" fillId="38" borderId="0" xfId="0" applyFont="1" applyFill="1">
      <alignment vertical="center"/>
    </xf>
    <xf numFmtId="0" fontId="0" fillId="38" borderId="0" xfId="0" applyFont="1" applyFill="1" applyAlignment="1">
      <alignment horizontal="center" vertical="center"/>
    </xf>
    <xf numFmtId="0" fontId="22" fillId="38" borderId="0" xfId="0" applyFont="1" applyFill="1">
      <alignment vertical="center"/>
    </xf>
    <xf numFmtId="0" fontId="23" fillId="35" borderId="2" xfId="0" applyFont="1" applyFill="1" applyBorder="1" applyAlignment="1">
      <alignment horizontal="center" vertical="center"/>
    </xf>
    <xf numFmtId="0" fontId="22" fillId="38" borderId="2" xfId="0" applyFont="1" applyFill="1" applyBorder="1">
      <alignment vertical="center"/>
    </xf>
    <xf numFmtId="0" fontId="3" fillId="3" borderId="18" xfId="43" applyNumberFormat="1" applyFont="1" applyFill="1" applyBorder="1" applyAlignment="1">
      <alignment horizontal="center" vertical="center"/>
    </xf>
    <xf numFmtId="0" fontId="25" fillId="35" borderId="1" xfId="0" applyFont="1" applyFill="1" applyBorder="1" applyAlignment="1">
      <alignment horizontal="center" vertical="center"/>
    </xf>
    <xf numFmtId="0" fontId="23" fillId="35" borderId="1" xfId="0" applyFont="1" applyFill="1" applyBorder="1" applyAlignment="1">
      <alignment horizontal="center" vertical="center"/>
    </xf>
    <xf numFmtId="0" fontId="24" fillId="38" borderId="0" xfId="0" applyFont="1" applyFill="1">
      <alignment vertical="center"/>
    </xf>
    <xf numFmtId="0" fontId="0" fillId="38" borderId="0" xfId="0" applyFill="1">
      <alignment vertical="center"/>
    </xf>
    <xf numFmtId="0" fontId="3" fillId="38" borderId="2" xfId="1" applyFont="1" applyFill="1" applyBorder="1" applyAlignment="1">
      <alignment horizontal="center" vertical="center"/>
    </xf>
    <xf numFmtId="0" fontId="22" fillId="38" borderId="1" xfId="0" applyFont="1" applyFill="1" applyBorder="1" applyAlignment="1">
      <alignment horizontal="center" vertical="center"/>
    </xf>
    <xf numFmtId="0" fontId="22" fillId="38" borderId="2" xfId="0" applyFont="1" applyFill="1" applyBorder="1" applyAlignment="1">
      <alignment horizontal="center" vertical="center"/>
    </xf>
    <xf numFmtId="0" fontId="22" fillId="38" borderId="0" xfId="0" applyFont="1" applyFill="1" applyAlignment="1">
      <alignment horizontal="center" vertical="center"/>
    </xf>
    <xf numFmtId="0" fontId="0" fillId="38" borderId="0" xfId="0" applyFill="1" applyAlignment="1">
      <alignment horizontal="center" vertical="center"/>
    </xf>
    <xf numFmtId="0" fontId="22" fillId="39" borderId="1" xfId="0" applyFont="1" applyFill="1" applyBorder="1" applyAlignment="1">
      <alignment horizontal="center" vertical="center"/>
    </xf>
    <xf numFmtId="0" fontId="22" fillId="40" borderId="1" xfId="0" applyFont="1" applyFill="1" applyBorder="1" applyAlignment="1">
      <alignment horizontal="center" vertical="center"/>
    </xf>
    <xf numFmtId="0" fontId="22" fillId="40" borderId="0" xfId="0" applyFont="1" applyFill="1" applyAlignment="1">
      <alignment horizontal="center" vertical="center"/>
    </xf>
    <xf numFmtId="0" fontId="22" fillId="40" borderId="2" xfId="0" applyFont="1" applyFill="1" applyBorder="1">
      <alignment vertical="center"/>
    </xf>
    <xf numFmtId="0" fontId="25" fillId="35" borderId="18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2" fillId="38" borderId="18" xfId="0" applyFont="1" applyFill="1" applyBorder="1" applyAlignment="1">
      <alignment horizontal="center" vertical="center"/>
    </xf>
    <xf numFmtId="49" fontId="3" fillId="38" borderId="18" xfId="47" applyNumberFormat="1" applyFont="1" applyFill="1" applyBorder="1" applyAlignment="1">
      <alignment horizontal="center" vertical="center"/>
    </xf>
    <xf numFmtId="0" fontId="22" fillId="40" borderId="18" xfId="0" applyFont="1" applyFill="1" applyBorder="1" applyAlignment="1">
      <alignment horizontal="center" vertical="center"/>
    </xf>
    <xf numFmtId="49" fontId="3" fillId="40" borderId="18" xfId="47" applyNumberFormat="1" applyFont="1" applyFill="1" applyBorder="1" applyAlignment="1">
      <alignment horizontal="center" vertical="center"/>
    </xf>
    <xf numFmtId="0" fontId="3" fillId="36" borderId="2" xfId="1" applyFont="1" applyFill="1" applyBorder="1" applyAlignment="1">
      <alignment horizontal="center" vertical="center"/>
    </xf>
    <xf numFmtId="0" fontId="22" fillId="38" borderId="18" xfId="0" applyFont="1" applyFill="1" applyBorder="1">
      <alignment vertical="center"/>
    </xf>
    <xf numFmtId="0" fontId="22" fillId="34" borderId="18" xfId="0" applyFont="1" applyFill="1" applyBorder="1" applyAlignment="1">
      <alignment horizontal="center" vertical="center"/>
    </xf>
    <xf numFmtId="0" fontId="22" fillId="34" borderId="18" xfId="0" applyFont="1" applyFill="1" applyBorder="1">
      <alignment vertical="center"/>
    </xf>
    <xf numFmtId="0" fontId="22" fillId="36" borderId="18" xfId="0" applyFont="1" applyFill="1" applyBorder="1" applyAlignment="1">
      <alignment horizontal="center" vertical="center"/>
    </xf>
    <xf numFmtId="0" fontId="22" fillId="36" borderId="18" xfId="0" applyFont="1" applyFill="1" applyBorder="1">
      <alignment vertical="center"/>
    </xf>
    <xf numFmtId="0" fontId="28" fillId="45" borderId="18" xfId="45" applyNumberFormat="1" applyFont="1" applyFill="1" applyBorder="1" applyAlignment="1">
      <alignment horizontal="center" vertical="center"/>
    </xf>
    <xf numFmtId="49" fontId="3" fillId="34" borderId="18" xfId="43" applyNumberFormat="1" applyFont="1" applyFill="1" applyBorder="1" applyAlignment="1">
      <alignment horizontal="left" vertical="center"/>
    </xf>
    <xf numFmtId="0" fontId="3" fillId="34" borderId="18" xfId="43" applyNumberFormat="1" applyFont="1" applyFill="1" applyBorder="1" applyAlignment="1">
      <alignment horizontal="center" vertical="center"/>
    </xf>
    <xf numFmtId="0" fontId="3" fillId="41" borderId="18" xfId="43" applyNumberFormat="1" applyFont="1" applyFill="1" applyBorder="1" applyAlignment="1">
      <alignment vertical="center"/>
    </xf>
    <xf numFmtId="0" fontId="3" fillId="41" borderId="18" xfId="43" applyNumberFormat="1" applyFont="1" applyFill="1" applyBorder="1" applyAlignment="1">
      <alignment horizontal="center" vertical="center"/>
    </xf>
    <xf numFmtId="49" fontId="3" fillId="41" borderId="18" xfId="43" applyNumberFormat="1" applyFont="1" applyFill="1" applyBorder="1" applyAlignment="1">
      <alignment horizontal="left" vertical="center"/>
    </xf>
    <xf numFmtId="49" fontId="3" fillId="34" borderId="18" xfId="43" applyNumberFormat="1" applyFont="1" applyFill="1" applyBorder="1" applyAlignment="1">
      <alignment horizontal="center" vertical="center"/>
    </xf>
    <xf numFmtId="49" fontId="3" fillId="41" borderId="18" xfId="43" applyNumberFormat="1" applyFont="1" applyFill="1" applyBorder="1" applyAlignment="1">
      <alignment horizontal="center" vertical="center"/>
    </xf>
    <xf numFmtId="0" fontId="22" fillId="44" borderId="18" xfId="0" applyFont="1" applyFill="1" applyBorder="1" applyAlignment="1">
      <alignment horizontal="center" vertical="center"/>
    </xf>
    <xf numFmtId="0" fontId="22" fillId="43" borderId="18" xfId="0" applyFont="1" applyFill="1" applyBorder="1" applyAlignment="1">
      <alignment horizontal="center" vertical="center"/>
    </xf>
    <xf numFmtId="0" fontId="21" fillId="41" borderId="22" xfId="0" applyFont="1" applyFill="1" applyBorder="1" applyAlignment="1">
      <alignment horizontal="center" vertical="center"/>
    </xf>
    <xf numFmtId="0" fontId="21" fillId="40" borderId="21" xfId="0" applyFont="1" applyFill="1" applyBorder="1" applyAlignment="1">
      <alignment horizontal="center" vertical="center"/>
    </xf>
    <xf numFmtId="0" fontId="21" fillId="40" borderId="22" xfId="0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1" fillId="39" borderId="21" xfId="0" applyFont="1" applyFill="1" applyBorder="1" applyAlignment="1">
      <alignment horizontal="center" vertical="center"/>
    </xf>
    <xf numFmtId="0" fontId="21" fillId="39" borderId="18" xfId="0" applyFont="1" applyFill="1" applyBorder="1" applyAlignment="1">
      <alignment horizontal="center" vertical="center"/>
    </xf>
    <xf numFmtId="0" fontId="21" fillId="41" borderId="18" xfId="0" applyFont="1" applyFill="1" applyBorder="1">
      <alignment vertical="center"/>
    </xf>
    <xf numFmtId="0" fontId="21" fillId="41" borderId="22" xfId="0" applyFont="1" applyFill="1" applyBorder="1">
      <alignment vertical="center"/>
    </xf>
    <xf numFmtId="0" fontId="21" fillId="41" borderId="21" xfId="0" applyFont="1" applyFill="1" applyBorder="1">
      <alignment vertical="center"/>
    </xf>
    <xf numFmtId="0" fontId="21" fillId="39" borderId="22" xfId="0" applyFont="1" applyFill="1" applyBorder="1" applyAlignment="1">
      <alignment horizontal="center" vertical="center"/>
    </xf>
    <xf numFmtId="0" fontId="21" fillId="40" borderId="18" xfId="0" applyFont="1" applyFill="1" applyBorder="1">
      <alignment vertical="center"/>
    </xf>
    <xf numFmtId="0" fontId="21" fillId="40" borderId="22" xfId="0" applyFont="1" applyFill="1" applyBorder="1">
      <alignment vertical="center"/>
    </xf>
    <xf numFmtId="0" fontId="21" fillId="40" borderId="21" xfId="0" applyFont="1" applyFill="1" applyBorder="1">
      <alignment vertical="center"/>
    </xf>
    <xf numFmtId="0" fontId="21" fillId="39" borderId="29" xfId="0" applyFont="1" applyFill="1" applyBorder="1" applyAlignment="1">
      <alignment horizontal="center" vertical="center"/>
    </xf>
    <xf numFmtId="0" fontId="21" fillId="39" borderId="30" xfId="0" applyFont="1" applyFill="1" applyBorder="1" applyAlignment="1">
      <alignment horizontal="center" vertical="center"/>
    </xf>
    <xf numFmtId="0" fontId="21" fillId="41" borderId="18" xfId="0" applyFont="1" applyFill="1" applyBorder="1" applyAlignment="1">
      <alignment horizontal="center" vertical="center"/>
    </xf>
    <xf numFmtId="0" fontId="21" fillId="41" borderId="15" xfId="0" applyFont="1" applyFill="1" applyBorder="1">
      <alignment vertical="center"/>
    </xf>
    <xf numFmtId="0" fontId="21" fillId="39" borderId="15" xfId="0" applyFont="1" applyFill="1" applyBorder="1" applyAlignment="1">
      <alignment horizontal="center" vertical="center"/>
    </xf>
    <xf numFmtId="0" fontId="21" fillId="40" borderId="15" xfId="0" applyFont="1" applyFill="1" applyBorder="1">
      <alignment vertical="center"/>
    </xf>
    <xf numFmtId="0" fontId="21" fillId="41" borderId="33" xfId="0" applyFont="1" applyFill="1" applyBorder="1" applyAlignment="1">
      <alignment horizontal="center" vertical="center"/>
    </xf>
    <xf numFmtId="0" fontId="21" fillId="39" borderId="25" xfId="0" applyFont="1" applyFill="1" applyBorder="1" applyAlignment="1">
      <alignment horizontal="center" vertical="center"/>
    </xf>
    <xf numFmtId="0" fontId="21" fillId="39" borderId="14" xfId="0" applyFont="1" applyFill="1" applyBorder="1" applyAlignment="1">
      <alignment horizontal="center" vertical="center"/>
    </xf>
    <xf numFmtId="0" fontId="21" fillId="41" borderId="14" xfId="0" applyFont="1" applyFill="1" applyBorder="1">
      <alignment vertical="center"/>
    </xf>
    <xf numFmtId="0" fontId="21" fillId="41" borderId="33" xfId="0" applyFont="1" applyFill="1" applyBorder="1">
      <alignment vertical="center"/>
    </xf>
    <xf numFmtId="0" fontId="21" fillId="41" borderId="25" xfId="0" applyFont="1" applyFill="1" applyBorder="1">
      <alignment vertical="center"/>
    </xf>
    <xf numFmtId="0" fontId="21" fillId="41" borderId="16" xfId="0" applyFont="1" applyFill="1" applyBorder="1">
      <alignment vertical="center"/>
    </xf>
    <xf numFmtId="0" fontId="21" fillId="39" borderId="33" xfId="0" applyFont="1" applyFill="1" applyBorder="1" applyAlignment="1">
      <alignment horizontal="center" vertical="center"/>
    </xf>
    <xf numFmtId="0" fontId="21" fillId="42" borderId="29" xfId="0" applyFont="1" applyFill="1" applyBorder="1" applyAlignment="1">
      <alignment horizontal="center" vertical="center"/>
    </xf>
    <xf numFmtId="0" fontId="21" fillId="42" borderId="30" xfId="0" applyFont="1" applyFill="1" applyBorder="1" applyAlignment="1">
      <alignment horizontal="center" vertical="center"/>
    </xf>
    <xf numFmtId="0" fontId="21" fillId="42" borderId="27" xfId="0" applyFont="1" applyFill="1" applyBorder="1" applyAlignment="1">
      <alignment horizontal="center" vertical="center"/>
    </xf>
    <xf numFmtId="0" fontId="21" fillId="42" borderId="32" xfId="0" applyFont="1" applyFill="1" applyBorder="1" applyAlignment="1">
      <alignment horizontal="center" vertical="center"/>
    </xf>
    <xf numFmtId="0" fontId="22" fillId="36" borderId="22" xfId="0" applyFont="1" applyFill="1" applyBorder="1" applyAlignment="1">
      <alignment horizontal="center" vertical="center"/>
    </xf>
    <xf numFmtId="0" fontId="22" fillId="44" borderId="30" xfId="0" applyFont="1" applyFill="1" applyBorder="1" applyAlignment="1">
      <alignment horizontal="center" vertical="center"/>
    </xf>
    <xf numFmtId="0" fontId="22" fillId="36" borderId="30" xfId="0" applyFont="1" applyFill="1" applyBorder="1" applyAlignment="1">
      <alignment horizontal="center" vertical="center"/>
    </xf>
    <xf numFmtId="0" fontId="22" fillId="43" borderId="22" xfId="0" applyFont="1" applyFill="1" applyBorder="1" applyAlignment="1">
      <alignment horizontal="center" vertical="center"/>
    </xf>
    <xf numFmtId="0" fontId="22" fillId="44" borderId="22" xfId="0" applyFont="1" applyFill="1" applyBorder="1" applyAlignment="1">
      <alignment horizontal="center" vertical="center"/>
    </xf>
    <xf numFmtId="0" fontId="22" fillId="44" borderId="27" xfId="0" applyFont="1" applyFill="1" applyBorder="1" applyAlignment="1">
      <alignment horizontal="center" vertical="center"/>
    </xf>
    <xf numFmtId="0" fontId="22" fillId="36" borderId="21" xfId="0" applyFont="1" applyFill="1" applyBorder="1" applyAlignment="1">
      <alignment horizontal="center" vertical="center"/>
    </xf>
    <xf numFmtId="0" fontId="22" fillId="36" borderId="29" xfId="0" applyFont="1" applyFill="1" applyBorder="1" applyAlignment="1">
      <alignment horizontal="center" vertical="center"/>
    </xf>
    <xf numFmtId="0" fontId="22" fillId="3" borderId="28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44" borderId="21" xfId="0" applyFont="1" applyFill="1" applyBorder="1" applyAlignment="1">
      <alignment horizontal="center" vertical="center"/>
    </xf>
    <xf numFmtId="0" fontId="22" fillId="3" borderId="22" xfId="0" applyFont="1" applyFill="1" applyBorder="1" applyAlignment="1">
      <alignment horizontal="center" vertical="center"/>
    </xf>
    <xf numFmtId="0" fontId="22" fillId="44" borderId="29" xfId="0" applyFont="1" applyFill="1" applyBorder="1" applyAlignment="1">
      <alignment horizontal="center" vertical="center"/>
    </xf>
    <xf numFmtId="0" fontId="25" fillId="35" borderId="35" xfId="0" applyFont="1" applyFill="1" applyBorder="1" applyAlignment="1">
      <alignment horizontal="center" vertical="center"/>
    </xf>
    <xf numFmtId="0" fontId="22" fillId="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2" fillId="34" borderId="22" xfId="0" applyFont="1" applyFill="1" applyBorder="1" applyAlignment="1">
      <alignment horizontal="center" vertical="center"/>
    </xf>
    <xf numFmtId="0" fontId="22" fillId="46" borderId="22" xfId="0" applyFont="1" applyFill="1" applyBorder="1" applyAlignment="1">
      <alignment horizontal="center" vertical="center"/>
    </xf>
    <xf numFmtId="0" fontId="22" fillId="36" borderId="27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5" fillId="35" borderId="23" xfId="0" applyFont="1" applyFill="1" applyBorder="1" applyAlignment="1">
      <alignment horizontal="center" vertical="center"/>
    </xf>
    <xf numFmtId="0" fontId="22" fillId="43" borderId="19" xfId="0" applyFont="1" applyFill="1" applyBorder="1" applyAlignment="1">
      <alignment horizontal="center" vertical="center"/>
    </xf>
    <xf numFmtId="0" fontId="3" fillId="47" borderId="18" xfId="43" applyNumberFormat="1" applyFont="1" applyFill="1" applyBorder="1" applyAlignment="1">
      <alignment horizontal="center" vertical="center"/>
    </xf>
    <xf numFmtId="49" fontId="3" fillId="40" borderId="18" xfId="43" applyNumberFormat="1" applyFont="1" applyFill="1" applyBorder="1" applyAlignment="1">
      <alignment horizontal="center" vertical="center"/>
    </xf>
    <xf numFmtId="0" fontId="3" fillId="40" borderId="18" xfId="43" applyNumberFormat="1" applyFont="1" applyFill="1" applyBorder="1" applyAlignment="1">
      <alignment horizontal="center" vertical="center"/>
    </xf>
    <xf numFmtId="0" fontId="3" fillId="43" borderId="18" xfId="43" applyNumberFormat="1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5" fillId="35" borderId="19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1" fillId="40" borderId="27" xfId="0" applyFont="1" applyFill="1" applyBorder="1" applyAlignment="1">
      <alignment horizontal="center" vertical="center"/>
    </xf>
    <xf numFmtId="0" fontId="21" fillId="40" borderId="30" xfId="0" applyFont="1" applyFill="1" applyBorder="1">
      <alignment vertical="center"/>
    </xf>
    <xf numFmtId="0" fontId="21" fillId="40" borderId="27" xfId="0" applyFont="1" applyFill="1" applyBorder="1">
      <alignment vertical="center"/>
    </xf>
    <xf numFmtId="0" fontId="21" fillId="40" borderId="29" xfId="0" applyFont="1" applyFill="1" applyBorder="1">
      <alignment vertical="center"/>
    </xf>
    <xf numFmtId="0" fontId="21" fillId="40" borderId="32" xfId="0" applyFont="1" applyFill="1" applyBorder="1">
      <alignment vertical="center"/>
    </xf>
    <xf numFmtId="0" fontId="0" fillId="38" borderId="18" xfId="0" applyFill="1" applyBorder="1">
      <alignment vertical="center"/>
    </xf>
    <xf numFmtId="0" fontId="0" fillId="38" borderId="18" xfId="0" applyFill="1" applyBorder="1" applyAlignment="1">
      <alignment horizontal="center" vertical="center"/>
    </xf>
    <xf numFmtId="176" fontId="0" fillId="38" borderId="18" xfId="0" applyNumberFormat="1" applyFill="1" applyBorder="1" applyAlignment="1">
      <alignment horizontal="center" vertical="center"/>
    </xf>
    <xf numFmtId="0" fontId="25" fillId="35" borderId="42" xfId="0" applyFont="1" applyFill="1" applyBorder="1" applyAlignment="1">
      <alignment horizontal="center" vertical="center"/>
    </xf>
    <xf numFmtId="0" fontId="22" fillId="43" borderId="31" xfId="0" applyFont="1" applyFill="1" applyBorder="1" applyAlignment="1">
      <alignment horizontal="center" vertical="center"/>
    </xf>
    <xf numFmtId="0" fontId="22" fillId="43" borderId="15" xfId="0" applyFont="1" applyFill="1" applyBorder="1" applyAlignment="1">
      <alignment horizontal="center" vertical="center"/>
    </xf>
    <xf numFmtId="0" fontId="22" fillId="44" borderId="15" xfId="0" applyFont="1" applyFill="1" applyBorder="1" applyAlignment="1">
      <alignment horizontal="center" vertical="center"/>
    </xf>
    <xf numFmtId="0" fontId="22" fillId="44" borderId="32" xfId="0" applyFont="1" applyFill="1" applyBorder="1" applyAlignment="1">
      <alignment horizontal="center" vertical="center"/>
    </xf>
    <xf numFmtId="0" fontId="25" fillId="35" borderId="15" xfId="0" applyFont="1" applyFill="1" applyBorder="1" applyAlignment="1">
      <alignment horizontal="center" vertical="center"/>
    </xf>
    <xf numFmtId="0" fontId="22" fillId="34" borderId="15" xfId="0" applyFont="1" applyFill="1" applyBorder="1" applyAlignment="1">
      <alignment horizontal="center" vertical="center"/>
    </xf>
    <xf numFmtId="0" fontId="22" fillId="36" borderId="15" xfId="0" applyFont="1" applyFill="1" applyBorder="1" applyAlignment="1">
      <alignment horizontal="center" vertical="center"/>
    </xf>
    <xf numFmtId="0" fontId="22" fillId="36" borderId="32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0" fontId="21" fillId="39" borderId="32" xfId="0" applyFont="1" applyFill="1" applyBorder="1" applyAlignment="1">
      <alignment horizontal="center" vertical="center"/>
    </xf>
    <xf numFmtId="0" fontId="32" fillId="48" borderId="18" xfId="0" applyFont="1" applyFill="1" applyBorder="1" applyAlignment="1">
      <alignment horizontal="center" vertical="center"/>
    </xf>
    <xf numFmtId="0" fontId="33" fillId="48" borderId="18" xfId="0" applyFont="1" applyFill="1" applyBorder="1" applyAlignment="1">
      <alignment horizontal="center" vertical="center"/>
    </xf>
    <xf numFmtId="0" fontId="32" fillId="38" borderId="0" xfId="0" applyFont="1" applyFill="1">
      <alignment vertical="center"/>
    </xf>
    <xf numFmtId="0" fontId="21" fillId="39" borderId="27" xfId="0" applyFont="1" applyFill="1" applyBorder="1" applyAlignment="1">
      <alignment horizontal="center" vertical="center"/>
    </xf>
    <xf numFmtId="0" fontId="22" fillId="40" borderId="2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49" fontId="3" fillId="0" borderId="18" xfId="47" applyNumberFormat="1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2" fillId="49" borderId="18" xfId="0" applyFont="1" applyFill="1" applyBorder="1">
      <alignment vertical="center"/>
    </xf>
    <xf numFmtId="49" fontId="3" fillId="40" borderId="18" xfId="43" applyNumberFormat="1" applyFont="1" applyFill="1" applyBorder="1" applyAlignment="1">
      <alignment horizontal="left" vertical="center"/>
    </xf>
    <xf numFmtId="9" fontId="3" fillId="40" borderId="18" xfId="43" applyNumberFormat="1" applyFont="1" applyFill="1" applyBorder="1" applyAlignment="1">
      <alignment horizontal="center" vertical="center"/>
    </xf>
    <xf numFmtId="0" fontId="3" fillId="40" borderId="18" xfId="43" applyNumberFormat="1" applyFont="1" applyFill="1" applyBorder="1" applyAlignment="1">
      <alignment vertical="center"/>
    </xf>
    <xf numFmtId="176" fontId="3" fillId="40" borderId="18" xfId="43" applyNumberFormat="1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vertical="center"/>
    </xf>
    <xf numFmtId="9" fontId="22" fillId="36" borderId="18" xfId="0" applyNumberFormat="1" applyFont="1" applyFill="1" applyBorder="1" applyAlignment="1">
      <alignment horizontal="center" vertical="center"/>
    </xf>
    <xf numFmtId="0" fontId="22" fillId="50" borderId="18" xfId="0" applyFont="1" applyFill="1" applyBorder="1">
      <alignment vertical="center"/>
    </xf>
    <xf numFmtId="49" fontId="3" fillId="51" borderId="18" xfId="43" applyNumberFormat="1" applyFont="1" applyFill="1" applyBorder="1" applyAlignment="1">
      <alignment horizontal="left" vertical="center"/>
    </xf>
    <xf numFmtId="0" fontId="3" fillId="51" borderId="18" xfId="43" applyNumberFormat="1" applyFont="1" applyFill="1" applyBorder="1" applyAlignment="1">
      <alignment horizontal="center" vertical="center"/>
    </xf>
    <xf numFmtId="9" fontId="3" fillId="51" borderId="18" xfId="43" applyNumberFormat="1" applyFont="1" applyFill="1" applyBorder="1" applyAlignment="1">
      <alignment horizontal="center" vertical="center"/>
    </xf>
    <xf numFmtId="0" fontId="3" fillId="51" borderId="18" xfId="43" applyNumberFormat="1" applyFont="1" applyFill="1" applyBorder="1" applyAlignment="1">
      <alignment vertical="center"/>
    </xf>
    <xf numFmtId="0" fontId="22" fillId="50" borderId="18" xfId="0" applyFont="1" applyFill="1" applyBorder="1" applyAlignment="1">
      <alignment vertical="center"/>
    </xf>
    <xf numFmtId="0" fontId="22" fillId="50" borderId="18" xfId="0" applyFont="1" applyFill="1" applyBorder="1" applyAlignment="1">
      <alignment horizontal="center" vertical="center"/>
    </xf>
    <xf numFmtId="9" fontId="22" fillId="50" borderId="18" xfId="0" applyNumberFormat="1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39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3" fillId="35" borderId="20" xfId="0" applyFont="1" applyFill="1" applyBorder="1" applyAlignment="1">
      <alignment horizontal="center" vertical="center"/>
    </xf>
    <xf numFmtId="0" fontId="23" fillId="35" borderId="22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3" fillId="35" borderId="20" xfId="0" applyFont="1" applyFill="1" applyBorder="1" applyAlignment="1">
      <alignment horizontal="center" vertical="center"/>
    </xf>
    <xf numFmtId="0" fontId="23" fillId="35" borderId="22" xfId="0" applyFont="1" applyFill="1" applyBorder="1" applyAlignment="1">
      <alignment horizontal="center" vertical="center"/>
    </xf>
    <xf numFmtId="0" fontId="25" fillId="35" borderId="43" xfId="0" applyFont="1" applyFill="1" applyBorder="1" applyAlignment="1">
      <alignment horizontal="center" vertical="center"/>
    </xf>
    <xf numFmtId="0" fontId="22" fillId="3" borderId="19" xfId="0" applyFont="1" applyFill="1" applyBorder="1" applyAlignment="1">
      <alignment horizontal="center" vertical="center"/>
    </xf>
    <xf numFmtId="0" fontId="22" fillId="46" borderId="28" xfId="0" applyFont="1" applyFill="1" applyBorder="1" applyAlignment="1">
      <alignment horizontal="center" vertical="center"/>
    </xf>
    <xf numFmtId="0" fontId="22" fillId="46" borderId="20" xfId="0" applyFont="1" applyFill="1" applyBorder="1" applyAlignment="1">
      <alignment horizontal="center" vertical="center"/>
    </xf>
    <xf numFmtId="0" fontId="25" fillId="35" borderId="38" xfId="0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center" vertical="center"/>
    </xf>
    <xf numFmtId="49" fontId="28" fillId="45" borderId="18" xfId="0" applyNumberFormat="1" applyFont="1" applyFill="1" applyBorder="1" applyAlignment="1">
      <alignment horizontal="center" vertical="center"/>
    </xf>
    <xf numFmtId="0" fontId="3" fillId="41" borderId="18" xfId="0" applyFont="1" applyFill="1" applyBorder="1" applyAlignment="1">
      <alignment horizontal="left" vertical="center"/>
    </xf>
    <xf numFmtId="0" fontId="3" fillId="34" borderId="18" xfId="0" applyFont="1" applyFill="1" applyBorder="1" applyAlignment="1">
      <alignment horizontal="left" vertical="center"/>
    </xf>
    <xf numFmtId="0" fontId="3" fillId="41" borderId="18" xfId="43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/>
    </xf>
    <xf numFmtId="0" fontId="3" fillId="3" borderId="18" xfId="43" applyFont="1" applyFill="1" applyBorder="1" applyAlignment="1">
      <alignment horizontal="center" vertical="center"/>
    </xf>
    <xf numFmtId="49" fontId="28" fillId="45" borderId="46" xfId="45" applyNumberFormat="1" applyFont="1" applyFill="1" applyBorder="1" applyAlignment="1">
      <alignment horizontal="center" vertical="center"/>
    </xf>
    <xf numFmtId="41" fontId="3" fillId="34" borderId="18" xfId="48" applyFont="1" applyFill="1" applyBorder="1" applyAlignment="1">
      <alignment horizontal="center" vertical="center"/>
    </xf>
    <xf numFmtId="41" fontId="3" fillId="40" borderId="18" xfId="48" applyFont="1" applyFill="1" applyBorder="1" applyAlignment="1">
      <alignment horizontal="center" vertical="center"/>
    </xf>
    <xf numFmtId="0" fontId="21" fillId="41" borderId="47" xfId="0" applyFont="1" applyFill="1" applyBorder="1">
      <alignment vertical="center"/>
    </xf>
    <xf numFmtId="0" fontId="21" fillId="40" borderId="47" xfId="0" applyFont="1" applyFill="1" applyBorder="1">
      <alignment vertical="center"/>
    </xf>
    <xf numFmtId="177" fontId="3" fillId="41" borderId="18" xfId="41" applyNumberFormat="1" applyFont="1" applyFill="1" applyBorder="1">
      <alignment vertical="center"/>
    </xf>
    <xf numFmtId="0" fontId="3" fillId="51" borderId="18" xfId="0" applyFont="1" applyFill="1" applyBorder="1" applyAlignment="1">
      <alignment horizontal="left" vertical="center"/>
    </xf>
    <xf numFmtId="177" fontId="3" fillId="51" borderId="49" xfId="41" applyNumberFormat="1" applyFont="1" applyFill="1" applyBorder="1">
      <alignment vertical="center"/>
    </xf>
    <xf numFmtId="0" fontId="3" fillId="53" borderId="18" xfId="0" applyFont="1" applyFill="1" applyBorder="1" applyAlignment="1">
      <alignment horizontal="left" vertical="center"/>
    </xf>
    <xf numFmtId="0" fontId="3" fillId="53" borderId="18" xfId="0" applyFont="1" applyFill="1" applyBorder="1" applyAlignment="1">
      <alignment horizontal="center" vertical="center"/>
    </xf>
    <xf numFmtId="177" fontId="3" fillId="53" borderId="18" xfId="41" applyNumberFormat="1" applyFont="1" applyFill="1" applyBorder="1">
      <alignment vertical="center"/>
    </xf>
    <xf numFmtId="0" fontId="3" fillId="51" borderId="49" xfId="43" applyNumberFormat="1" applyFont="1" applyFill="1" applyBorder="1" applyAlignment="1">
      <alignment horizontal="center" vertical="center"/>
    </xf>
    <xf numFmtId="0" fontId="3" fillId="41" borderId="49" xfId="43" applyNumberFormat="1" applyFont="1" applyFill="1" applyBorder="1" applyAlignment="1">
      <alignment horizontal="center" vertical="center"/>
    </xf>
    <xf numFmtId="0" fontId="3" fillId="43" borderId="49" xfId="43" applyNumberFormat="1" applyFont="1" applyFill="1" applyBorder="1" applyAlignment="1">
      <alignment horizontal="center" vertical="center"/>
    </xf>
    <xf numFmtId="0" fontId="3" fillId="53" borderId="49" xfId="43" applyNumberFormat="1" applyFont="1" applyFill="1" applyBorder="1" applyAlignment="1">
      <alignment horizontal="center" vertical="center"/>
    </xf>
    <xf numFmtId="0" fontId="3" fillId="44" borderId="49" xfId="43" applyNumberFormat="1" applyFont="1" applyFill="1" applyBorder="1" applyAlignment="1">
      <alignment horizontal="center" vertical="center"/>
    </xf>
    <xf numFmtId="0" fontId="3" fillId="34" borderId="49" xfId="43" applyNumberFormat="1" applyFont="1" applyFill="1" applyBorder="1" applyAlignment="1">
      <alignment horizontal="center" vertical="center"/>
    </xf>
    <xf numFmtId="0" fontId="3" fillId="55" borderId="49" xfId="43" applyNumberFormat="1" applyFont="1" applyFill="1" applyBorder="1" applyAlignment="1">
      <alignment horizontal="center" vertical="center"/>
    </xf>
    <xf numFmtId="49" fontId="28" fillId="45" borderId="50" xfId="45" applyNumberFormat="1" applyFont="1" applyFill="1" applyBorder="1" applyAlignment="1">
      <alignment horizontal="center" vertical="center"/>
    </xf>
    <xf numFmtId="0" fontId="3" fillId="56" borderId="51" xfId="0" applyFont="1" applyFill="1" applyBorder="1" applyAlignment="1">
      <alignment horizontal="left" vertical="center"/>
    </xf>
    <xf numFmtId="0" fontId="3" fillId="57" borderId="51" xfId="0" applyFont="1" applyFill="1" applyBorder="1" applyAlignment="1">
      <alignment horizontal="left" vertical="center"/>
    </xf>
    <xf numFmtId="0" fontId="3" fillId="58" borderId="51" xfId="0" applyFont="1" applyFill="1" applyBorder="1" applyAlignment="1">
      <alignment horizontal="left" vertical="center"/>
    </xf>
    <xf numFmtId="49" fontId="28" fillId="45" borderId="51" xfId="0" applyNumberFormat="1" applyFont="1" applyFill="1" applyBorder="1" applyAlignment="1">
      <alignment horizontal="center" vertical="center"/>
    </xf>
    <xf numFmtId="0" fontId="3" fillId="56" borderId="51" xfId="0" applyFont="1" applyFill="1" applyBorder="1" applyAlignment="1">
      <alignment horizontal="center" vertical="center"/>
    </xf>
    <xf numFmtId="49" fontId="28" fillId="45" borderId="52" xfId="45" applyNumberFormat="1" applyFont="1" applyFill="1" applyBorder="1" applyAlignment="1">
      <alignment horizontal="center" vertical="center"/>
    </xf>
    <xf numFmtId="0" fontId="3" fillId="57" borderId="51" xfId="0" applyFont="1" applyFill="1" applyBorder="1" applyAlignment="1">
      <alignment horizontal="center" vertical="center"/>
    </xf>
    <xf numFmtId="0" fontId="3" fillId="58" borderId="51" xfId="0" applyFont="1" applyFill="1" applyBorder="1" applyAlignment="1">
      <alignment horizontal="center" vertical="center"/>
    </xf>
    <xf numFmtId="41" fontId="28" fillId="45" borderId="52" xfId="48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3" fillId="52" borderId="18" xfId="43" applyNumberFormat="1" applyFont="1" applyFill="1" applyBorder="1" applyAlignment="1">
      <alignment horizontal="center" vertical="center"/>
    </xf>
    <xf numFmtId="0" fontId="21" fillId="41" borderId="51" xfId="0" applyFont="1" applyFill="1" applyBorder="1">
      <alignment vertical="center"/>
    </xf>
    <xf numFmtId="0" fontId="3" fillId="36" borderId="18" xfId="43" applyNumberFormat="1" applyFont="1" applyFill="1" applyBorder="1" applyAlignment="1">
      <alignment horizontal="center" vertical="center"/>
    </xf>
    <xf numFmtId="0" fontId="3" fillId="60" borderId="18" xfId="43" applyNumberFormat="1" applyFont="1" applyFill="1" applyBorder="1" applyAlignment="1">
      <alignment horizontal="center" vertical="center"/>
    </xf>
    <xf numFmtId="0" fontId="28" fillId="45" borderId="51" xfId="45" applyNumberFormat="1" applyFont="1" applyFill="1" applyBorder="1" applyAlignment="1">
      <alignment horizontal="center" vertical="center"/>
    </xf>
    <xf numFmtId="0" fontId="22" fillId="41" borderId="51" xfId="0" applyFont="1" applyFill="1" applyBorder="1">
      <alignment vertical="center"/>
    </xf>
    <xf numFmtId="0" fontId="22" fillId="51" borderId="51" xfId="0" applyFont="1" applyFill="1" applyBorder="1">
      <alignment vertical="center"/>
    </xf>
    <xf numFmtId="0" fontId="22" fillId="49" borderId="51" xfId="0" applyFont="1" applyFill="1" applyBorder="1">
      <alignment vertical="center"/>
    </xf>
    <xf numFmtId="0" fontId="22" fillId="36" borderId="51" xfId="0" applyFont="1" applyFill="1" applyBorder="1">
      <alignment vertical="center"/>
    </xf>
    <xf numFmtId="0" fontId="22" fillId="53" borderId="51" xfId="0" applyFont="1" applyFill="1" applyBorder="1">
      <alignment vertical="center"/>
    </xf>
    <xf numFmtId="0" fontId="22" fillId="47" borderId="51" xfId="0" applyFont="1" applyFill="1" applyBorder="1">
      <alignment vertical="center"/>
    </xf>
    <xf numFmtId="0" fontId="22" fillId="61" borderId="51" xfId="0" applyFont="1" applyFill="1" applyBorder="1">
      <alignment vertical="center"/>
    </xf>
    <xf numFmtId="0" fontId="3" fillId="57" borderId="55" xfId="0" applyFont="1" applyFill="1" applyBorder="1" applyAlignment="1">
      <alignment horizontal="left" vertical="center"/>
    </xf>
    <xf numFmtId="0" fontId="3" fillId="57" borderId="55" xfId="0" applyFont="1" applyFill="1" applyBorder="1" applyAlignment="1">
      <alignment horizontal="center" vertical="center"/>
    </xf>
    <xf numFmtId="0" fontId="3" fillId="34" borderId="55" xfId="0" applyFont="1" applyFill="1" applyBorder="1" applyAlignment="1">
      <alignment horizontal="center" vertical="center"/>
    </xf>
    <xf numFmtId="0" fontId="3" fillId="59" borderId="55" xfId="0" applyFont="1" applyFill="1" applyBorder="1" applyAlignment="1">
      <alignment horizontal="left" vertical="center"/>
    </xf>
    <xf numFmtId="0" fontId="3" fillId="59" borderId="55" xfId="0" applyFont="1" applyFill="1" applyBorder="1" applyAlignment="1">
      <alignment horizontal="center" vertical="center"/>
    </xf>
    <xf numFmtId="0" fontId="3" fillId="41" borderId="55" xfId="0" applyFont="1" applyFill="1" applyBorder="1" applyAlignment="1">
      <alignment horizontal="center" vertical="center"/>
    </xf>
    <xf numFmtId="0" fontId="3" fillId="56" borderId="55" xfId="0" applyFont="1" applyFill="1" applyBorder="1" applyAlignment="1">
      <alignment horizontal="left" vertical="center"/>
    </xf>
    <xf numFmtId="0" fontId="3" fillId="56" borderId="55" xfId="0" applyFont="1" applyFill="1" applyBorder="1" applyAlignment="1">
      <alignment horizontal="center" vertical="center"/>
    </xf>
    <xf numFmtId="0" fontId="3" fillId="34" borderId="55" xfId="0" applyFont="1" applyFill="1" applyBorder="1" applyAlignment="1">
      <alignment horizontal="left" vertical="center"/>
    </xf>
    <xf numFmtId="0" fontId="3" fillId="62" borderId="55" xfId="0" applyFont="1" applyFill="1" applyBorder="1" applyAlignment="1">
      <alignment horizontal="center" vertical="center"/>
    </xf>
    <xf numFmtId="0" fontId="3" fillId="48" borderId="55" xfId="0" applyFont="1" applyFill="1" applyBorder="1" applyAlignment="1">
      <alignment horizontal="center" vertical="center"/>
    </xf>
    <xf numFmtId="0" fontId="3" fillId="41" borderId="55" xfId="0" applyFont="1" applyFill="1" applyBorder="1" applyAlignment="1">
      <alignment horizontal="left" vertical="center"/>
    </xf>
    <xf numFmtId="0" fontId="3" fillId="40" borderId="55" xfId="0" applyFont="1" applyFill="1" applyBorder="1" applyAlignment="1">
      <alignment horizontal="left" vertical="center"/>
    </xf>
    <xf numFmtId="0" fontId="3" fillId="40" borderId="55" xfId="0" applyFont="1" applyFill="1" applyBorder="1" applyAlignment="1">
      <alignment horizontal="center" vertical="center"/>
    </xf>
    <xf numFmtId="0" fontId="3" fillId="49" borderId="55" xfId="0" applyFont="1" applyFill="1" applyBorder="1" applyAlignment="1">
      <alignment horizontal="left" vertical="center"/>
    </xf>
    <xf numFmtId="0" fontId="3" fillId="49" borderId="55" xfId="0" applyFont="1" applyFill="1" applyBorder="1" applyAlignment="1">
      <alignment horizontal="center" vertical="center"/>
    </xf>
    <xf numFmtId="0" fontId="3" fillId="63" borderId="55" xfId="0" applyFont="1" applyFill="1" applyBorder="1" applyAlignment="1">
      <alignment horizontal="center" vertical="center"/>
    </xf>
    <xf numFmtId="0" fontId="37" fillId="35" borderId="55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5" fillId="35" borderId="39" xfId="0" applyFont="1" applyFill="1" applyBorder="1" applyAlignment="1">
      <alignment horizontal="center" vertical="center"/>
    </xf>
    <xf numFmtId="0" fontId="22" fillId="3" borderId="55" xfId="0" applyFont="1" applyFill="1" applyBorder="1" applyAlignment="1">
      <alignment horizontal="center" vertical="center"/>
    </xf>
    <xf numFmtId="0" fontId="22" fillId="34" borderId="55" xfId="0" applyFont="1" applyFill="1" applyBorder="1" applyAlignment="1">
      <alignment horizontal="center" vertical="center"/>
    </xf>
    <xf numFmtId="0" fontId="22" fillId="36" borderId="55" xfId="0" applyFont="1" applyFill="1" applyBorder="1" applyAlignment="1">
      <alignment horizontal="center" vertical="center"/>
    </xf>
    <xf numFmtId="0" fontId="22" fillId="46" borderId="55" xfId="0" applyFont="1" applyFill="1" applyBorder="1" applyAlignment="1">
      <alignment horizontal="center" vertical="center"/>
    </xf>
    <xf numFmtId="0" fontId="25" fillId="35" borderId="57" xfId="0" applyFont="1" applyFill="1" applyBorder="1" applyAlignment="1">
      <alignment horizontal="center" vertical="center"/>
    </xf>
    <xf numFmtId="0" fontId="3" fillId="51" borderId="55" xfId="43" applyNumberFormat="1" applyFont="1" applyFill="1" applyBorder="1" applyAlignment="1">
      <alignment horizontal="center" vertical="center"/>
    </xf>
    <xf numFmtId="0" fontId="3" fillId="41" borderId="55" xfId="43" applyNumberFormat="1" applyFont="1" applyFill="1" applyBorder="1" applyAlignment="1">
      <alignment horizontal="center" vertical="center"/>
    </xf>
    <xf numFmtId="0" fontId="3" fillId="43" borderId="55" xfId="43" applyNumberFormat="1" applyFont="1" applyFill="1" applyBorder="1" applyAlignment="1">
      <alignment horizontal="center" vertical="center"/>
    </xf>
    <xf numFmtId="0" fontId="3" fillId="53" borderId="55" xfId="43" applyNumberFormat="1" applyFont="1" applyFill="1" applyBorder="1" applyAlignment="1">
      <alignment horizontal="center" vertical="center"/>
    </xf>
    <xf numFmtId="0" fontId="3" fillId="44" borderId="55" xfId="43" applyNumberFormat="1" applyFont="1" applyFill="1" applyBorder="1" applyAlignment="1">
      <alignment horizontal="center" vertical="center"/>
    </xf>
    <xf numFmtId="0" fontId="3" fillId="34" borderId="55" xfId="43" applyNumberFormat="1" applyFont="1" applyFill="1" applyBorder="1" applyAlignment="1">
      <alignment horizontal="center" vertical="center"/>
    </xf>
    <xf numFmtId="0" fontId="3" fillId="55" borderId="55" xfId="43" applyNumberFormat="1" applyFont="1" applyFill="1" applyBorder="1" applyAlignment="1">
      <alignment horizontal="center" vertical="center"/>
    </xf>
    <xf numFmtId="49" fontId="3" fillId="37" borderId="58" xfId="47" applyNumberFormat="1" applyFont="1" applyFill="1" applyBorder="1" applyAlignment="1">
      <alignment horizontal="center" vertical="center"/>
    </xf>
    <xf numFmtId="49" fontId="3" fillId="34" borderId="58" xfId="47" applyNumberFormat="1" applyFont="1" applyFill="1" applyBorder="1" applyAlignment="1">
      <alignment horizontal="center" vertical="center"/>
    </xf>
    <xf numFmtId="49" fontId="3" fillId="34" borderId="60" xfId="47" applyNumberFormat="1" applyFont="1" applyFill="1" applyBorder="1" applyAlignment="1">
      <alignment horizontal="center" vertical="center"/>
    </xf>
    <xf numFmtId="49" fontId="28" fillId="45" borderId="61" xfId="45" applyNumberFormat="1" applyFont="1" applyFill="1" applyBorder="1" applyAlignment="1">
      <alignment horizontal="center" vertical="center"/>
    </xf>
    <xf numFmtId="0" fontId="28" fillId="45" borderId="59" xfId="45" applyNumberFormat="1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3" fillId="44" borderId="58" xfId="47" applyNumberFormat="1" applyFont="1" applyFill="1" applyBorder="1" applyAlignment="1">
      <alignment horizontal="center" vertical="center"/>
    </xf>
    <xf numFmtId="49" fontId="3" fillId="39" borderId="58" xfId="47" applyNumberFormat="1" applyFont="1" applyFill="1" applyBorder="1" applyAlignment="1">
      <alignment horizontal="center" vertical="center"/>
    </xf>
    <xf numFmtId="0" fontId="3" fillId="37" borderId="58" xfId="47" applyNumberFormat="1" applyFont="1" applyFill="1" applyBorder="1" applyAlignment="1">
      <alignment horizontal="right" vertical="center"/>
    </xf>
    <xf numFmtId="0" fontId="3" fillId="34" borderId="58" xfId="47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3" fillId="3" borderId="58" xfId="47" applyNumberFormat="1" applyFont="1" applyFill="1" applyBorder="1" applyAlignment="1">
      <alignment horizontal="right" vertical="center"/>
    </xf>
    <xf numFmtId="41" fontId="22" fillId="0" borderId="0" xfId="48" applyFont="1" applyBorder="1" applyAlignment="1">
      <alignment horizontal="center" vertical="center"/>
    </xf>
    <xf numFmtId="0" fontId="21" fillId="41" borderId="62" xfId="0" applyFont="1" applyFill="1" applyBorder="1" applyAlignment="1">
      <alignment horizontal="center" vertical="center"/>
    </xf>
    <xf numFmtId="0" fontId="21" fillId="40" borderId="62" xfId="0" applyFont="1" applyFill="1" applyBorder="1" applyAlignment="1">
      <alignment horizontal="center" vertical="center"/>
    </xf>
    <xf numFmtId="0" fontId="21" fillId="41" borderId="58" xfId="0" applyFont="1" applyFill="1" applyBorder="1">
      <alignment vertical="center"/>
    </xf>
    <xf numFmtId="0" fontId="21" fillId="52" borderId="58" xfId="0" applyFont="1" applyFill="1" applyBorder="1" applyAlignment="1">
      <alignment horizontal="center" vertical="center"/>
    </xf>
    <xf numFmtId="0" fontId="21" fillId="40" borderId="58" xfId="0" applyFont="1" applyFill="1" applyBorder="1">
      <alignment vertical="center"/>
    </xf>
    <xf numFmtId="0" fontId="21" fillId="40" borderId="63" xfId="0" applyFont="1" applyFill="1" applyBorder="1" applyAlignment="1">
      <alignment horizontal="center" vertical="center"/>
    </xf>
    <xf numFmtId="0" fontId="21" fillId="41" borderId="62" xfId="0" applyFont="1" applyFill="1" applyBorder="1">
      <alignment vertical="center"/>
    </xf>
    <xf numFmtId="0" fontId="21" fillId="42" borderId="42" xfId="0" applyFont="1" applyFill="1" applyBorder="1" applyAlignment="1">
      <alignment horizontal="center" vertical="center"/>
    </xf>
    <xf numFmtId="0" fontId="21" fillId="42" borderId="23" xfId="0" applyFont="1" applyFill="1" applyBorder="1" applyAlignment="1">
      <alignment horizontal="center" vertical="center"/>
    </xf>
    <xf numFmtId="0" fontId="21" fillId="42" borderId="59" xfId="0" applyFont="1" applyFill="1" applyBorder="1" applyAlignment="1">
      <alignment horizontal="center" vertical="center"/>
    </xf>
    <xf numFmtId="0" fontId="21" fillId="42" borderId="43" xfId="0" applyFont="1" applyFill="1" applyBorder="1" applyAlignment="1">
      <alignment horizontal="center" vertical="center"/>
    </xf>
    <xf numFmtId="0" fontId="21" fillId="41" borderId="19" xfId="0" applyFont="1" applyFill="1" applyBorder="1">
      <alignment vertical="center"/>
    </xf>
    <xf numFmtId="0" fontId="21" fillId="41" borderId="28" xfId="0" applyFont="1" applyFill="1" applyBorder="1">
      <alignment vertical="center"/>
    </xf>
    <xf numFmtId="0" fontId="21" fillId="52" borderId="28" xfId="0" applyFont="1" applyFill="1" applyBorder="1" applyAlignment="1">
      <alignment horizontal="center" vertical="center"/>
    </xf>
    <xf numFmtId="0" fontId="21" fillId="41" borderId="64" xfId="0" applyFont="1" applyFill="1" applyBorder="1">
      <alignment vertical="center"/>
    </xf>
    <xf numFmtId="0" fontId="21" fillId="52" borderId="30" xfId="0" applyFont="1" applyFill="1" applyBorder="1" applyAlignment="1">
      <alignment horizontal="center" vertical="center"/>
    </xf>
    <xf numFmtId="41" fontId="38" fillId="42" borderId="58" xfId="48" applyFont="1" applyFill="1" applyBorder="1" applyAlignment="1">
      <alignment horizontal="center" vertical="center"/>
    </xf>
    <xf numFmtId="0" fontId="39" fillId="0" borderId="0" xfId="0" applyFont="1">
      <alignment vertical="center"/>
    </xf>
    <xf numFmtId="49" fontId="3" fillId="40" borderId="58" xfId="47" applyNumberFormat="1" applyFont="1" applyFill="1" applyBorder="1" applyAlignment="1">
      <alignment horizontal="center" vertical="center"/>
    </xf>
    <xf numFmtId="0" fontId="3" fillId="40" borderId="65" xfId="43" applyFont="1" applyFill="1" applyBorder="1" applyAlignment="1">
      <alignment horizontal="center" vertical="center"/>
    </xf>
    <xf numFmtId="49" fontId="3" fillId="53" borderId="58" xfId="47" applyNumberFormat="1" applyFont="1" applyFill="1" applyBorder="1" applyAlignment="1">
      <alignment horizontal="center" vertical="center"/>
    </xf>
    <xf numFmtId="0" fontId="3" fillId="53" borderId="65" xfId="43" applyFont="1" applyFill="1" applyBorder="1" applyAlignment="1">
      <alignment horizontal="center" vertical="center"/>
    </xf>
    <xf numFmtId="0" fontId="3" fillId="53" borderId="65" xfId="43" applyNumberFormat="1" applyFont="1" applyFill="1" applyBorder="1" applyAlignment="1">
      <alignment horizontal="center" vertical="center"/>
    </xf>
    <xf numFmtId="0" fontId="3" fillId="64" borderId="65" xfId="43" applyFont="1" applyFill="1" applyBorder="1" applyAlignment="1">
      <alignment horizontal="center" vertical="center"/>
    </xf>
    <xf numFmtId="0" fontId="3" fillId="42" borderId="65" xfId="43" applyFont="1" applyFill="1" applyBorder="1" applyAlignment="1">
      <alignment horizontal="center" vertical="center"/>
    </xf>
    <xf numFmtId="0" fontId="3" fillId="42" borderId="65" xfId="43" applyNumberFormat="1" applyFont="1" applyFill="1" applyBorder="1" applyAlignment="1">
      <alignment horizontal="center" vertical="center"/>
    </xf>
    <xf numFmtId="0" fontId="3" fillId="64" borderId="65" xfId="43" applyNumberFormat="1" applyFont="1" applyFill="1" applyBorder="1" applyAlignment="1">
      <alignment horizontal="center" vertical="center"/>
    </xf>
    <xf numFmtId="0" fontId="22" fillId="38" borderId="65" xfId="0" applyFont="1" applyFill="1" applyBorder="1">
      <alignment vertical="center"/>
    </xf>
    <xf numFmtId="0" fontId="24" fillId="38" borderId="65" xfId="0" applyFont="1" applyFill="1" applyBorder="1">
      <alignment vertical="center"/>
    </xf>
    <xf numFmtId="0" fontId="24" fillId="38" borderId="0" xfId="0" applyFont="1" applyFill="1" applyAlignment="1">
      <alignment horizontal="left" vertical="center"/>
    </xf>
    <xf numFmtId="0" fontId="22" fillId="34" borderId="21" xfId="0" applyFont="1" applyFill="1" applyBorder="1" applyAlignment="1">
      <alignment horizontal="center" vertical="center"/>
    </xf>
    <xf numFmtId="9" fontId="22" fillId="39" borderId="1" xfId="0" applyNumberFormat="1" applyFont="1" applyFill="1" applyBorder="1" applyAlignment="1">
      <alignment horizontal="center" vertical="center"/>
    </xf>
    <xf numFmtId="0" fontId="21" fillId="52" borderId="21" xfId="0" applyFont="1" applyFill="1" applyBorder="1" applyAlignment="1">
      <alignment horizontal="center" vertical="center"/>
    </xf>
    <xf numFmtId="0" fontId="21" fillId="52" borderId="18" xfId="0" applyFont="1" applyFill="1" applyBorder="1" applyAlignment="1">
      <alignment horizontal="center" vertical="center"/>
    </xf>
    <xf numFmtId="0" fontId="25" fillId="35" borderId="65" xfId="0" applyFont="1" applyFill="1" applyBorder="1" applyAlignment="1">
      <alignment horizontal="center" vertical="center"/>
    </xf>
    <xf numFmtId="0" fontId="23" fillId="35" borderId="65" xfId="0" applyFont="1" applyFill="1" applyBorder="1" applyAlignment="1">
      <alignment horizontal="center" vertical="center"/>
    </xf>
    <xf numFmtId="0" fontId="22" fillId="38" borderId="65" xfId="0" applyFont="1" applyFill="1" applyBorder="1" applyAlignment="1">
      <alignment horizontal="center" vertical="center"/>
    </xf>
    <xf numFmtId="0" fontId="22" fillId="38" borderId="65" xfId="0" applyFont="1" applyFill="1" applyBorder="1" applyAlignment="1">
      <alignment horizontal="left" vertical="center"/>
    </xf>
    <xf numFmtId="0" fontId="3" fillId="53" borderId="65" xfId="0" applyFont="1" applyFill="1" applyBorder="1" applyAlignment="1">
      <alignment horizontal="left" vertical="center"/>
    </xf>
    <xf numFmtId="0" fontId="3" fillId="54" borderId="65" xfId="0" applyFont="1" applyFill="1" applyBorder="1" applyAlignment="1">
      <alignment horizontal="left" vertical="center"/>
    </xf>
    <xf numFmtId="177" fontId="3" fillId="41" borderId="49" xfId="41" applyNumberFormat="1" applyFont="1" applyFill="1" applyBorder="1">
      <alignment vertical="center"/>
    </xf>
    <xf numFmtId="0" fontId="3" fillId="52" borderId="65" xfId="0" applyFont="1" applyFill="1" applyBorder="1" applyAlignment="1">
      <alignment horizontal="left" vertical="center"/>
    </xf>
    <xf numFmtId="0" fontId="22" fillId="38" borderId="65" xfId="0" applyFont="1" applyFill="1" applyBorder="1" applyAlignment="1">
      <alignment horizontal="center" vertical="center"/>
    </xf>
    <xf numFmtId="0" fontId="3" fillId="52" borderId="18" xfId="43" applyNumberFormat="1" applyFont="1" applyFill="1" applyBorder="1" applyAlignment="1">
      <alignment horizontal="center" vertical="center"/>
    </xf>
    <xf numFmtId="0" fontId="3" fillId="52" borderId="66" xfId="0" applyFont="1" applyFill="1" applyBorder="1" applyAlignment="1">
      <alignment horizontal="center" vertical="center"/>
    </xf>
    <xf numFmtId="0" fontId="21" fillId="41" borderId="53" xfId="0" applyFont="1" applyFill="1" applyBorder="1">
      <alignment vertical="center"/>
    </xf>
    <xf numFmtId="49" fontId="28" fillId="45" borderId="59" xfId="45" applyNumberFormat="1" applyFont="1" applyFill="1" applyBorder="1" applyAlignment="1">
      <alignment horizontal="center" vertical="center"/>
    </xf>
    <xf numFmtId="0" fontId="3" fillId="51" borderId="66" xfId="43" applyNumberFormat="1" applyFont="1" applyFill="1" applyBorder="1" applyAlignment="1">
      <alignment horizontal="center" vertical="center"/>
    </xf>
    <xf numFmtId="0" fontId="3" fillId="41" borderId="66" xfId="43" applyNumberFormat="1" applyFont="1" applyFill="1" applyBorder="1" applyAlignment="1">
      <alignment horizontal="center" vertical="center"/>
    </xf>
    <xf numFmtId="0" fontId="3" fillId="53" borderId="66" xfId="43" applyNumberFormat="1" applyFont="1" applyFill="1" applyBorder="1" applyAlignment="1">
      <alignment horizontal="center" vertical="center"/>
    </xf>
    <xf numFmtId="0" fontId="3" fillId="51" borderId="49" xfId="43" applyNumberFormat="1" applyFont="1" applyFill="1" applyBorder="1" applyAlignment="1">
      <alignment horizontal="right" vertical="center"/>
    </xf>
    <xf numFmtId="0" fontId="3" fillId="53" borderId="66" xfId="43" applyNumberFormat="1" applyFont="1" applyFill="1" applyBorder="1" applyAlignment="1">
      <alignment horizontal="left" vertical="center"/>
    </xf>
    <xf numFmtId="0" fontId="3" fillId="53" borderId="66" xfId="43" applyNumberFormat="1" applyFont="1" applyFill="1" applyBorder="1" applyAlignment="1">
      <alignment horizontal="right" vertical="center"/>
    </xf>
    <xf numFmtId="0" fontId="3" fillId="41" borderId="66" xfId="43" applyNumberFormat="1" applyFont="1" applyFill="1" applyBorder="1" applyAlignment="1">
      <alignment horizontal="left" vertical="center"/>
    </xf>
    <xf numFmtId="0" fontId="3" fillId="41" borderId="66" xfId="43" applyNumberFormat="1" applyFont="1" applyFill="1" applyBorder="1" applyAlignment="1">
      <alignment horizontal="right" vertical="center"/>
    </xf>
    <xf numFmtId="0" fontId="3" fillId="51" borderId="66" xfId="43" applyNumberFormat="1" applyFont="1" applyFill="1" applyBorder="1" applyAlignment="1">
      <alignment horizontal="left" vertical="center"/>
    </xf>
    <xf numFmtId="41" fontId="0" fillId="38" borderId="0" xfId="48" applyFont="1" applyFill="1">
      <alignment vertical="center"/>
    </xf>
    <xf numFmtId="41" fontId="28" fillId="45" borderId="59" xfId="48" applyFont="1" applyFill="1" applyBorder="1" applyAlignment="1">
      <alignment horizontal="center" vertical="center"/>
    </xf>
    <xf numFmtId="41" fontId="3" fillId="51" borderId="66" xfId="48" applyFont="1" applyFill="1" applyBorder="1" applyAlignment="1">
      <alignment horizontal="right" vertical="center"/>
    </xf>
    <xf numFmtId="41" fontId="3" fillId="41" borderId="66" xfId="48" applyFont="1" applyFill="1" applyBorder="1" applyAlignment="1">
      <alignment horizontal="right" vertical="center"/>
    </xf>
    <xf numFmtId="41" fontId="3" fillId="53" borderId="66" xfId="48" applyFont="1" applyFill="1" applyBorder="1" applyAlignment="1">
      <alignment horizontal="right" vertical="center"/>
    </xf>
    <xf numFmtId="0" fontId="0" fillId="38" borderId="0" xfId="0" applyFill="1" applyAlignment="1">
      <alignment horizontal="right" vertical="center"/>
    </xf>
    <xf numFmtId="0" fontId="3" fillId="34" borderId="66" xfId="0" applyFont="1" applyFill="1" applyBorder="1" applyAlignment="1">
      <alignment horizontal="center" vertical="center"/>
    </xf>
    <xf numFmtId="0" fontId="3" fillId="63" borderId="66" xfId="0" applyFont="1" applyFill="1" applyBorder="1" applyAlignment="1">
      <alignment horizontal="center" vertical="center"/>
    </xf>
    <xf numFmtId="0" fontId="3" fillId="62" borderId="66" xfId="0" applyFont="1" applyFill="1" applyBorder="1" applyAlignment="1">
      <alignment horizontal="center" vertical="center"/>
    </xf>
    <xf numFmtId="0" fontId="37" fillId="35" borderId="66" xfId="0" applyFont="1" applyFill="1" applyBorder="1" applyAlignment="1">
      <alignment horizontal="center" vertical="center"/>
    </xf>
    <xf numFmtId="0" fontId="37" fillId="35" borderId="66" xfId="0" applyFont="1" applyFill="1" applyBorder="1" applyAlignment="1">
      <alignment horizontal="left" vertical="center"/>
    </xf>
    <xf numFmtId="0" fontId="22" fillId="38" borderId="65" xfId="0" applyFont="1" applyFill="1" applyBorder="1" applyAlignment="1">
      <alignment horizontal="left" vertical="center" wrapText="1"/>
    </xf>
    <xf numFmtId="0" fontId="22" fillId="38" borderId="2" xfId="0" applyFont="1" applyFill="1" applyBorder="1" applyAlignment="1">
      <alignment horizontal="right" vertical="center"/>
    </xf>
    <xf numFmtId="0" fontId="22" fillId="40" borderId="1" xfId="0" applyFont="1" applyFill="1" applyBorder="1" applyAlignment="1">
      <alignment horizontal="right" vertical="center"/>
    </xf>
    <xf numFmtId="0" fontId="22" fillId="40" borderId="2" xfId="0" applyFont="1" applyFill="1" applyBorder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4" fillId="0" borderId="0" xfId="0" applyNumberFormat="1" applyFont="1" applyAlignment="1">
      <alignment horizontal="center" vertical="center"/>
    </xf>
    <xf numFmtId="49" fontId="28" fillId="45" borderId="66" xfId="0" applyNumberFormat="1" applyFont="1" applyFill="1" applyBorder="1" applyAlignment="1">
      <alignment horizontal="center" vertical="center"/>
    </xf>
    <xf numFmtId="177" fontId="3" fillId="41" borderId="66" xfId="41" applyNumberFormat="1" applyFont="1" applyFill="1" applyBorder="1">
      <alignment vertical="center"/>
    </xf>
    <xf numFmtId="0" fontId="22" fillId="38" borderId="65" xfId="0" applyFont="1" applyFill="1" applyBorder="1" applyAlignment="1">
      <alignment horizontal="center" vertical="center"/>
    </xf>
    <xf numFmtId="0" fontId="3" fillId="37" borderId="66" xfId="47" applyNumberFormat="1" applyFont="1" applyFill="1" applyBorder="1" applyAlignment="1">
      <alignment horizontal="center" vertical="center"/>
    </xf>
    <xf numFmtId="0" fontId="28" fillId="45" borderId="66" xfId="45" applyNumberFormat="1" applyFont="1" applyFill="1" applyBorder="1" applyAlignment="1">
      <alignment horizontal="center" vertical="center"/>
    </xf>
    <xf numFmtId="41" fontId="38" fillId="42" borderId="66" xfId="48" applyFont="1" applyFill="1" applyBorder="1" applyAlignment="1">
      <alignment horizontal="center" vertical="center"/>
    </xf>
    <xf numFmtId="0" fontId="3" fillId="34" borderId="66" xfId="47" applyNumberFormat="1" applyFont="1" applyFill="1" applyBorder="1" applyAlignment="1">
      <alignment horizontal="center" vertical="center"/>
    </xf>
    <xf numFmtId="0" fontId="3" fillId="41" borderId="66" xfId="47" applyNumberFormat="1" applyFont="1" applyFill="1" applyBorder="1" applyAlignment="1">
      <alignment horizontal="center" vertical="center"/>
    </xf>
    <xf numFmtId="177" fontId="0" fillId="38" borderId="0" xfId="0" applyNumberFormat="1" applyFill="1">
      <alignment vertical="center"/>
    </xf>
    <xf numFmtId="0" fontId="22" fillId="38" borderId="65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2" fillId="3" borderId="66" xfId="0" applyFont="1" applyFill="1" applyBorder="1" applyAlignment="1">
      <alignment horizontal="center" vertical="center"/>
    </xf>
    <xf numFmtId="0" fontId="22" fillId="46" borderId="66" xfId="0" applyFont="1" applyFill="1" applyBorder="1" applyAlignment="1">
      <alignment horizontal="center" vertical="center"/>
    </xf>
    <xf numFmtId="0" fontId="22" fillId="34" borderId="66" xfId="0" applyFont="1" applyFill="1" applyBorder="1" applyAlignment="1">
      <alignment horizontal="center" vertical="center"/>
    </xf>
    <xf numFmtId="0" fontId="22" fillId="36" borderId="66" xfId="0" applyFont="1" applyFill="1" applyBorder="1" applyAlignment="1">
      <alignment horizontal="center" vertical="center"/>
    </xf>
    <xf numFmtId="0" fontId="22" fillId="38" borderId="65" xfId="0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4" fillId="0" borderId="0" xfId="0" applyFont="1" applyFill="1">
      <alignment vertical="center"/>
    </xf>
    <xf numFmtId="0" fontId="0" fillId="0" borderId="0" xfId="0" applyFill="1">
      <alignment vertical="center"/>
    </xf>
    <xf numFmtId="0" fontId="25" fillId="35" borderId="66" xfId="0" applyFont="1" applyFill="1" applyBorder="1" applyAlignment="1">
      <alignment horizontal="center" vertical="center"/>
    </xf>
    <xf numFmtId="0" fontId="22" fillId="43" borderId="66" xfId="0" applyFont="1" applyFill="1" applyBorder="1" applyAlignment="1">
      <alignment horizontal="center" vertical="center"/>
    </xf>
    <xf numFmtId="0" fontId="22" fillId="34" borderId="29" xfId="0" applyFont="1" applyFill="1" applyBorder="1" applyAlignment="1">
      <alignment horizontal="center" vertical="center"/>
    </xf>
    <xf numFmtId="0" fontId="22" fillId="34" borderId="30" xfId="0" applyFont="1" applyFill="1" applyBorder="1" applyAlignment="1">
      <alignment horizontal="center" vertical="center"/>
    </xf>
    <xf numFmtId="0" fontId="22" fillId="34" borderId="27" xfId="0" applyFont="1" applyFill="1" applyBorder="1" applyAlignment="1">
      <alignment horizontal="center" vertical="center"/>
    </xf>
    <xf numFmtId="0" fontId="22" fillId="38" borderId="66" xfId="0" applyFont="1" applyFill="1" applyBorder="1" applyAlignment="1">
      <alignment horizontal="left" vertical="center"/>
    </xf>
    <xf numFmtId="0" fontId="22" fillId="38" borderId="65" xfId="0" applyFont="1" applyFill="1" applyBorder="1" applyAlignment="1">
      <alignment horizontal="center" vertical="center"/>
    </xf>
    <xf numFmtId="1" fontId="0" fillId="38" borderId="0" xfId="0" applyNumberFormat="1" applyFill="1">
      <alignment vertical="center"/>
    </xf>
    <xf numFmtId="176" fontId="3" fillId="41" borderId="18" xfId="43" applyNumberFormat="1" applyFont="1" applyFill="1" applyBorder="1" applyAlignment="1">
      <alignment horizontal="center" vertical="center"/>
    </xf>
    <xf numFmtId="0" fontId="22" fillId="38" borderId="59" xfId="0" applyFont="1" applyFill="1" applyBorder="1" applyAlignment="1">
      <alignment horizontal="center" vertical="center"/>
    </xf>
    <xf numFmtId="0" fontId="22" fillId="38" borderId="13" xfId="0" applyFont="1" applyFill="1" applyBorder="1" applyAlignment="1">
      <alignment horizontal="center" vertical="center"/>
    </xf>
    <xf numFmtId="0" fontId="22" fillId="38" borderId="60" xfId="0" applyFont="1" applyFill="1" applyBorder="1" applyAlignment="1">
      <alignment horizontal="center" vertical="center"/>
    </xf>
    <xf numFmtId="0" fontId="22" fillId="38" borderId="65" xfId="0" applyFont="1" applyFill="1" applyBorder="1" applyAlignment="1">
      <alignment horizontal="center" vertical="center"/>
    </xf>
    <xf numFmtId="0" fontId="21" fillId="42" borderId="19" xfId="0" applyFont="1" applyFill="1" applyBorder="1" applyAlignment="1">
      <alignment horizontal="center" vertical="center"/>
    </xf>
    <xf numFmtId="0" fontId="21" fillId="42" borderId="28" xfId="0" applyFont="1" applyFill="1" applyBorder="1" applyAlignment="1">
      <alignment horizontal="center" vertical="center"/>
    </xf>
    <xf numFmtId="0" fontId="21" fillId="42" borderId="31" xfId="0" applyFont="1" applyFill="1" applyBorder="1" applyAlignment="1">
      <alignment horizontal="center" vertical="center"/>
    </xf>
    <xf numFmtId="0" fontId="21" fillId="42" borderId="20" xfId="0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1" fillId="40" borderId="23" xfId="0" applyFont="1" applyFill="1" applyBorder="1" applyAlignment="1">
      <alignment horizontal="center" vertical="center"/>
    </xf>
    <xf numFmtId="0" fontId="21" fillId="40" borderId="24" xfId="0" applyFont="1" applyFill="1" applyBorder="1" applyAlignment="1">
      <alignment horizontal="center" vertical="center"/>
    </xf>
    <xf numFmtId="0" fontId="21" fillId="40" borderId="25" xfId="0" applyFont="1" applyFill="1" applyBorder="1" applyAlignment="1">
      <alignment horizontal="center" vertical="center"/>
    </xf>
    <xf numFmtId="0" fontId="21" fillId="40" borderId="26" xfId="0" applyFont="1" applyFill="1" applyBorder="1" applyAlignment="1">
      <alignment horizontal="center" vertical="center"/>
    </xf>
    <xf numFmtId="0" fontId="21" fillId="42" borderId="29" xfId="0" applyFont="1" applyFill="1" applyBorder="1" applyAlignment="1">
      <alignment horizontal="center" vertical="center"/>
    </xf>
    <xf numFmtId="0" fontId="21" fillId="42" borderId="27" xfId="0" applyFont="1" applyFill="1" applyBorder="1" applyAlignment="1">
      <alignment horizontal="center" vertical="center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/>
    </xf>
    <xf numFmtId="0" fontId="21" fillId="41" borderId="25" xfId="0" applyFont="1" applyFill="1" applyBorder="1" applyAlignment="1">
      <alignment horizontal="center" vertical="center"/>
    </xf>
    <xf numFmtId="0" fontId="21" fillId="41" borderId="23" xfId="0" applyFont="1" applyFill="1" applyBorder="1" applyAlignment="1">
      <alignment horizontal="center" vertical="center"/>
    </xf>
    <xf numFmtId="0" fontId="21" fillId="41" borderId="24" xfId="0" applyFont="1" applyFill="1" applyBorder="1" applyAlignment="1">
      <alignment horizontal="center" vertical="center"/>
    </xf>
    <xf numFmtId="0" fontId="22" fillId="50" borderId="18" xfId="0" applyFont="1" applyFill="1" applyBorder="1" applyAlignment="1">
      <alignment horizontal="center" vertical="center"/>
    </xf>
    <xf numFmtId="9" fontId="22" fillId="50" borderId="18" xfId="0" applyNumberFormat="1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/>
    </xf>
    <xf numFmtId="0" fontId="22" fillId="36" borderId="13" xfId="0" applyFont="1" applyFill="1" applyBorder="1" applyAlignment="1">
      <alignment horizontal="center" vertical="center"/>
    </xf>
    <xf numFmtId="0" fontId="22" fillId="36" borderId="14" xfId="0" applyFont="1" applyFill="1" applyBorder="1" applyAlignment="1">
      <alignment horizontal="center" vertical="center"/>
    </xf>
    <xf numFmtId="9" fontId="22" fillId="36" borderId="12" xfId="0" applyNumberFormat="1" applyFont="1" applyFill="1" applyBorder="1" applyAlignment="1">
      <alignment horizontal="center" vertical="center"/>
    </xf>
    <xf numFmtId="9" fontId="22" fillId="36" borderId="13" xfId="0" applyNumberFormat="1" applyFont="1" applyFill="1" applyBorder="1" applyAlignment="1">
      <alignment horizontal="center" vertical="center"/>
    </xf>
    <xf numFmtId="9" fontId="22" fillId="36" borderId="14" xfId="0" applyNumberFormat="1" applyFont="1" applyFill="1" applyBorder="1" applyAlignment="1">
      <alignment horizontal="center" vertical="center"/>
    </xf>
    <xf numFmtId="0" fontId="24" fillId="36" borderId="18" xfId="0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horizontal="center" vertical="center" wrapText="1"/>
    </xf>
    <xf numFmtId="0" fontId="22" fillId="36" borderId="18" xfId="0" applyFont="1" applyFill="1" applyBorder="1" applyAlignment="1">
      <alignment horizontal="center" vertical="center"/>
    </xf>
    <xf numFmtId="9" fontId="22" fillId="36" borderId="18" xfId="0" applyNumberFormat="1" applyFont="1" applyFill="1" applyBorder="1" applyAlignment="1">
      <alignment horizontal="center" vertical="center"/>
    </xf>
    <xf numFmtId="0" fontId="24" fillId="50" borderId="18" xfId="0" applyFont="1" applyFill="1" applyBorder="1" applyAlignment="1">
      <alignment horizontal="center" vertical="center"/>
    </xf>
    <xf numFmtId="0" fontId="22" fillId="50" borderId="18" xfId="0" applyFont="1" applyFill="1" applyBorder="1" applyAlignment="1">
      <alignment horizontal="center" vertical="center" wrapText="1"/>
    </xf>
    <xf numFmtId="49" fontId="22" fillId="40" borderId="18" xfId="0" applyNumberFormat="1" applyFont="1" applyFill="1" applyBorder="1" applyAlignment="1">
      <alignment horizontal="center" vertical="center"/>
    </xf>
    <xf numFmtId="0" fontId="24" fillId="51" borderId="18" xfId="0" applyFont="1" applyFill="1" applyBorder="1" applyAlignment="1">
      <alignment horizontal="center" vertical="center"/>
    </xf>
    <xf numFmtId="0" fontId="24" fillId="40" borderId="18" xfId="0" applyFont="1" applyFill="1" applyBorder="1" applyAlignment="1">
      <alignment horizontal="center" vertical="center"/>
    </xf>
    <xf numFmtId="0" fontId="24" fillId="40" borderId="59" xfId="0" applyFont="1" applyFill="1" applyBorder="1" applyAlignment="1">
      <alignment horizontal="center" vertical="center"/>
    </xf>
    <xf numFmtId="0" fontId="24" fillId="40" borderId="13" xfId="0" applyFont="1" applyFill="1" applyBorder="1" applyAlignment="1">
      <alignment horizontal="center" vertical="center"/>
    </xf>
    <xf numFmtId="0" fontId="24" fillId="40" borderId="60" xfId="0" applyFont="1" applyFill="1" applyBorder="1" applyAlignment="1">
      <alignment horizontal="center" vertical="center"/>
    </xf>
    <xf numFmtId="0" fontId="24" fillId="40" borderId="59" xfId="0" applyFont="1" applyFill="1" applyBorder="1" applyAlignment="1">
      <alignment horizontal="center" vertical="center" wrapText="1"/>
    </xf>
    <xf numFmtId="0" fontId="24" fillId="40" borderId="13" xfId="0" applyFont="1" applyFill="1" applyBorder="1" applyAlignment="1">
      <alignment horizontal="center" vertical="center" wrapText="1"/>
    </xf>
    <xf numFmtId="0" fontId="24" fillId="40" borderId="60" xfId="0" applyFont="1" applyFill="1" applyBorder="1" applyAlignment="1">
      <alignment horizontal="center" vertical="center" wrapText="1"/>
    </xf>
    <xf numFmtId="0" fontId="24" fillId="49" borderId="18" xfId="0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center" vertical="center" wrapText="1"/>
    </xf>
    <xf numFmtId="0" fontId="22" fillId="49" borderId="18" xfId="0" applyFont="1" applyFill="1" applyBorder="1" applyAlignment="1">
      <alignment horizontal="center" vertical="center"/>
    </xf>
    <xf numFmtId="9" fontId="22" fillId="49" borderId="18" xfId="0" applyNumberFormat="1" applyFont="1" applyFill="1" applyBorder="1" applyAlignment="1">
      <alignment horizontal="center" vertical="center"/>
    </xf>
    <xf numFmtId="0" fontId="23" fillId="35" borderId="12" xfId="0" applyFont="1" applyFill="1" applyBorder="1" applyAlignment="1">
      <alignment horizontal="center" vertical="center" wrapText="1"/>
    </xf>
    <xf numFmtId="0" fontId="23" fillId="35" borderId="14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4" fillId="34" borderId="18" xfId="0" applyFont="1" applyFill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/>
    </xf>
    <xf numFmtId="9" fontId="22" fillId="34" borderId="18" xfId="0" applyNumberFormat="1" applyFont="1" applyFill="1" applyBorder="1" applyAlignment="1">
      <alignment horizontal="center" vertical="center"/>
    </xf>
    <xf numFmtId="49" fontId="22" fillId="34" borderId="18" xfId="0" applyNumberFormat="1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left" vertical="center"/>
    </xf>
    <xf numFmtId="0" fontId="22" fillId="40" borderId="12" xfId="0" applyFont="1" applyFill="1" applyBorder="1" applyAlignment="1">
      <alignment horizontal="center" vertical="center" wrapText="1"/>
    </xf>
    <xf numFmtId="0" fontId="22" fillId="40" borderId="13" xfId="0" applyFont="1" applyFill="1" applyBorder="1" applyAlignment="1">
      <alignment horizontal="center" vertical="center"/>
    </xf>
    <xf numFmtId="0" fontId="22" fillId="40" borderId="14" xfId="0" applyFont="1" applyFill="1" applyBorder="1" applyAlignment="1">
      <alignment horizontal="center" vertical="center"/>
    </xf>
    <xf numFmtId="49" fontId="26" fillId="36" borderId="2" xfId="1" applyNumberFormat="1" applyFont="1" applyFill="1" applyBorder="1" applyAlignment="1">
      <alignment horizontal="center" vertical="center"/>
    </xf>
    <xf numFmtId="0" fontId="22" fillId="36" borderId="1" xfId="0" applyFont="1" applyFill="1" applyBorder="1" applyAlignment="1">
      <alignment horizontal="center" vertical="center" wrapText="1"/>
    </xf>
    <xf numFmtId="0" fontId="22" fillId="36" borderId="1" xfId="0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 wrapText="1"/>
    </xf>
    <xf numFmtId="49" fontId="3" fillId="38" borderId="18" xfId="47" applyNumberFormat="1" applyFont="1" applyFill="1" applyBorder="1" applyAlignment="1">
      <alignment horizontal="left" vertical="center"/>
    </xf>
    <xf numFmtId="49" fontId="3" fillId="40" borderId="18" xfId="47" applyNumberFormat="1" applyFont="1" applyFill="1" applyBorder="1" applyAlignment="1">
      <alignment horizontal="left" vertical="center"/>
    </xf>
    <xf numFmtId="49" fontId="3" fillId="0" borderId="18" xfId="47" applyNumberFormat="1" applyFont="1" applyFill="1" applyBorder="1" applyAlignment="1">
      <alignment horizontal="left" vertical="center"/>
    </xf>
    <xf numFmtId="0" fontId="22" fillId="34" borderId="18" xfId="0" applyFont="1" applyFill="1" applyBorder="1" applyAlignment="1">
      <alignment horizontal="center" vertical="center" wrapText="1"/>
    </xf>
    <xf numFmtId="0" fontId="24" fillId="41" borderId="18" xfId="0" applyFont="1" applyFill="1" applyBorder="1" applyAlignment="1">
      <alignment horizontal="center" vertical="center"/>
    </xf>
    <xf numFmtId="0" fontId="3" fillId="41" borderId="18" xfId="43" applyNumberFormat="1" applyFont="1" applyFill="1" applyBorder="1" applyAlignment="1">
      <alignment horizontal="left" vertical="center"/>
    </xf>
    <xf numFmtId="0" fontId="3" fillId="41" borderId="12" xfId="43" applyNumberFormat="1" applyFont="1" applyFill="1" applyBorder="1" applyAlignment="1">
      <alignment horizontal="center" vertical="center"/>
    </xf>
    <xf numFmtId="0" fontId="3" fillId="41" borderId="14" xfId="43" applyNumberFormat="1" applyFont="1" applyFill="1" applyBorder="1" applyAlignment="1">
      <alignment horizontal="center" vertical="center"/>
    </xf>
    <xf numFmtId="0" fontId="3" fillId="41" borderId="13" xfId="43" applyNumberFormat="1" applyFont="1" applyFill="1" applyBorder="1" applyAlignment="1">
      <alignment horizontal="center" vertical="center"/>
    </xf>
    <xf numFmtId="0" fontId="3" fillId="41" borderId="46" xfId="43" applyNumberFormat="1" applyFont="1" applyFill="1" applyBorder="1" applyAlignment="1">
      <alignment horizontal="center" vertical="center"/>
    </xf>
    <xf numFmtId="0" fontId="24" fillId="38" borderId="65" xfId="0" applyFont="1" applyFill="1" applyBorder="1" applyAlignment="1">
      <alignment horizontal="center" vertical="center"/>
    </xf>
    <xf numFmtId="0" fontId="25" fillId="35" borderId="19" xfId="0" applyFont="1" applyFill="1" applyBorder="1" applyAlignment="1">
      <alignment horizontal="center" vertical="center" wrapText="1"/>
    </xf>
    <xf numFmtId="0" fontId="25" fillId="35" borderId="31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15" xfId="0" applyFont="1" applyFill="1" applyBorder="1" applyAlignment="1">
      <alignment horizontal="center" vertical="center"/>
    </xf>
    <xf numFmtId="0" fontId="25" fillId="35" borderId="34" xfId="0" applyFont="1" applyFill="1" applyBorder="1" applyAlignment="1">
      <alignment horizontal="center" vertical="center"/>
    </xf>
    <xf numFmtId="0" fontId="25" fillId="35" borderId="39" xfId="0" applyFont="1" applyFill="1" applyBorder="1" applyAlignment="1">
      <alignment horizontal="center" vertical="center"/>
    </xf>
    <xf numFmtId="0" fontId="23" fillId="35" borderId="36" xfId="0" applyFont="1" applyFill="1" applyBorder="1" applyAlignment="1">
      <alignment horizontal="center" vertical="center"/>
    </xf>
    <xf numFmtId="0" fontId="23" fillId="35" borderId="37" xfId="0" applyFont="1" applyFill="1" applyBorder="1" applyAlignment="1">
      <alignment horizontal="center" vertical="center"/>
    </xf>
    <xf numFmtId="0" fontId="23" fillId="35" borderId="38" xfId="0" applyFont="1" applyFill="1" applyBorder="1" applyAlignment="1">
      <alignment horizontal="center" vertical="center"/>
    </xf>
    <xf numFmtId="0" fontId="25" fillId="35" borderId="36" xfId="0" applyFont="1" applyFill="1" applyBorder="1" applyAlignment="1">
      <alignment horizontal="center" vertical="center"/>
    </xf>
    <xf numFmtId="0" fontId="25" fillId="35" borderId="37" xfId="0" applyFont="1" applyFill="1" applyBorder="1" applyAlignment="1">
      <alignment horizontal="center" vertical="center"/>
    </xf>
    <xf numFmtId="0" fontId="25" fillId="35" borderId="0" xfId="0" applyFont="1" applyFill="1" applyBorder="1" applyAlignment="1">
      <alignment horizontal="center" vertical="center"/>
    </xf>
    <xf numFmtId="0" fontId="25" fillId="35" borderId="56" xfId="0" applyFont="1" applyFill="1" applyBorder="1" applyAlignment="1">
      <alignment horizontal="center" vertical="center" wrapText="1"/>
    </xf>
    <xf numFmtId="0" fontId="25" fillId="35" borderId="20" xfId="0" applyFont="1" applyFill="1" applyBorder="1" applyAlignment="1">
      <alignment horizontal="center" vertical="center"/>
    </xf>
    <xf numFmtId="0" fontId="25" fillId="35" borderId="44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5" fillId="35" borderId="36" xfId="0" applyFont="1" applyFill="1" applyBorder="1" applyAlignment="1">
      <alignment horizontal="center" vertical="center" wrapText="1"/>
    </xf>
    <xf numFmtId="0" fontId="25" fillId="35" borderId="37" xfId="0" applyFont="1" applyFill="1" applyBorder="1" applyAlignment="1">
      <alignment horizontal="center" vertical="center" wrapText="1"/>
    </xf>
    <xf numFmtId="0" fontId="25" fillId="35" borderId="38" xfId="0" applyFont="1" applyFill="1" applyBorder="1" applyAlignment="1">
      <alignment horizontal="center" vertical="center" wrapText="1"/>
    </xf>
    <xf numFmtId="0" fontId="25" fillId="35" borderId="40" xfId="0" applyFont="1" applyFill="1" applyBorder="1" applyAlignment="1">
      <alignment horizontal="center" vertical="center" wrapText="1"/>
    </xf>
    <xf numFmtId="0" fontId="25" fillId="35" borderId="17" xfId="0" applyFont="1" applyFill="1" applyBorder="1" applyAlignment="1">
      <alignment horizontal="center" vertical="center" wrapText="1"/>
    </xf>
    <xf numFmtId="0" fontId="25" fillId="35" borderId="41" xfId="0" applyFont="1" applyFill="1" applyBorder="1" applyAlignment="1">
      <alignment horizontal="center" vertical="center" wrapText="1"/>
    </xf>
    <xf numFmtId="0" fontId="23" fillId="35" borderId="19" xfId="0" applyFont="1" applyFill="1" applyBorder="1" applyAlignment="1">
      <alignment horizontal="center" vertical="center"/>
    </xf>
    <xf numFmtId="0" fontId="23" fillId="35" borderId="28" xfId="0" applyFont="1" applyFill="1" applyBorder="1" applyAlignment="1">
      <alignment horizontal="center" vertical="center"/>
    </xf>
    <xf numFmtId="0" fontId="23" fillId="35" borderId="21" xfId="0" applyFont="1" applyFill="1" applyBorder="1" applyAlignment="1">
      <alignment horizontal="center" vertical="center"/>
    </xf>
    <xf numFmtId="0" fontId="25" fillId="35" borderId="40" xfId="0" applyFont="1" applyFill="1" applyBorder="1" applyAlignment="1">
      <alignment horizontal="center" vertical="center"/>
    </xf>
    <xf numFmtId="0" fontId="25" fillId="35" borderId="17" xfId="0" applyFont="1" applyFill="1" applyBorder="1" applyAlignment="1">
      <alignment horizontal="center" vertical="center"/>
    </xf>
    <xf numFmtId="0" fontId="25" fillId="35" borderId="20" xfId="0" applyFont="1" applyFill="1" applyBorder="1" applyAlignment="1">
      <alignment horizontal="center" vertical="center" wrapText="1"/>
    </xf>
    <xf numFmtId="0" fontId="25" fillId="35" borderId="21" xfId="0" applyFont="1" applyFill="1" applyBorder="1" applyAlignment="1">
      <alignment horizontal="center" vertical="center" wrapText="1"/>
    </xf>
    <xf numFmtId="0" fontId="25" fillId="35" borderId="22" xfId="0" applyFont="1" applyFill="1" applyBorder="1" applyAlignment="1">
      <alignment horizontal="center" vertical="center" wrapText="1"/>
    </xf>
    <xf numFmtId="0" fontId="25" fillId="35" borderId="28" xfId="0" applyFont="1" applyFill="1" applyBorder="1" applyAlignment="1">
      <alignment horizontal="center" vertical="center" wrapText="1"/>
    </xf>
    <xf numFmtId="0" fontId="25" fillId="35" borderId="66" xfId="0" applyFont="1" applyFill="1" applyBorder="1" applyAlignment="1">
      <alignment horizontal="center" vertical="center" wrapText="1"/>
    </xf>
    <xf numFmtId="0" fontId="3" fillId="51" borderId="66" xfId="43" applyNumberFormat="1" applyFont="1" applyFill="1" applyBorder="1" applyAlignment="1">
      <alignment horizontal="center" vertical="center"/>
    </xf>
    <xf numFmtId="0" fontId="3" fillId="41" borderId="66" xfId="43" applyNumberFormat="1" applyFont="1" applyFill="1" applyBorder="1" applyAlignment="1">
      <alignment horizontal="center" vertical="center"/>
    </xf>
    <xf numFmtId="0" fontId="3" fillId="53" borderId="66" xfId="43" applyNumberFormat="1" applyFont="1" applyFill="1" applyBorder="1" applyAlignment="1">
      <alignment horizontal="center" vertical="center"/>
    </xf>
    <xf numFmtId="0" fontId="24" fillId="34" borderId="12" xfId="0" applyFont="1" applyFill="1" applyBorder="1" applyAlignment="1">
      <alignment horizontal="center" vertical="center"/>
    </xf>
    <xf numFmtId="0" fontId="24" fillId="34" borderId="13" xfId="0" applyFont="1" applyFill="1" applyBorder="1" applyAlignment="1">
      <alignment horizontal="center" vertical="center"/>
    </xf>
    <xf numFmtId="0" fontId="24" fillId="34" borderId="14" xfId="0" applyFont="1" applyFill="1" applyBorder="1" applyAlignment="1">
      <alignment horizontal="center" vertical="center"/>
    </xf>
    <xf numFmtId="0" fontId="28" fillId="45" borderId="15" xfId="45" applyNumberFormat="1" applyFont="1" applyFill="1" applyBorder="1" applyAlignment="1">
      <alignment horizontal="center" vertical="center"/>
    </xf>
    <xf numFmtId="0" fontId="28" fillId="45" borderId="44" xfId="45" applyNumberFormat="1" applyFont="1" applyFill="1" applyBorder="1" applyAlignment="1">
      <alignment horizontal="center" vertical="center"/>
    </xf>
    <xf numFmtId="0" fontId="28" fillId="45" borderId="45" xfId="45" applyNumberFormat="1" applyFont="1" applyFill="1" applyBorder="1" applyAlignment="1">
      <alignment horizontal="center" vertical="center"/>
    </xf>
    <xf numFmtId="0" fontId="28" fillId="45" borderId="12" xfId="45" applyNumberFormat="1" applyFont="1" applyFill="1" applyBorder="1" applyAlignment="1">
      <alignment horizontal="center" vertical="center"/>
    </xf>
    <xf numFmtId="0" fontId="28" fillId="45" borderId="14" xfId="45" applyNumberFormat="1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 wrapText="1"/>
    </xf>
    <xf numFmtId="0" fontId="28" fillId="45" borderId="47" xfId="45" applyNumberFormat="1" applyFont="1" applyFill="1" applyBorder="1" applyAlignment="1">
      <alignment horizontal="center" vertical="center"/>
    </xf>
    <xf numFmtId="0" fontId="3" fillId="36" borderId="18" xfId="43" applyNumberFormat="1" applyFont="1" applyFill="1" applyBorder="1" applyAlignment="1">
      <alignment horizontal="center" vertical="center"/>
    </xf>
    <xf numFmtId="0" fontId="3" fillId="60" borderId="18" xfId="43" applyNumberFormat="1" applyFont="1" applyFill="1" applyBorder="1" applyAlignment="1">
      <alignment horizontal="center" vertical="center"/>
    </xf>
    <xf numFmtId="0" fontId="3" fillId="52" borderId="18" xfId="43" applyNumberFormat="1" applyFont="1" applyFill="1" applyBorder="1" applyAlignment="1">
      <alignment horizontal="center" vertical="center"/>
    </xf>
    <xf numFmtId="49" fontId="28" fillId="45" borderId="47" xfId="45" applyNumberFormat="1" applyFont="1" applyFill="1" applyBorder="1" applyAlignment="1">
      <alignment horizontal="center" vertical="center"/>
    </xf>
    <xf numFmtId="49" fontId="28" fillId="45" borderId="48" xfId="45" applyNumberFormat="1" applyFont="1" applyFill="1" applyBorder="1" applyAlignment="1">
      <alignment horizontal="center" vertical="center"/>
    </xf>
    <xf numFmtId="0" fontId="28" fillId="45" borderId="46" xfId="45" applyNumberFormat="1" applyFont="1" applyFill="1" applyBorder="1" applyAlignment="1">
      <alignment horizontal="center" vertical="center"/>
    </xf>
    <xf numFmtId="0" fontId="18" fillId="35" borderId="0" xfId="0" applyFont="1" applyFill="1" applyAlignment="1">
      <alignment horizontal="center" vertical="center"/>
    </xf>
    <xf numFmtId="0" fontId="29" fillId="35" borderId="0" xfId="0" applyFont="1" applyFill="1" applyAlignment="1">
      <alignment horizontal="center" vertical="center"/>
    </xf>
    <xf numFmtId="41" fontId="22" fillId="34" borderId="55" xfId="48" applyFont="1" applyFill="1" applyBorder="1" applyAlignment="1">
      <alignment horizontal="center" vertical="center"/>
    </xf>
    <xf numFmtId="41" fontId="22" fillId="41" borderId="55" xfId="48" applyFont="1" applyFill="1" applyBorder="1" applyAlignment="1">
      <alignment horizontal="center" vertical="center"/>
    </xf>
    <xf numFmtId="41" fontId="28" fillId="45" borderId="53" xfId="48" applyFont="1" applyFill="1" applyBorder="1" applyAlignment="1">
      <alignment horizontal="center" vertical="center"/>
    </xf>
    <xf numFmtId="41" fontId="28" fillId="45" borderId="54" xfId="48" applyFont="1" applyFill="1" applyBorder="1" applyAlignment="1">
      <alignment horizontal="center" vertical="center"/>
    </xf>
    <xf numFmtId="41" fontId="24" fillId="41" borderId="49" xfId="48" applyFont="1" applyFill="1" applyBorder="1" applyAlignment="1">
      <alignment horizontal="center" vertical="center"/>
    </xf>
    <xf numFmtId="41" fontId="24" fillId="34" borderId="49" xfId="48" applyFont="1" applyFill="1" applyBorder="1" applyAlignment="1">
      <alignment horizontal="center" vertical="center"/>
    </xf>
    <xf numFmtId="41" fontId="24" fillId="40" borderId="46" xfId="48" applyFont="1" applyFill="1" applyBorder="1" applyAlignment="1">
      <alignment horizontal="center" vertical="center"/>
    </xf>
    <xf numFmtId="41" fontId="24" fillId="40" borderId="13" xfId="48" applyFont="1" applyFill="1" applyBorder="1" applyAlignment="1">
      <alignment horizontal="center" vertical="center"/>
    </xf>
    <xf numFmtId="41" fontId="24" fillId="40" borderId="14" xfId="48" applyFont="1" applyFill="1" applyBorder="1" applyAlignment="1">
      <alignment horizontal="center" vertical="center"/>
    </xf>
    <xf numFmtId="41" fontId="22" fillId="41" borderId="55" xfId="48" applyFont="1" applyFill="1" applyBorder="1" applyAlignment="1">
      <alignment horizontal="center" vertical="top"/>
    </xf>
    <xf numFmtId="41" fontId="22" fillId="41" borderId="51" xfId="48" applyFont="1" applyFill="1" applyBorder="1" applyAlignment="1">
      <alignment horizontal="center" vertical="top"/>
    </xf>
    <xf numFmtId="41" fontId="22" fillId="34" borderId="59" xfId="48" applyFont="1" applyFill="1" applyBorder="1" applyAlignment="1">
      <alignment horizontal="center" vertical="center"/>
    </xf>
    <xf numFmtId="41" fontId="22" fillId="34" borderId="13" xfId="48" applyFont="1" applyFill="1" applyBorder="1" applyAlignment="1">
      <alignment horizontal="center" vertical="center"/>
    </xf>
    <xf numFmtId="41" fontId="22" fillId="34" borderId="60" xfId="48" applyFont="1" applyFill="1" applyBorder="1" applyAlignment="1">
      <alignment horizontal="center" vertical="center"/>
    </xf>
    <xf numFmtId="41" fontId="23" fillId="35" borderId="55" xfId="48" applyFont="1" applyFill="1" applyBorder="1" applyAlignment="1">
      <alignment horizontal="center" vertical="center"/>
    </xf>
    <xf numFmtId="41" fontId="22" fillId="41" borderId="46" xfId="48" applyFont="1" applyFill="1" applyBorder="1" applyAlignment="1">
      <alignment horizontal="center" vertical="center"/>
    </xf>
    <xf numFmtId="41" fontId="22" fillId="41" borderId="13" xfId="48" applyFont="1" applyFill="1" applyBorder="1" applyAlignment="1">
      <alignment horizontal="center" vertical="center"/>
    </xf>
    <xf numFmtId="41" fontId="22" fillId="41" borderId="14" xfId="48" applyFont="1" applyFill="1" applyBorder="1" applyAlignment="1">
      <alignment horizontal="center" vertical="center"/>
    </xf>
    <xf numFmtId="0" fontId="24" fillId="40" borderId="46" xfId="0" applyFont="1" applyFill="1" applyBorder="1" applyAlignment="1">
      <alignment horizontal="center" vertical="center"/>
    </xf>
    <xf numFmtId="0" fontId="24" fillId="40" borderId="14" xfId="0" applyFont="1" applyFill="1" applyBorder="1" applyAlignment="1">
      <alignment horizontal="center" vertical="center"/>
    </xf>
    <xf numFmtId="0" fontId="24" fillId="41" borderId="55" xfId="0" applyFont="1" applyFill="1" applyBorder="1" applyAlignment="1">
      <alignment horizontal="center" vertical="center"/>
    </xf>
    <xf numFmtId="41" fontId="24" fillId="41" borderId="18" xfId="48" applyFont="1" applyFill="1" applyBorder="1" applyAlignment="1">
      <alignment horizontal="center" vertical="center"/>
    </xf>
    <xf numFmtId="41" fontId="24" fillId="34" borderId="18" xfId="48" applyFont="1" applyFill="1" applyBorder="1" applyAlignment="1">
      <alignment horizontal="center" vertical="center"/>
    </xf>
    <xf numFmtId="177" fontId="3" fillId="41" borderId="66" xfId="41" applyNumberFormat="1" applyFont="1" applyFill="1" applyBorder="1" applyAlignment="1">
      <alignment horizontal="center" vertical="center"/>
    </xf>
    <xf numFmtId="0" fontId="24" fillId="53" borderId="59" xfId="0" applyFont="1" applyFill="1" applyBorder="1" applyAlignment="1">
      <alignment horizontal="center" vertical="center"/>
    </xf>
    <xf numFmtId="0" fontId="24" fillId="53" borderId="13" xfId="0" applyFont="1" applyFill="1" applyBorder="1" applyAlignment="1">
      <alignment horizontal="center" vertical="center"/>
    </xf>
    <xf numFmtId="0" fontId="24" fillId="53" borderId="60" xfId="0" applyFont="1" applyFill="1" applyBorder="1" applyAlignment="1">
      <alignment horizontal="center" vertical="center"/>
    </xf>
    <xf numFmtId="0" fontId="24" fillId="53" borderId="65" xfId="0" applyFont="1" applyFill="1" applyBorder="1" applyAlignment="1">
      <alignment horizontal="center" vertical="center" wrapText="1"/>
    </xf>
    <xf numFmtId="0" fontId="24" fillId="34" borderId="18" xfId="0" applyFont="1" applyFill="1" applyBorder="1" applyAlignment="1">
      <alignment horizontal="center" vertical="center" wrapText="1"/>
    </xf>
    <xf numFmtId="0" fontId="3" fillId="54" borderId="18" xfId="0" applyFont="1" applyFill="1" applyBorder="1" applyAlignment="1">
      <alignment horizontal="center" vertical="center"/>
    </xf>
    <xf numFmtId="0" fontId="24" fillId="53" borderId="18" xfId="0" applyFont="1" applyFill="1" applyBorder="1" applyAlignment="1">
      <alignment horizontal="center" vertical="center"/>
    </xf>
    <xf numFmtId="0" fontId="24" fillId="51" borderId="46" xfId="0" applyFont="1" applyFill="1" applyBorder="1" applyAlignment="1">
      <alignment horizontal="center" vertical="center"/>
    </xf>
    <xf numFmtId="0" fontId="24" fillId="51" borderId="13" xfId="0" applyFont="1" applyFill="1" applyBorder="1" applyAlignment="1">
      <alignment horizontal="center" vertical="center"/>
    </xf>
    <xf numFmtId="0" fontId="24" fillId="51" borderId="14" xfId="0" applyFont="1" applyFill="1" applyBorder="1" applyAlignment="1">
      <alignment horizontal="center" vertical="center"/>
    </xf>
    <xf numFmtId="0" fontId="24" fillId="41" borderId="51" xfId="0" applyFont="1" applyFill="1" applyBorder="1" applyAlignment="1">
      <alignment horizontal="center" vertical="center"/>
    </xf>
    <xf numFmtId="0" fontId="22" fillId="41" borderId="51" xfId="0" applyFont="1" applyFill="1" applyBorder="1" applyAlignment="1">
      <alignment horizontal="center" vertical="center"/>
    </xf>
    <xf numFmtId="0" fontId="24" fillId="49" borderId="51" xfId="0" applyFont="1" applyFill="1" applyBorder="1" applyAlignment="1">
      <alignment horizontal="center" vertical="center"/>
    </xf>
    <xf numFmtId="0" fontId="22" fillId="49" borderId="51" xfId="0" applyFont="1" applyFill="1" applyBorder="1" applyAlignment="1">
      <alignment horizontal="center" vertical="center"/>
    </xf>
    <xf numFmtId="0" fontId="22" fillId="47" borderId="51" xfId="0" applyFont="1" applyFill="1" applyBorder="1" applyAlignment="1">
      <alignment horizontal="center" vertical="center"/>
    </xf>
    <xf numFmtId="0" fontId="24" fillId="47" borderId="51" xfId="0" applyFont="1" applyFill="1" applyBorder="1" applyAlignment="1">
      <alignment horizontal="center" vertical="center"/>
    </xf>
    <xf numFmtId="0" fontId="22" fillId="51" borderId="51" xfId="0" applyFont="1" applyFill="1" applyBorder="1" applyAlignment="1">
      <alignment horizontal="center" vertical="center"/>
    </xf>
    <xf numFmtId="0" fontId="24" fillId="36" borderId="51" xfId="0" applyFont="1" applyFill="1" applyBorder="1" applyAlignment="1">
      <alignment horizontal="center" vertical="center"/>
    </xf>
    <xf numFmtId="0" fontId="22" fillId="36" borderId="51" xfId="0" applyFont="1" applyFill="1" applyBorder="1" applyAlignment="1">
      <alignment horizontal="center" vertical="center"/>
    </xf>
    <xf numFmtId="0" fontId="24" fillId="53" borderId="51" xfId="0" applyFont="1" applyFill="1" applyBorder="1" applyAlignment="1">
      <alignment horizontal="center" vertical="center"/>
    </xf>
    <xf numFmtId="0" fontId="22" fillId="53" borderId="51" xfId="0" applyFont="1" applyFill="1" applyBorder="1" applyAlignment="1">
      <alignment horizontal="center" vertical="center"/>
    </xf>
    <xf numFmtId="0" fontId="24" fillId="61" borderId="51" xfId="0" applyFont="1" applyFill="1" applyBorder="1" applyAlignment="1">
      <alignment horizontal="center" vertical="center"/>
    </xf>
    <xf numFmtId="0" fontId="3" fillId="52" borderId="66" xfId="47" applyNumberFormat="1" applyFont="1" applyFill="1" applyBorder="1" applyAlignment="1">
      <alignment horizontal="center" vertical="center"/>
    </xf>
    <xf numFmtId="0" fontId="3" fillId="34" borderId="18" xfId="43" applyNumberFormat="1" applyFont="1" applyFill="1" applyBorder="1" applyAlignment="1">
      <alignment vertical="center"/>
    </xf>
    <xf numFmtId="0" fontId="3" fillId="34" borderId="18" xfId="43" applyNumberFormat="1" applyFont="1" applyFill="1" applyBorder="1" applyAlignment="1">
      <alignment horizontal="left" vertical="center"/>
    </xf>
    <xf numFmtId="0" fontId="3" fillId="34" borderId="46" xfId="43" applyNumberFormat="1" applyFont="1" applyFill="1" applyBorder="1" applyAlignment="1">
      <alignment horizontal="center" vertical="center"/>
    </xf>
    <xf numFmtId="0" fontId="3" fillId="34" borderId="14" xfId="43" applyNumberFormat="1" applyFont="1" applyFill="1" applyBorder="1" applyAlignment="1">
      <alignment horizontal="center" vertical="center"/>
    </xf>
    <xf numFmtId="0" fontId="3" fillId="34" borderId="12" xfId="43" applyNumberFormat="1" applyFont="1" applyFill="1" applyBorder="1" applyAlignment="1">
      <alignment horizontal="center" vertical="center"/>
    </xf>
    <xf numFmtId="0" fontId="3" fillId="34" borderId="13" xfId="43" applyNumberFormat="1" applyFont="1" applyFill="1" applyBorder="1" applyAlignment="1">
      <alignment horizontal="center" vertical="center"/>
    </xf>
  </cellXfs>
  <cellStyles count="49">
    <cellStyle name="20% - 강조색1" xfId="1" builtinId="30"/>
    <cellStyle name="20% - 강조색1 2" xfId="47"/>
    <cellStyle name="20% - 강조색1 3" xfId="43"/>
    <cellStyle name="20% - 강조색2" xfId="22" builtinId="34" customBuiltin="1"/>
    <cellStyle name="20% - 강조색3" xfId="26" builtinId="38" customBuiltin="1"/>
    <cellStyle name="20% - 강조색4" xfId="30" builtinId="42" customBuiltin="1"/>
    <cellStyle name="20% - 강조색5" xfId="34" builtinId="46" customBuiltin="1"/>
    <cellStyle name="20% - 강조색6" xfId="38" builtinId="50" customBuiltin="1"/>
    <cellStyle name="40% - 강조색1" xfId="19" builtinId="31" customBuiltin="1"/>
    <cellStyle name="40% - 강조색2" xfId="23" builtinId="35" customBuiltin="1"/>
    <cellStyle name="40% - 강조색3" xfId="27" builtinId="39" customBuiltin="1"/>
    <cellStyle name="40% - 강조색4" xfId="31" builtinId="43" customBuiltin="1"/>
    <cellStyle name="40% - 강조색5" xfId="35" builtinId="47" customBuiltin="1"/>
    <cellStyle name="40% - 강조색6" xfId="39" builtinId="51" customBuiltin="1"/>
    <cellStyle name="60% - 강조색1" xfId="20" builtinId="32" customBuiltin="1"/>
    <cellStyle name="60% - 강조색2" xfId="24" builtinId="36" customBuiltin="1"/>
    <cellStyle name="60% - 강조색3" xfId="28" builtinId="40" customBuiltin="1"/>
    <cellStyle name="60% - 강조색4" xfId="32" builtinId="44" customBuiltin="1"/>
    <cellStyle name="60% - 강조색5" xfId="36" builtinId="48" customBuiltin="1"/>
    <cellStyle name="60% - 강조색6" xfId="40" builtinId="52" customBuiltin="1"/>
    <cellStyle name="Excel Built-in Normal 2" xfId="44"/>
    <cellStyle name="강조색1" xfId="18" builtinId="29" customBuiltin="1"/>
    <cellStyle name="강조색2" xfId="21" builtinId="33" customBuiltin="1"/>
    <cellStyle name="강조색3" xfId="25" builtinId="37" customBuiltin="1"/>
    <cellStyle name="강조색4" xfId="29" builtinId="41" customBuiltin="1"/>
    <cellStyle name="강조색5" xfId="33" builtinId="45" customBuiltin="1"/>
    <cellStyle name="강조색6" xfId="37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" xfId="48" builtinId="6"/>
    <cellStyle name="연결된 셀" xfId="12" builtinId="24" customBuiltin="1"/>
    <cellStyle name="요약" xfId="17" builtinId="25" customBuiltin="1"/>
    <cellStyle name="입력" xfId="9" builtinId="20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제목 5" xfId="42"/>
    <cellStyle name="좋음" xfId="6" builtinId="26" customBuiltin="1"/>
    <cellStyle name="출력" xfId="10" builtinId="21" customBuiltin="1"/>
    <cellStyle name="표준" xfId="0" builtinId="0"/>
    <cellStyle name="표준 2" xfId="45"/>
    <cellStyle name="표준 3" xfId="46"/>
    <cellStyle name="표준 4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3</xdr:row>
      <xdr:rowOff>85725</xdr:rowOff>
    </xdr:from>
    <xdr:to>
      <xdr:col>1</xdr:col>
      <xdr:colOff>733425</xdr:colOff>
      <xdr:row>3</xdr:row>
      <xdr:rowOff>742950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3</xdr:row>
      <xdr:rowOff>85725</xdr:rowOff>
    </xdr:from>
    <xdr:to>
      <xdr:col>2</xdr:col>
      <xdr:colOff>733425</xdr:colOff>
      <xdr:row>3</xdr:row>
      <xdr:rowOff>742950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3</xdr:row>
      <xdr:rowOff>85725</xdr:rowOff>
    </xdr:from>
    <xdr:to>
      <xdr:col>3</xdr:col>
      <xdr:colOff>733425</xdr:colOff>
      <xdr:row>3</xdr:row>
      <xdr:rowOff>742950</xdr:rowOff>
    </xdr:to>
    <xdr:pic>
      <xdr:nvPicPr>
        <xdr:cNvPr id="17" name="그림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3</xdr:row>
      <xdr:rowOff>85725</xdr:rowOff>
    </xdr:from>
    <xdr:to>
      <xdr:col>4</xdr:col>
      <xdr:colOff>733425</xdr:colOff>
      <xdr:row>3</xdr:row>
      <xdr:rowOff>742950</xdr:rowOff>
    </xdr:to>
    <xdr:pic>
      <xdr:nvPicPr>
        <xdr:cNvPr id="18" name="그림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3</xdr:row>
      <xdr:rowOff>85725</xdr:rowOff>
    </xdr:from>
    <xdr:to>
      <xdr:col>6</xdr:col>
      <xdr:colOff>733425</xdr:colOff>
      <xdr:row>3</xdr:row>
      <xdr:rowOff>742950</xdr:rowOff>
    </xdr:to>
    <xdr:pic>
      <xdr:nvPicPr>
        <xdr:cNvPr id="19" name="그림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3</xdr:row>
      <xdr:rowOff>85725</xdr:rowOff>
    </xdr:from>
    <xdr:to>
      <xdr:col>5</xdr:col>
      <xdr:colOff>733425</xdr:colOff>
      <xdr:row>3</xdr:row>
      <xdr:rowOff>742950</xdr:rowOff>
    </xdr:to>
    <xdr:pic>
      <xdr:nvPicPr>
        <xdr:cNvPr id="21" name="그림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6</xdr:row>
      <xdr:rowOff>85725</xdr:rowOff>
    </xdr:from>
    <xdr:to>
      <xdr:col>1</xdr:col>
      <xdr:colOff>733425</xdr:colOff>
      <xdr:row>6</xdr:row>
      <xdr:rowOff>742950</xdr:rowOff>
    </xdr:to>
    <xdr:pic>
      <xdr:nvPicPr>
        <xdr:cNvPr id="30" name="그림 29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6</xdr:row>
      <xdr:rowOff>85725</xdr:rowOff>
    </xdr:from>
    <xdr:to>
      <xdr:col>2</xdr:col>
      <xdr:colOff>733425</xdr:colOff>
      <xdr:row>6</xdr:row>
      <xdr:rowOff>742950</xdr:rowOff>
    </xdr:to>
    <xdr:pic>
      <xdr:nvPicPr>
        <xdr:cNvPr id="31" name="그림 30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6</xdr:row>
      <xdr:rowOff>85725</xdr:rowOff>
    </xdr:from>
    <xdr:to>
      <xdr:col>4</xdr:col>
      <xdr:colOff>733425</xdr:colOff>
      <xdr:row>6</xdr:row>
      <xdr:rowOff>742950</xdr:rowOff>
    </xdr:to>
    <xdr:pic>
      <xdr:nvPicPr>
        <xdr:cNvPr id="33" name="그림 32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6</xdr:row>
      <xdr:rowOff>85725</xdr:rowOff>
    </xdr:from>
    <xdr:to>
      <xdr:col>6</xdr:col>
      <xdr:colOff>733425</xdr:colOff>
      <xdr:row>6</xdr:row>
      <xdr:rowOff>742950</xdr:rowOff>
    </xdr:to>
    <xdr:pic>
      <xdr:nvPicPr>
        <xdr:cNvPr id="34" name="그림 33">
          <a:extLst>
            <a:ext uri="{FF2B5EF4-FFF2-40B4-BE49-F238E27FC236}">
              <a16:creationId xmlns:a16="http://schemas.microsoft.com/office/drawing/2014/main" id="{00000000-0008-0000-0B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6</xdr:row>
      <xdr:rowOff>85725</xdr:rowOff>
    </xdr:from>
    <xdr:to>
      <xdr:col>5</xdr:col>
      <xdr:colOff>733425</xdr:colOff>
      <xdr:row>6</xdr:row>
      <xdr:rowOff>742950</xdr:rowOff>
    </xdr:to>
    <xdr:pic>
      <xdr:nvPicPr>
        <xdr:cNvPr id="35" name="그림 34"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</xdr:col>
      <xdr:colOff>76200</xdr:colOff>
      <xdr:row>9</xdr:row>
      <xdr:rowOff>85725</xdr:rowOff>
    </xdr:from>
    <xdr:ext cx="657225" cy="657225"/>
    <xdr:pic>
      <xdr:nvPicPr>
        <xdr:cNvPr id="37" name="그림 36">
          <a:extLst>
            <a:ext uri="{FF2B5EF4-FFF2-40B4-BE49-F238E27FC236}">
              <a16:creationId xmlns:a16="http://schemas.microsoft.com/office/drawing/2014/main" id="{00000000-0008-0000-0B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12</xdr:row>
      <xdr:rowOff>95250</xdr:rowOff>
    </xdr:from>
    <xdr:ext cx="657225" cy="657225"/>
    <xdr:pic>
      <xdr:nvPicPr>
        <xdr:cNvPr id="38" name="그림 37">
          <a:extLst>
            <a:ext uri="{FF2B5EF4-FFF2-40B4-BE49-F238E27FC236}">
              <a16:creationId xmlns:a16="http://schemas.microsoft.com/office/drawing/2014/main" id="{00000000-0008-0000-0B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1962150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9</xdr:row>
      <xdr:rowOff>85725</xdr:rowOff>
    </xdr:from>
    <xdr:ext cx="657225" cy="657225"/>
    <xdr:pic>
      <xdr:nvPicPr>
        <xdr:cNvPr id="39" name="그림 38">
          <a:extLst>
            <a:ext uri="{FF2B5EF4-FFF2-40B4-BE49-F238E27FC236}">
              <a16:creationId xmlns:a16="http://schemas.microsoft.com/office/drawing/2014/main" id="{00000000-0008-0000-0B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9</xdr:row>
      <xdr:rowOff>85725</xdr:rowOff>
    </xdr:from>
    <xdr:ext cx="657225" cy="657225"/>
    <xdr:pic>
      <xdr:nvPicPr>
        <xdr:cNvPr id="40" name="그림 39">
          <a:extLst>
            <a:ext uri="{FF2B5EF4-FFF2-40B4-BE49-F238E27FC236}">
              <a16:creationId xmlns:a16="http://schemas.microsoft.com/office/drawing/2014/main" id="{00000000-0008-0000-0B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9</xdr:row>
      <xdr:rowOff>85725</xdr:rowOff>
    </xdr:from>
    <xdr:ext cx="657225" cy="657225"/>
    <xdr:pic>
      <xdr:nvPicPr>
        <xdr:cNvPr id="41" name="그림 40">
          <a:extLst>
            <a:ext uri="{FF2B5EF4-FFF2-40B4-BE49-F238E27FC236}">
              <a16:creationId xmlns:a16="http://schemas.microsoft.com/office/drawing/2014/main" id="{00000000-0008-0000-0B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76200</xdr:colOff>
      <xdr:row>9</xdr:row>
      <xdr:rowOff>85725</xdr:rowOff>
    </xdr:from>
    <xdr:ext cx="657225" cy="657225"/>
    <xdr:pic>
      <xdr:nvPicPr>
        <xdr:cNvPr id="42" name="그림 41">
          <a:extLst>
            <a:ext uri="{FF2B5EF4-FFF2-40B4-BE49-F238E27FC236}">
              <a16:creationId xmlns:a16="http://schemas.microsoft.com/office/drawing/2014/main" id="{00000000-0008-0000-0B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9</xdr:row>
      <xdr:rowOff>85725</xdr:rowOff>
    </xdr:from>
    <xdr:ext cx="657225" cy="657225"/>
    <xdr:pic>
      <xdr:nvPicPr>
        <xdr:cNvPr id="43" name="그림 42">
          <a:extLst>
            <a:ext uri="{FF2B5EF4-FFF2-40B4-BE49-F238E27FC236}">
              <a16:creationId xmlns:a16="http://schemas.microsoft.com/office/drawing/2014/main" id="{00000000-0008-0000-0B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</xdr:col>
      <xdr:colOff>76200</xdr:colOff>
      <xdr:row>12</xdr:row>
      <xdr:rowOff>85725</xdr:rowOff>
    </xdr:from>
    <xdr:ext cx="657225" cy="657225"/>
    <xdr:pic>
      <xdr:nvPicPr>
        <xdr:cNvPr id="45" name="그림 44">
          <a:extLst>
            <a:ext uri="{FF2B5EF4-FFF2-40B4-BE49-F238E27FC236}">
              <a16:creationId xmlns:a16="http://schemas.microsoft.com/office/drawing/2014/main" id="{00000000-0008-0000-0B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12</xdr:row>
      <xdr:rowOff>85725</xdr:rowOff>
    </xdr:from>
    <xdr:ext cx="657225" cy="657225"/>
    <xdr:pic>
      <xdr:nvPicPr>
        <xdr:cNvPr id="46" name="그림 45"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12</xdr:row>
      <xdr:rowOff>85725</xdr:rowOff>
    </xdr:from>
    <xdr:ext cx="657225" cy="657225"/>
    <xdr:pic>
      <xdr:nvPicPr>
        <xdr:cNvPr id="47" name="그림 46">
          <a:extLst>
            <a:ext uri="{FF2B5EF4-FFF2-40B4-BE49-F238E27FC236}">
              <a16:creationId xmlns:a16="http://schemas.microsoft.com/office/drawing/2014/main" id="{00000000-0008-0000-0B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76200</xdr:colOff>
      <xdr:row>12</xdr:row>
      <xdr:rowOff>85725</xdr:rowOff>
    </xdr:from>
    <xdr:ext cx="657225" cy="657225"/>
    <xdr:pic>
      <xdr:nvPicPr>
        <xdr:cNvPr id="48" name="그림 47">
          <a:extLst>
            <a:ext uri="{FF2B5EF4-FFF2-40B4-BE49-F238E27FC236}">
              <a16:creationId xmlns:a16="http://schemas.microsoft.com/office/drawing/2014/main" id="{00000000-0008-0000-0B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12</xdr:row>
      <xdr:rowOff>85725</xdr:rowOff>
    </xdr:from>
    <xdr:ext cx="657225" cy="657225"/>
    <xdr:pic>
      <xdr:nvPicPr>
        <xdr:cNvPr id="49" name="그림 48">
          <a:extLst>
            <a:ext uri="{FF2B5EF4-FFF2-40B4-BE49-F238E27FC236}">
              <a16:creationId xmlns:a16="http://schemas.microsoft.com/office/drawing/2014/main" id="{00000000-0008-0000-0B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19526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3</xdr:col>
      <xdr:colOff>57150</xdr:colOff>
      <xdr:row>6</xdr:row>
      <xdr:rowOff>95250</xdr:rowOff>
    </xdr:from>
    <xdr:to>
      <xdr:col>3</xdr:col>
      <xdr:colOff>714375</xdr:colOff>
      <xdr:row>6</xdr:row>
      <xdr:rowOff>752475</xdr:rowOff>
    </xdr:to>
    <xdr:pic>
      <xdr:nvPicPr>
        <xdr:cNvPr id="51" name="그림 50">
          <a:extLst>
            <a:ext uri="{FF2B5EF4-FFF2-40B4-BE49-F238E27FC236}">
              <a16:creationId xmlns:a16="http://schemas.microsoft.com/office/drawing/2014/main" id="{00000000-0008-0000-0B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0" y="1962150"/>
          <a:ext cx="657225" cy="657225"/>
        </a:xfrm>
        <a:prstGeom prst="rect">
          <a:avLst/>
        </a:prstGeom>
      </xdr:spPr>
    </xdr:pic>
    <xdr:clientData/>
  </xdr:twoCellAnchor>
  <xdr:oneCellAnchor>
    <xdr:from>
      <xdr:col>13</xdr:col>
      <xdr:colOff>85725</xdr:colOff>
      <xdr:row>3</xdr:row>
      <xdr:rowOff>85725</xdr:rowOff>
    </xdr:from>
    <xdr:ext cx="657225" cy="657225"/>
    <xdr:pic>
      <xdr:nvPicPr>
        <xdr:cNvPr id="55" name="그림 54">
          <a:extLst>
            <a:ext uri="{FF2B5EF4-FFF2-40B4-BE49-F238E27FC236}">
              <a16:creationId xmlns:a16="http://schemas.microsoft.com/office/drawing/2014/main" id="{00000000-0008-0000-0B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76200</xdr:colOff>
      <xdr:row>3</xdr:row>
      <xdr:rowOff>47625</xdr:rowOff>
    </xdr:from>
    <xdr:ext cx="657225" cy="657225"/>
    <xdr:pic>
      <xdr:nvPicPr>
        <xdr:cNvPr id="58" name="그림 57">
          <a:extLst>
            <a:ext uri="{FF2B5EF4-FFF2-40B4-BE49-F238E27FC236}">
              <a16:creationId xmlns:a16="http://schemas.microsoft.com/office/drawing/2014/main" id="{00000000-0008-0000-0B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2925" y="676275"/>
          <a:ext cx="657225" cy="657225"/>
        </a:xfrm>
        <a:prstGeom prst="rect">
          <a:avLst/>
        </a:prstGeom>
      </xdr:spPr>
    </xdr:pic>
    <xdr:clientData/>
  </xdr:oneCellAnchor>
  <xdr:oneCellAnchor>
    <xdr:from>
      <xdr:col>14</xdr:col>
      <xdr:colOff>95250</xdr:colOff>
      <xdr:row>6</xdr:row>
      <xdr:rowOff>104775</xdr:rowOff>
    </xdr:from>
    <xdr:ext cx="657225" cy="657225"/>
    <xdr:pic>
      <xdr:nvPicPr>
        <xdr:cNvPr id="62" name="그림 61">
          <a:extLst>
            <a:ext uri="{FF2B5EF4-FFF2-40B4-BE49-F238E27FC236}">
              <a16:creationId xmlns:a16="http://schemas.microsoft.com/office/drawing/2014/main" id="{00000000-0008-0000-0B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235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13</xdr:col>
      <xdr:colOff>85725</xdr:colOff>
      <xdr:row>9</xdr:row>
      <xdr:rowOff>85725</xdr:rowOff>
    </xdr:from>
    <xdr:ext cx="657225" cy="657225"/>
    <xdr:pic>
      <xdr:nvPicPr>
        <xdr:cNvPr id="68" name="그림 67">
          <a:extLst>
            <a:ext uri="{FF2B5EF4-FFF2-40B4-BE49-F238E27FC236}">
              <a16:creationId xmlns:a16="http://schemas.microsoft.com/office/drawing/2014/main" id="{00000000-0008-0000-0B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85725</xdr:colOff>
      <xdr:row>9</xdr:row>
      <xdr:rowOff>76200</xdr:rowOff>
    </xdr:from>
    <xdr:ext cx="657225" cy="657225"/>
    <xdr:pic>
      <xdr:nvPicPr>
        <xdr:cNvPr id="71" name="그림 70">
          <a:extLst>
            <a:ext uri="{FF2B5EF4-FFF2-40B4-BE49-F238E27FC236}">
              <a16:creationId xmlns:a16="http://schemas.microsoft.com/office/drawing/2014/main" id="{00000000-0008-0000-0B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3300" y="3181350"/>
          <a:ext cx="657225" cy="657225"/>
        </a:xfrm>
        <a:prstGeom prst="rect">
          <a:avLst/>
        </a:prstGeom>
      </xdr:spPr>
    </xdr:pic>
    <xdr:clientData/>
  </xdr:oneCellAnchor>
  <xdr:oneCellAnchor>
    <xdr:from>
      <xdr:col>14</xdr:col>
      <xdr:colOff>85725</xdr:colOff>
      <xdr:row>12</xdr:row>
      <xdr:rowOff>104775</xdr:rowOff>
    </xdr:from>
    <xdr:ext cx="657225" cy="657225"/>
    <xdr:pic>
      <xdr:nvPicPr>
        <xdr:cNvPr id="75" name="그림 74">
          <a:extLst>
            <a:ext uri="{FF2B5EF4-FFF2-40B4-BE49-F238E27FC236}">
              <a16:creationId xmlns:a16="http://schemas.microsoft.com/office/drawing/2014/main" id="{00000000-0008-0000-0B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85725</xdr:colOff>
      <xdr:row>3</xdr:row>
      <xdr:rowOff>85725</xdr:rowOff>
    </xdr:from>
    <xdr:ext cx="657225" cy="657225"/>
    <xdr:pic>
      <xdr:nvPicPr>
        <xdr:cNvPr id="81" name="그림 80">
          <a:extLst>
            <a:ext uri="{FF2B5EF4-FFF2-40B4-BE49-F238E27FC236}">
              <a16:creationId xmlns:a16="http://schemas.microsoft.com/office/drawing/2014/main" id="{00000000-0008-0000-0B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95250</xdr:colOff>
      <xdr:row>6</xdr:row>
      <xdr:rowOff>104775</xdr:rowOff>
    </xdr:from>
    <xdr:ext cx="657225" cy="657225"/>
    <xdr:pic>
      <xdr:nvPicPr>
        <xdr:cNvPr id="82" name="그림 81">
          <a:extLst>
            <a:ext uri="{FF2B5EF4-FFF2-40B4-BE49-F238E27FC236}">
              <a16:creationId xmlns:a16="http://schemas.microsoft.com/office/drawing/2014/main" id="{00000000-0008-0000-0B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85725</xdr:colOff>
      <xdr:row>9</xdr:row>
      <xdr:rowOff>85725</xdr:rowOff>
    </xdr:from>
    <xdr:ext cx="657225" cy="657225"/>
    <xdr:pic>
      <xdr:nvPicPr>
        <xdr:cNvPr id="83" name="그림 82">
          <a:extLst>
            <a:ext uri="{FF2B5EF4-FFF2-40B4-BE49-F238E27FC236}">
              <a16:creationId xmlns:a16="http://schemas.microsoft.com/office/drawing/2014/main" id="{00000000-0008-0000-0B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85725</xdr:colOff>
      <xdr:row>12</xdr:row>
      <xdr:rowOff>104775</xdr:rowOff>
    </xdr:from>
    <xdr:ext cx="657225" cy="657225"/>
    <xdr:pic>
      <xdr:nvPicPr>
        <xdr:cNvPr id="84" name="그림 83">
          <a:extLst>
            <a:ext uri="{FF2B5EF4-FFF2-40B4-BE49-F238E27FC236}">
              <a16:creationId xmlns:a16="http://schemas.microsoft.com/office/drawing/2014/main" id="{00000000-0008-0000-0B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123825</xdr:colOff>
      <xdr:row>3</xdr:row>
      <xdr:rowOff>85725</xdr:rowOff>
    </xdr:from>
    <xdr:ext cx="657225" cy="657225"/>
    <xdr:pic>
      <xdr:nvPicPr>
        <xdr:cNvPr id="86" name="그림 85">
          <a:extLst>
            <a:ext uri="{FF2B5EF4-FFF2-40B4-BE49-F238E27FC236}">
              <a16:creationId xmlns:a16="http://schemas.microsoft.com/office/drawing/2014/main" id="{00000000-0008-0000-0B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12</xdr:col>
      <xdr:colOff>133350</xdr:colOff>
      <xdr:row>6</xdr:row>
      <xdr:rowOff>104775</xdr:rowOff>
    </xdr:from>
    <xdr:ext cx="657225" cy="657225"/>
    <xdr:pic>
      <xdr:nvPicPr>
        <xdr:cNvPr id="87" name="그림 86">
          <a:extLst>
            <a:ext uri="{FF2B5EF4-FFF2-40B4-BE49-F238E27FC236}">
              <a16:creationId xmlns:a16="http://schemas.microsoft.com/office/drawing/2014/main" id="{00000000-0008-0000-0B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120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76200</xdr:colOff>
      <xdr:row>9</xdr:row>
      <xdr:rowOff>85725</xdr:rowOff>
    </xdr:from>
    <xdr:ext cx="657225" cy="657225"/>
    <xdr:pic>
      <xdr:nvPicPr>
        <xdr:cNvPr id="88" name="그림 87">
          <a:extLst>
            <a:ext uri="{FF2B5EF4-FFF2-40B4-BE49-F238E27FC236}">
              <a16:creationId xmlns:a16="http://schemas.microsoft.com/office/drawing/2014/main" id="{00000000-0008-0000-0B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12</xdr:col>
      <xdr:colOff>85725</xdr:colOff>
      <xdr:row>12</xdr:row>
      <xdr:rowOff>95250</xdr:rowOff>
    </xdr:from>
    <xdr:ext cx="657225" cy="657225"/>
    <xdr:pic>
      <xdr:nvPicPr>
        <xdr:cNvPr id="89" name="그림 88">
          <a:extLst>
            <a:ext uri="{FF2B5EF4-FFF2-40B4-BE49-F238E27FC236}">
              <a16:creationId xmlns:a16="http://schemas.microsoft.com/office/drawing/2014/main" id="{00000000-0008-0000-0B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4438650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10</xdr:col>
      <xdr:colOff>85725</xdr:colOff>
      <xdr:row>3</xdr:row>
      <xdr:rowOff>66675</xdr:rowOff>
    </xdr:from>
    <xdr:to>
      <xdr:col>10</xdr:col>
      <xdr:colOff>742950</xdr:colOff>
      <xdr:row>3</xdr:row>
      <xdr:rowOff>723900</xdr:rowOff>
    </xdr:to>
    <xdr:pic>
      <xdr:nvPicPr>
        <xdr:cNvPr id="90" name="그림 89">
          <a:extLst>
            <a:ext uri="{FF2B5EF4-FFF2-40B4-BE49-F238E27FC236}">
              <a16:creationId xmlns:a16="http://schemas.microsoft.com/office/drawing/2014/main" id="{00000000-0008-0000-0B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6953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95250</xdr:colOff>
      <xdr:row>6</xdr:row>
      <xdr:rowOff>85725</xdr:rowOff>
    </xdr:from>
    <xdr:to>
      <xdr:col>11</xdr:col>
      <xdr:colOff>752475</xdr:colOff>
      <xdr:row>6</xdr:row>
      <xdr:rowOff>742950</xdr:rowOff>
    </xdr:to>
    <xdr:pic>
      <xdr:nvPicPr>
        <xdr:cNvPr id="91" name="그림 90">
          <a:extLst>
            <a:ext uri="{FF2B5EF4-FFF2-40B4-BE49-F238E27FC236}">
              <a16:creationId xmlns:a16="http://schemas.microsoft.com/office/drawing/2014/main" id="{00000000-0008-0000-0B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10</xdr:col>
      <xdr:colOff>85725</xdr:colOff>
      <xdr:row>9</xdr:row>
      <xdr:rowOff>66675</xdr:rowOff>
    </xdr:from>
    <xdr:ext cx="657225" cy="657225"/>
    <xdr:pic>
      <xdr:nvPicPr>
        <xdr:cNvPr id="92" name="그림 91">
          <a:extLst>
            <a:ext uri="{FF2B5EF4-FFF2-40B4-BE49-F238E27FC236}">
              <a16:creationId xmlns:a16="http://schemas.microsoft.com/office/drawing/2014/main" id="{00000000-0008-0000-0B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317182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95250</xdr:colOff>
      <xdr:row>12</xdr:row>
      <xdr:rowOff>85725</xdr:rowOff>
    </xdr:from>
    <xdr:ext cx="657225" cy="657225"/>
    <xdr:pic>
      <xdr:nvPicPr>
        <xdr:cNvPr id="93" name="그림 92">
          <a:extLst>
            <a:ext uri="{FF2B5EF4-FFF2-40B4-BE49-F238E27FC236}">
              <a16:creationId xmlns:a16="http://schemas.microsoft.com/office/drawing/2014/main" id="{00000000-0008-0000-0B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12</xdr:col>
      <xdr:colOff>114300</xdr:colOff>
      <xdr:row>3</xdr:row>
      <xdr:rowOff>76200</xdr:rowOff>
    </xdr:from>
    <xdr:to>
      <xdr:col>12</xdr:col>
      <xdr:colOff>771525</xdr:colOff>
      <xdr:row>3</xdr:row>
      <xdr:rowOff>733425</xdr:rowOff>
    </xdr:to>
    <xdr:pic>
      <xdr:nvPicPr>
        <xdr:cNvPr id="94" name="그림 93">
          <a:extLst>
            <a:ext uri="{FF2B5EF4-FFF2-40B4-BE49-F238E27FC236}">
              <a16:creationId xmlns:a16="http://schemas.microsoft.com/office/drawing/2014/main" id="{00000000-0008-0000-0B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704850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13</xdr:col>
      <xdr:colOff>123825</xdr:colOff>
      <xdr:row>6</xdr:row>
      <xdr:rowOff>95250</xdr:rowOff>
    </xdr:from>
    <xdr:to>
      <xdr:col>13</xdr:col>
      <xdr:colOff>781050</xdr:colOff>
      <xdr:row>6</xdr:row>
      <xdr:rowOff>752475</xdr:rowOff>
    </xdr:to>
    <xdr:pic>
      <xdr:nvPicPr>
        <xdr:cNvPr id="95" name="그림 94">
          <a:extLst>
            <a:ext uri="{FF2B5EF4-FFF2-40B4-BE49-F238E27FC236}">
              <a16:creationId xmlns:a16="http://schemas.microsoft.com/office/drawing/2014/main" id="{00000000-0008-0000-0B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1300" y="1962150"/>
          <a:ext cx="657225" cy="657225"/>
        </a:xfrm>
        <a:prstGeom prst="rect">
          <a:avLst/>
        </a:prstGeom>
      </xdr:spPr>
    </xdr:pic>
    <xdr:clientData/>
  </xdr:twoCellAnchor>
  <xdr:oneCellAnchor>
    <xdr:from>
      <xdr:col>12</xdr:col>
      <xdr:colOff>114300</xdr:colOff>
      <xdr:row>9</xdr:row>
      <xdr:rowOff>76200</xdr:rowOff>
    </xdr:from>
    <xdr:ext cx="657225" cy="657225"/>
    <xdr:pic>
      <xdr:nvPicPr>
        <xdr:cNvPr id="96" name="그림 95">
          <a:extLst>
            <a:ext uri="{FF2B5EF4-FFF2-40B4-BE49-F238E27FC236}">
              <a16:creationId xmlns:a16="http://schemas.microsoft.com/office/drawing/2014/main" id="{00000000-0008-0000-0B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3181350"/>
          <a:ext cx="657225" cy="657225"/>
        </a:xfrm>
        <a:prstGeom prst="rect">
          <a:avLst/>
        </a:prstGeom>
      </xdr:spPr>
    </xdr:pic>
    <xdr:clientData/>
  </xdr:oneCellAnchor>
  <xdr:oneCellAnchor>
    <xdr:from>
      <xdr:col>13</xdr:col>
      <xdr:colOff>123825</xdr:colOff>
      <xdr:row>12</xdr:row>
      <xdr:rowOff>95250</xdr:rowOff>
    </xdr:from>
    <xdr:ext cx="657225" cy="657225"/>
    <xdr:pic>
      <xdr:nvPicPr>
        <xdr:cNvPr id="97" name="그림 96">
          <a:extLst>
            <a:ext uri="{FF2B5EF4-FFF2-40B4-BE49-F238E27FC236}">
              <a16:creationId xmlns:a16="http://schemas.microsoft.com/office/drawing/2014/main" id="{00000000-0008-0000-0B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1300" y="4438650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14</xdr:col>
      <xdr:colOff>85725</xdr:colOff>
      <xdr:row>3</xdr:row>
      <xdr:rowOff>66675</xdr:rowOff>
    </xdr:from>
    <xdr:to>
      <xdr:col>14</xdr:col>
      <xdr:colOff>742950</xdr:colOff>
      <xdr:row>3</xdr:row>
      <xdr:rowOff>723900</xdr:rowOff>
    </xdr:to>
    <xdr:pic>
      <xdr:nvPicPr>
        <xdr:cNvPr id="98" name="그림 97">
          <a:extLst>
            <a:ext uri="{FF2B5EF4-FFF2-40B4-BE49-F238E27FC236}">
              <a16:creationId xmlns:a16="http://schemas.microsoft.com/office/drawing/2014/main" id="{00000000-0008-0000-0B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6953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95250</xdr:colOff>
      <xdr:row>6</xdr:row>
      <xdr:rowOff>85725</xdr:rowOff>
    </xdr:from>
    <xdr:to>
      <xdr:col>15</xdr:col>
      <xdr:colOff>752475</xdr:colOff>
      <xdr:row>6</xdr:row>
      <xdr:rowOff>742950</xdr:rowOff>
    </xdr:to>
    <xdr:pic>
      <xdr:nvPicPr>
        <xdr:cNvPr id="99" name="그림 98">
          <a:extLst>
            <a:ext uri="{FF2B5EF4-FFF2-40B4-BE49-F238E27FC236}">
              <a16:creationId xmlns:a16="http://schemas.microsoft.com/office/drawing/2014/main" id="{00000000-0008-0000-0B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14</xdr:col>
      <xdr:colOff>85725</xdr:colOff>
      <xdr:row>9</xdr:row>
      <xdr:rowOff>66675</xdr:rowOff>
    </xdr:from>
    <xdr:ext cx="657225" cy="657225"/>
    <xdr:pic>
      <xdr:nvPicPr>
        <xdr:cNvPr id="100" name="그림 99">
          <a:extLst>
            <a:ext uri="{FF2B5EF4-FFF2-40B4-BE49-F238E27FC236}">
              <a16:creationId xmlns:a16="http://schemas.microsoft.com/office/drawing/2014/main" id="{00000000-0008-0000-0B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317182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95250</xdr:colOff>
      <xdr:row>12</xdr:row>
      <xdr:rowOff>85725</xdr:rowOff>
    </xdr:from>
    <xdr:ext cx="657225" cy="657225"/>
    <xdr:pic>
      <xdr:nvPicPr>
        <xdr:cNvPr id="101" name="그림 100">
          <a:extLst>
            <a:ext uri="{FF2B5EF4-FFF2-40B4-BE49-F238E27FC236}">
              <a16:creationId xmlns:a16="http://schemas.microsoft.com/office/drawing/2014/main" id="{00000000-0008-0000-0B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9</xdr:col>
      <xdr:colOff>85725</xdr:colOff>
      <xdr:row>6</xdr:row>
      <xdr:rowOff>66675</xdr:rowOff>
    </xdr:from>
    <xdr:to>
      <xdr:col>9</xdr:col>
      <xdr:colOff>742950</xdr:colOff>
      <xdr:row>6</xdr:row>
      <xdr:rowOff>723900</xdr:rowOff>
    </xdr:to>
    <xdr:pic>
      <xdr:nvPicPr>
        <xdr:cNvPr id="102" name="그림 101">
          <a:extLst>
            <a:ext uri="{FF2B5EF4-FFF2-40B4-BE49-F238E27FC236}">
              <a16:creationId xmlns:a16="http://schemas.microsoft.com/office/drawing/2014/main" id="{00000000-0008-0000-0B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1933575"/>
          <a:ext cx="657225" cy="657225"/>
        </a:xfrm>
        <a:prstGeom prst="rect">
          <a:avLst/>
        </a:prstGeom>
      </xdr:spPr>
    </xdr:pic>
    <xdr:clientData/>
  </xdr:twoCellAnchor>
  <xdr:oneCellAnchor>
    <xdr:from>
      <xdr:col>9</xdr:col>
      <xdr:colOff>85725</xdr:colOff>
      <xdr:row>12</xdr:row>
      <xdr:rowOff>66675</xdr:rowOff>
    </xdr:from>
    <xdr:ext cx="657225" cy="657225"/>
    <xdr:pic>
      <xdr:nvPicPr>
        <xdr:cNvPr id="103" name="그림 102">
          <a:extLst>
            <a:ext uri="{FF2B5EF4-FFF2-40B4-BE49-F238E27FC236}">
              <a16:creationId xmlns:a16="http://schemas.microsoft.com/office/drawing/2014/main" id="{00000000-0008-0000-0B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4410075"/>
          <a:ext cx="657225" cy="657225"/>
        </a:xfrm>
        <a:prstGeom prst="rect">
          <a:avLst/>
        </a:prstGeom>
      </xdr:spPr>
    </xdr:pic>
    <xdr:clientData/>
  </xdr:oneCellAnchor>
  <xdr:oneCellAnchor>
    <xdr:from>
      <xdr:col>1</xdr:col>
      <xdr:colOff>76200</xdr:colOff>
      <xdr:row>17</xdr:row>
      <xdr:rowOff>85725</xdr:rowOff>
    </xdr:from>
    <xdr:ext cx="657225" cy="657225"/>
    <xdr:pic>
      <xdr:nvPicPr>
        <xdr:cNvPr id="104" name="그림 103">
          <a:extLst>
            <a:ext uri="{FF2B5EF4-FFF2-40B4-BE49-F238E27FC236}">
              <a16:creationId xmlns:a16="http://schemas.microsoft.com/office/drawing/2014/main" id="{00000000-0008-0000-0B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17</xdr:row>
      <xdr:rowOff>85725</xdr:rowOff>
    </xdr:from>
    <xdr:ext cx="657225" cy="657225"/>
    <xdr:pic>
      <xdr:nvPicPr>
        <xdr:cNvPr id="105" name="그림 104">
          <a:extLst>
            <a:ext uri="{FF2B5EF4-FFF2-40B4-BE49-F238E27FC236}">
              <a16:creationId xmlns:a16="http://schemas.microsoft.com/office/drawing/2014/main" id="{00000000-0008-0000-0B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17</xdr:row>
      <xdr:rowOff>85725</xdr:rowOff>
    </xdr:from>
    <xdr:ext cx="657225" cy="657225"/>
    <xdr:pic>
      <xdr:nvPicPr>
        <xdr:cNvPr id="106" name="그림 105">
          <a:extLst>
            <a:ext uri="{FF2B5EF4-FFF2-40B4-BE49-F238E27FC236}">
              <a16:creationId xmlns:a16="http://schemas.microsoft.com/office/drawing/2014/main" id="{00000000-0008-0000-0B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17</xdr:row>
      <xdr:rowOff>85725</xdr:rowOff>
    </xdr:from>
    <xdr:ext cx="657225" cy="657225"/>
    <xdr:pic>
      <xdr:nvPicPr>
        <xdr:cNvPr id="107" name="그림 106">
          <a:extLst>
            <a:ext uri="{FF2B5EF4-FFF2-40B4-BE49-F238E27FC236}">
              <a16:creationId xmlns:a16="http://schemas.microsoft.com/office/drawing/2014/main" id="{00000000-0008-0000-0B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7</xdr:col>
      <xdr:colOff>76200</xdr:colOff>
      <xdr:row>17</xdr:row>
      <xdr:rowOff>85725</xdr:rowOff>
    </xdr:from>
    <xdr:ext cx="657225" cy="657225"/>
    <xdr:pic>
      <xdr:nvPicPr>
        <xdr:cNvPr id="108" name="그림 107">
          <a:extLst>
            <a:ext uri="{FF2B5EF4-FFF2-40B4-BE49-F238E27FC236}">
              <a16:creationId xmlns:a16="http://schemas.microsoft.com/office/drawing/2014/main" id="{00000000-0008-0000-0B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85725</xdr:colOff>
      <xdr:row>17</xdr:row>
      <xdr:rowOff>104775</xdr:rowOff>
    </xdr:from>
    <xdr:ext cx="657225" cy="657225"/>
    <xdr:pic>
      <xdr:nvPicPr>
        <xdr:cNvPr id="109" name="그림 108">
          <a:extLst>
            <a:ext uri="{FF2B5EF4-FFF2-40B4-BE49-F238E27FC236}">
              <a16:creationId xmlns:a16="http://schemas.microsoft.com/office/drawing/2014/main" id="{00000000-0008-0000-0B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17</xdr:row>
      <xdr:rowOff>104775</xdr:rowOff>
    </xdr:from>
    <xdr:ext cx="657225" cy="657225"/>
    <xdr:pic>
      <xdr:nvPicPr>
        <xdr:cNvPr id="110" name="그림 109">
          <a:extLst>
            <a:ext uri="{FF2B5EF4-FFF2-40B4-BE49-F238E27FC236}">
              <a16:creationId xmlns:a16="http://schemas.microsoft.com/office/drawing/2014/main" id="{00000000-0008-0000-0B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58959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76200</xdr:colOff>
      <xdr:row>17</xdr:row>
      <xdr:rowOff>85725</xdr:rowOff>
    </xdr:from>
    <xdr:ext cx="657225" cy="657225"/>
    <xdr:pic>
      <xdr:nvPicPr>
        <xdr:cNvPr id="111" name="그림 110">
          <a:extLst>
            <a:ext uri="{FF2B5EF4-FFF2-40B4-BE49-F238E27FC236}">
              <a16:creationId xmlns:a16="http://schemas.microsoft.com/office/drawing/2014/main" id="{00000000-0008-0000-0B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60864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85725</xdr:colOff>
      <xdr:row>17</xdr:row>
      <xdr:rowOff>85725</xdr:rowOff>
    </xdr:from>
    <xdr:ext cx="657225" cy="657225"/>
    <xdr:pic>
      <xdr:nvPicPr>
        <xdr:cNvPr id="112" name="그림 111">
          <a:extLst>
            <a:ext uri="{FF2B5EF4-FFF2-40B4-BE49-F238E27FC236}">
              <a16:creationId xmlns:a16="http://schemas.microsoft.com/office/drawing/2014/main" id="{00000000-0008-0000-0B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086475"/>
          <a:ext cx="657225" cy="657225"/>
        </a:xfrm>
        <a:prstGeom prst="rect">
          <a:avLst/>
        </a:prstGeom>
      </xdr:spPr>
    </xdr:pic>
    <xdr:clientData/>
  </xdr:oneCellAnchor>
  <xdr:oneCellAnchor>
    <xdr:from>
      <xdr:col>16</xdr:col>
      <xdr:colOff>85725</xdr:colOff>
      <xdr:row>12</xdr:row>
      <xdr:rowOff>104775</xdr:rowOff>
    </xdr:from>
    <xdr:ext cx="657225" cy="657225"/>
    <xdr:pic>
      <xdr:nvPicPr>
        <xdr:cNvPr id="121" name="그림 120">
          <a:extLst>
            <a:ext uri="{FF2B5EF4-FFF2-40B4-BE49-F238E27FC236}">
              <a16:creationId xmlns:a16="http://schemas.microsoft.com/office/drawing/2014/main" id="{00000000-0008-0000-0B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292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18</xdr:col>
      <xdr:colOff>85725</xdr:colOff>
      <xdr:row>12</xdr:row>
      <xdr:rowOff>104775</xdr:rowOff>
    </xdr:from>
    <xdr:ext cx="657225" cy="657225"/>
    <xdr:pic>
      <xdr:nvPicPr>
        <xdr:cNvPr id="123" name="그림 122">
          <a:extLst>
            <a:ext uri="{FF2B5EF4-FFF2-40B4-BE49-F238E27FC236}">
              <a16:creationId xmlns:a16="http://schemas.microsoft.com/office/drawing/2014/main" id="{00000000-0008-0000-0B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21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17</xdr:col>
      <xdr:colOff>95250</xdr:colOff>
      <xdr:row>12</xdr:row>
      <xdr:rowOff>85725</xdr:rowOff>
    </xdr:from>
    <xdr:ext cx="657225" cy="657225"/>
    <xdr:pic>
      <xdr:nvPicPr>
        <xdr:cNvPr id="124" name="그림 123">
          <a:extLst>
            <a:ext uri="{FF2B5EF4-FFF2-40B4-BE49-F238E27FC236}">
              <a16:creationId xmlns:a16="http://schemas.microsoft.com/office/drawing/2014/main" id="{00000000-0008-0000-0B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7</xdr:col>
      <xdr:colOff>85725</xdr:colOff>
      <xdr:row>3</xdr:row>
      <xdr:rowOff>85725</xdr:rowOff>
    </xdr:from>
    <xdr:to>
      <xdr:col>7</xdr:col>
      <xdr:colOff>742950</xdr:colOff>
      <xdr:row>3</xdr:row>
      <xdr:rowOff>742950</xdr:rowOff>
    </xdr:to>
    <xdr:pic>
      <xdr:nvPicPr>
        <xdr:cNvPr id="70" name="그림 69">
          <a:extLst>
            <a:ext uri="{FF2B5EF4-FFF2-40B4-BE49-F238E27FC236}">
              <a16:creationId xmlns:a16="http://schemas.microsoft.com/office/drawing/2014/main" id="{00000000-0008-0000-0B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9</xdr:row>
      <xdr:rowOff>85725</xdr:rowOff>
    </xdr:from>
    <xdr:to>
      <xdr:col>7</xdr:col>
      <xdr:colOff>742950</xdr:colOff>
      <xdr:row>9</xdr:row>
      <xdr:rowOff>742950</xdr:rowOff>
    </xdr:to>
    <xdr:pic>
      <xdr:nvPicPr>
        <xdr:cNvPr id="72" name="그림 71">
          <a:extLst>
            <a:ext uri="{FF2B5EF4-FFF2-40B4-BE49-F238E27FC236}">
              <a16:creationId xmlns:a16="http://schemas.microsoft.com/office/drawing/2014/main" id="{00000000-0008-0000-0B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31908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6</xdr:row>
      <xdr:rowOff>85725</xdr:rowOff>
    </xdr:from>
    <xdr:to>
      <xdr:col>7</xdr:col>
      <xdr:colOff>742950</xdr:colOff>
      <xdr:row>6</xdr:row>
      <xdr:rowOff>742950</xdr:rowOff>
    </xdr:to>
    <xdr:pic>
      <xdr:nvPicPr>
        <xdr:cNvPr id="73" name="그림 72">
          <a:extLst>
            <a:ext uri="{FF2B5EF4-FFF2-40B4-BE49-F238E27FC236}">
              <a16:creationId xmlns:a16="http://schemas.microsoft.com/office/drawing/2014/main" id="{00000000-0008-0000-0B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7</xdr:col>
      <xdr:colOff>85725</xdr:colOff>
      <xdr:row>12</xdr:row>
      <xdr:rowOff>85725</xdr:rowOff>
    </xdr:from>
    <xdr:ext cx="657225" cy="657225"/>
    <xdr:pic>
      <xdr:nvPicPr>
        <xdr:cNvPr id="74" name="그림 73">
          <a:extLst>
            <a:ext uri="{FF2B5EF4-FFF2-40B4-BE49-F238E27FC236}">
              <a16:creationId xmlns:a16="http://schemas.microsoft.com/office/drawing/2014/main" id="{00000000-0008-0000-0B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4429125"/>
          <a:ext cx="657225" cy="6572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externalLinkPath" Target="file:///D:\JW_Work\07.%20&#48372;&#49345;&#49444;&#51221;\(NOX)%20&#48372;&#49345;%20&#49444;&#51221;_20160708.xlsx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tabSelected="1" workbookViewId="0">
      <pane ySplit="2" topLeftCell="A3" activePane="bottomLeft" state="frozen"/>
      <selection pane="bottomLeft" activeCell="D36" sqref="D36"/>
    </sheetView>
  </sheetViews>
  <sheetFormatPr defaultRowHeight="16.5"/>
  <cols>
    <col min="1" max="1" width="9" style="11"/>
    <col min="2" max="2" width="9.25" style="11" bestFit="1" customWidth="1"/>
    <col min="3" max="3" width="12.125" style="11" bestFit="1" customWidth="1"/>
    <col min="4" max="4" width="66" style="11" bestFit="1" customWidth="1"/>
    <col min="5" max="5" width="26.125" style="11" bestFit="1" customWidth="1"/>
    <col min="6" max="16384" width="9" style="11"/>
  </cols>
  <sheetData>
    <row r="2" spans="2:5">
      <c r="B2" s="291" t="s">
        <v>1417</v>
      </c>
      <c r="C2" s="291" t="s">
        <v>1443</v>
      </c>
      <c r="D2" s="292" t="s">
        <v>1418</v>
      </c>
      <c r="E2" s="292" t="s">
        <v>1419</v>
      </c>
    </row>
    <row r="3" spans="2:5">
      <c r="B3" s="366" t="s">
        <v>1442</v>
      </c>
      <c r="C3" s="366" t="s">
        <v>1421</v>
      </c>
      <c r="D3" s="294" t="s">
        <v>1446</v>
      </c>
      <c r="E3" s="363" t="s">
        <v>1529</v>
      </c>
    </row>
    <row r="4" spans="2:5">
      <c r="B4" s="366"/>
      <c r="C4" s="366"/>
      <c r="D4" s="294" t="s">
        <v>1424</v>
      </c>
      <c r="E4" s="364"/>
    </row>
    <row r="5" spans="2:5">
      <c r="B5" s="366"/>
      <c r="C5" s="366"/>
      <c r="D5" s="294" t="s">
        <v>1425</v>
      </c>
      <c r="E5" s="364"/>
    </row>
    <row r="6" spans="2:5">
      <c r="B6" s="366"/>
      <c r="C6" s="366"/>
      <c r="D6" s="294" t="s">
        <v>1600</v>
      </c>
      <c r="E6" s="364"/>
    </row>
    <row r="7" spans="2:5">
      <c r="B7" s="366"/>
      <c r="C7" s="366" t="s">
        <v>1422</v>
      </c>
      <c r="D7" s="294" t="s">
        <v>1426</v>
      </c>
      <c r="E7" s="364"/>
    </row>
    <row r="8" spans="2:5">
      <c r="B8" s="366"/>
      <c r="C8" s="366"/>
      <c r="D8" s="294" t="s">
        <v>1427</v>
      </c>
      <c r="E8" s="364"/>
    </row>
    <row r="9" spans="2:5">
      <c r="B9" s="366"/>
      <c r="C9" s="366" t="s">
        <v>1531</v>
      </c>
      <c r="D9" s="294" t="s">
        <v>1428</v>
      </c>
      <c r="E9" s="364"/>
    </row>
    <row r="10" spans="2:5">
      <c r="B10" s="366"/>
      <c r="C10" s="366"/>
      <c r="D10" s="294" t="s">
        <v>1429</v>
      </c>
      <c r="E10" s="364"/>
    </row>
    <row r="11" spans="2:5">
      <c r="B11" s="366"/>
      <c r="C11" s="366"/>
      <c r="D11" s="294" t="s">
        <v>1430</v>
      </c>
      <c r="E11" s="364"/>
    </row>
    <row r="12" spans="2:5">
      <c r="B12" s="363" t="s">
        <v>1441</v>
      </c>
      <c r="C12" s="299" t="s">
        <v>1433</v>
      </c>
      <c r="D12" s="294" t="s">
        <v>1434</v>
      </c>
      <c r="E12" s="364"/>
    </row>
    <row r="13" spans="2:5">
      <c r="B13" s="364"/>
      <c r="C13" s="299" t="s">
        <v>1439</v>
      </c>
      <c r="D13" s="294" t="s">
        <v>1440</v>
      </c>
      <c r="E13" s="364"/>
    </row>
    <row r="14" spans="2:5">
      <c r="B14" s="364"/>
      <c r="C14" s="363" t="s">
        <v>1445</v>
      </c>
      <c r="D14" s="294" t="s">
        <v>1447</v>
      </c>
      <c r="E14" s="364"/>
    </row>
    <row r="15" spans="2:5">
      <c r="B15" s="365"/>
      <c r="C15" s="365"/>
      <c r="D15" s="294" t="s">
        <v>1528</v>
      </c>
      <c r="E15" s="364"/>
    </row>
    <row r="16" spans="2:5" ht="27">
      <c r="B16" s="363" t="s">
        <v>1525</v>
      </c>
      <c r="C16" s="293" t="s">
        <v>1526</v>
      </c>
      <c r="D16" s="324" t="s">
        <v>1569</v>
      </c>
      <c r="E16" s="364"/>
    </row>
    <row r="17" spans="2:5">
      <c r="B17" s="365"/>
      <c r="C17" s="293" t="s">
        <v>1527</v>
      </c>
      <c r="D17" s="294" t="s">
        <v>1570</v>
      </c>
      <c r="E17" s="364"/>
    </row>
    <row r="18" spans="2:5">
      <c r="B18" s="363" t="s">
        <v>1530</v>
      </c>
      <c r="C18" s="293" t="s">
        <v>1532</v>
      </c>
      <c r="D18" s="294" t="s">
        <v>1571</v>
      </c>
      <c r="E18" s="364"/>
    </row>
    <row r="19" spans="2:5">
      <c r="B19" s="365"/>
      <c r="C19" s="293" t="s">
        <v>1533</v>
      </c>
      <c r="D19" s="294" t="s">
        <v>1534</v>
      </c>
      <c r="E19" s="365"/>
    </row>
    <row r="20" spans="2:5">
      <c r="B20" s="293" t="s">
        <v>1538</v>
      </c>
      <c r="C20" s="293" t="s">
        <v>1539</v>
      </c>
      <c r="D20" s="294" t="s">
        <v>1540</v>
      </c>
      <c r="E20" s="363" t="s">
        <v>1542</v>
      </c>
    </row>
    <row r="21" spans="2:5">
      <c r="B21" s="363" t="s">
        <v>1541</v>
      </c>
      <c r="C21" s="332" t="s">
        <v>1527</v>
      </c>
      <c r="D21" s="294" t="s">
        <v>1564</v>
      </c>
      <c r="E21" s="364"/>
    </row>
    <row r="22" spans="2:5">
      <c r="B22" s="365"/>
      <c r="C22" s="293" t="s">
        <v>1565</v>
      </c>
      <c r="D22" s="294" t="s">
        <v>1571</v>
      </c>
      <c r="E22" s="364"/>
    </row>
    <row r="23" spans="2:5">
      <c r="B23" s="293" t="s">
        <v>1566</v>
      </c>
      <c r="C23" s="293" t="s">
        <v>1567</v>
      </c>
      <c r="D23" s="294" t="s">
        <v>1568</v>
      </c>
      <c r="E23" s="365"/>
    </row>
    <row r="24" spans="2:5">
      <c r="B24" s="363" t="s">
        <v>1574</v>
      </c>
      <c r="C24" s="293" t="s">
        <v>1575</v>
      </c>
      <c r="D24" s="294" t="s">
        <v>1596</v>
      </c>
      <c r="E24" s="363" t="s">
        <v>1605</v>
      </c>
    </row>
    <row r="25" spans="2:5">
      <c r="B25" s="364"/>
      <c r="C25" s="345" t="s">
        <v>1575</v>
      </c>
      <c r="D25" s="359" t="s">
        <v>1597</v>
      </c>
      <c r="E25" s="364"/>
    </row>
    <row r="26" spans="2:5">
      <c r="B26" s="365"/>
      <c r="C26" s="339" t="s">
        <v>1576</v>
      </c>
      <c r="D26" s="294" t="s">
        <v>1577</v>
      </c>
      <c r="E26" s="364"/>
    </row>
    <row r="27" spans="2:5">
      <c r="B27" s="293" t="s">
        <v>1598</v>
      </c>
      <c r="C27" s="293" t="s">
        <v>1599</v>
      </c>
      <c r="D27" s="294" t="s">
        <v>1602</v>
      </c>
      <c r="E27" s="365"/>
    </row>
    <row r="28" spans="2:5">
      <c r="B28" s="293" t="s">
        <v>1607</v>
      </c>
      <c r="C28" s="293" t="s">
        <v>1603</v>
      </c>
      <c r="D28" s="294" t="s">
        <v>1604</v>
      </c>
      <c r="E28" s="360" t="s">
        <v>1606</v>
      </c>
    </row>
    <row r="29" spans="2:5">
      <c r="B29" s="293"/>
      <c r="C29" s="293"/>
      <c r="D29" s="294"/>
      <c r="E29" s="293"/>
    </row>
    <row r="30" spans="2:5">
      <c r="B30" s="293"/>
      <c r="C30" s="293"/>
      <c r="D30" s="294"/>
      <c r="E30" s="293"/>
    </row>
    <row r="31" spans="2:5">
      <c r="B31" s="293"/>
      <c r="C31" s="293"/>
      <c r="D31" s="294"/>
      <c r="E31" s="293"/>
    </row>
    <row r="32" spans="2:5">
      <c r="B32" s="293"/>
      <c r="C32" s="293"/>
      <c r="D32" s="294"/>
      <c r="E32" s="293"/>
    </row>
  </sheetData>
  <mergeCells count="13">
    <mergeCell ref="B24:B26"/>
    <mergeCell ref="B21:B22"/>
    <mergeCell ref="B18:B19"/>
    <mergeCell ref="E3:E19"/>
    <mergeCell ref="B16:B17"/>
    <mergeCell ref="C3:C6"/>
    <mergeCell ref="C7:C8"/>
    <mergeCell ref="C9:C11"/>
    <mergeCell ref="B3:B11"/>
    <mergeCell ref="C14:C15"/>
    <mergeCell ref="B12:B15"/>
    <mergeCell ref="E20:E23"/>
    <mergeCell ref="E24:E27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8"/>
  <sheetViews>
    <sheetView workbookViewId="0">
      <selection activeCell="E37" sqref="E37"/>
    </sheetView>
  </sheetViews>
  <sheetFormatPr defaultColWidth="3.625" defaultRowHeight="16.5"/>
  <cols>
    <col min="1" max="1" width="3.625" style="11"/>
    <col min="2" max="3" width="10.625" style="11" customWidth="1"/>
    <col min="4" max="6" width="16.625" style="11" customWidth="1"/>
    <col min="7" max="7" width="3.625" style="11"/>
    <col min="8" max="8" width="12.5" style="11" customWidth="1"/>
    <col min="9" max="9" width="12" style="11" customWidth="1"/>
    <col min="10" max="17" width="10.625" style="11" customWidth="1"/>
    <col min="18" max="18" width="3.625" style="11"/>
    <col min="19" max="19" width="5.125" style="11" bestFit="1" customWidth="1"/>
    <col min="20" max="20" width="22.875" style="11" bestFit="1" customWidth="1"/>
    <col min="21" max="21" width="17.75" style="11" bestFit="1" customWidth="1"/>
    <col min="22" max="16384" width="3.625" style="11"/>
  </cols>
  <sheetData>
    <row r="2" spans="2:17">
      <c r="B2" s="4" t="s">
        <v>442</v>
      </c>
      <c r="H2" s="4" t="s">
        <v>431</v>
      </c>
    </row>
    <row r="3" spans="2:17">
      <c r="B3" s="478"/>
      <c r="C3" s="478" t="s">
        <v>423</v>
      </c>
      <c r="D3" s="481" t="s">
        <v>428</v>
      </c>
      <c r="E3" s="476"/>
      <c r="H3" s="478" t="s">
        <v>410</v>
      </c>
      <c r="I3" s="478" t="s">
        <v>247</v>
      </c>
      <c r="J3" s="475" t="s">
        <v>435</v>
      </c>
      <c r="K3" s="476"/>
      <c r="L3" s="475" t="s">
        <v>436</v>
      </c>
      <c r="M3" s="476"/>
      <c r="N3" s="475" t="s">
        <v>437</v>
      </c>
      <c r="O3" s="476"/>
      <c r="P3" s="475" t="s">
        <v>426</v>
      </c>
      <c r="Q3" s="476"/>
    </row>
    <row r="4" spans="2:17">
      <c r="B4" s="479"/>
      <c r="C4" s="479"/>
      <c r="D4" s="33" t="s">
        <v>439</v>
      </c>
      <c r="E4" s="33" t="s">
        <v>521</v>
      </c>
      <c r="H4" s="479"/>
      <c r="I4" s="479"/>
      <c r="J4" s="33" t="s">
        <v>432</v>
      </c>
      <c r="K4" s="33" t="s">
        <v>433</v>
      </c>
      <c r="L4" s="33" t="s">
        <v>432</v>
      </c>
      <c r="M4" s="33" t="s">
        <v>433</v>
      </c>
      <c r="N4" s="33" t="s">
        <v>432</v>
      </c>
      <c r="O4" s="33" t="s">
        <v>433</v>
      </c>
      <c r="P4" s="33" t="s">
        <v>432</v>
      </c>
      <c r="Q4" s="33" t="s">
        <v>433</v>
      </c>
    </row>
    <row r="5" spans="2:17">
      <c r="B5" s="472" t="s">
        <v>440</v>
      </c>
      <c r="C5" s="39" t="s">
        <v>418</v>
      </c>
      <c r="D5" s="35">
        <v>10</v>
      </c>
      <c r="E5" s="35">
        <v>3</v>
      </c>
      <c r="H5" s="414" t="s">
        <v>438</v>
      </c>
      <c r="I5" s="39" t="s">
        <v>411</v>
      </c>
      <c r="J5" s="7">
        <v>1</v>
      </c>
      <c r="K5" s="7">
        <v>4</v>
      </c>
      <c r="L5" s="7">
        <v>150</v>
      </c>
      <c r="M5" s="7">
        <v>220</v>
      </c>
      <c r="N5" s="7">
        <v>3000</v>
      </c>
      <c r="O5" s="7">
        <v>6500</v>
      </c>
      <c r="P5" s="7">
        <v>10</v>
      </c>
      <c r="Q5" s="7">
        <v>17</v>
      </c>
    </row>
    <row r="6" spans="2:17">
      <c r="B6" s="473"/>
      <c r="C6" s="39" t="s">
        <v>419</v>
      </c>
      <c r="D6" s="35">
        <v>20</v>
      </c>
      <c r="E6" s="35">
        <v>5</v>
      </c>
      <c r="H6" s="414"/>
      <c r="I6" s="39" t="s">
        <v>412</v>
      </c>
      <c r="J6" s="35">
        <f>J5+1</f>
        <v>2</v>
      </c>
      <c r="K6" s="35">
        <f t="shared" ref="K6:K10" si="0">K5+1</f>
        <v>5</v>
      </c>
      <c r="L6" s="35">
        <f>L5+50</f>
        <v>200</v>
      </c>
      <c r="M6" s="35">
        <f t="shared" ref="M6:M10" si="1">M5+50</f>
        <v>270</v>
      </c>
      <c r="N6" s="35">
        <f>N5+1000</f>
        <v>4000</v>
      </c>
      <c r="O6" s="35">
        <f t="shared" ref="O6:O10" si="2">O5+1000</f>
        <v>7500</v>
      </c>
      <c r="P6" s="35">
        <f t="shared" ref="P6:P10" si="3">P5+1</f>
        <v>11</v>
      </c>
      <c r="Q6" s="35">
        <f t="shared" ref="Q6:Q10" si="4">Q5+1</f>
        <v>18</v>
      </c>
    </row>
    <row r="7" spans="2:17">
      <c r="B7" s="473"/>
      <c r="C7" s="39" t="s">
        <v>420</v>
      </c>
      <c r="D7" s="35">
        <v>15</v>
      </c>
      <c r="E7" s="35">
        <v>5</v>
      </c>
      <c r="H7" s="414"/>
      <c r="I7" s="39" t="s">
        <v>413</v>
      </c>
      <c r="J7" s="35">
        <f t="shared" ref="J7:J10" si="5">J6+1</f>
        <v>3</v>
      </c>
      <c r="K7" s="35">
        <f t="shared" si="0"/>
        <v>6</v>
      </c>
      <c r="L7" s="35">
        <f t="shared" ref="L7:L10" si="6">L6+50</f>
        <v>250</v>
      </c>
      <c r="M7" s="35">
        <f t="shared" si="1"/>
        <v>320</v>
      </c>
      <c r="N7" s="35">
        <f t="shared" ref="N7:N10" si="7">N6+1000</f>
        <v>5000</v>
      </c>
      <c r="O7" s="35">
        <f t="shared" si="2"/>
        <v>8500</v>
      </c>
      <c r="P7" s="35">
        <f t="shared" si="3"/>
        <v>12</v>
      </c>
      <c r="Q7" s="35">
        <f t="shared" si="4"/>
        <v>19</v>
      </c>
    </row>
    <row r="8" spans="2:17">
      <c r="B8" s="473"/>
      <c r="C8" s="39" t="s">
        <v>422</v>
      </c>
      <c r="D8" s="35">
        <v>15</v>
      </c>
      <c r="E8" s="35">
        <v>30</v>
      </c>
      <c r="H8" s="414"/>
      <c r="I8" s="39" t="s">
        <v>414</v>
      </c>
      <c r="J8" s="35">
        <f t="shared" si="5"/>
        <v>4</v>
      </c>
      <c r="K8" s="35">
        <f t="shared" si="0"/>
        <v>7</v>
      </c>
      <c r="L8" s="35">
        <f t="shared" si="6"/>
        <v>300</v>
      </c>
      <c r="M8" s="35">
        <f t="shared" si="1"/>
        <v>370</v>
      </c>
      <c r="N8" s="35">
        <f t="shared" si="7"/>
        <v>6000</v>
      </c>
      <c r="O8" s="35">
        <f t="shared" si="2"/>
        <v>9500</v>
      </c>
      <c r="P8" s="35">
        <f t="shared" si="3"/>
        <v>13</v>
      </c>
      <c r="Q8" s="35">
        <f t="shared" si="4"/>
        <v>20</v>
      </c>
    </row>
    <row r="9" spans="2:17">
      <c r="B9" s="473"/>
      <c r="C9" s="39" t="s">
        <v>421</v>
      </c>
      <c r="D9" s="35">
        <v>10</v>
      </c>
      <c r="E9" s="35">
        <v>30</v>
      </c>
      <c r="H9" s="414"/>
      <c r="I9" s="39" t="s">
        <v>415</v>
      </c>
      <c r="J9" s="35">
        <f t="shared" si="5"/>
        <v>5</v>
      </c>
      <c r="K9" s="35">
        <f t="shared" si="0"/>
        <v>8</v>
      </c>
      <c r="L9" s="35">
        <f t="shared" si="6"/>
        <v>350</v>
      </c>
      <c r="M9" s="35">
        <f t="shared" si="1"/>
        <v>420</v>
      </c>
      <c r="N9" s="35">
        <f t="shared" si="7"/>
        <v>7000</v>
      </c>
      <c r="O9" s="35">
        <f t="shared" si="2"/>
        <v>10500</v>
      </c>
      <c r="P9" s="35">
        <f t="shared" si="3"/>
        <v>14</v>
      </c>
      <c r="Q9" s="35">
        <f t="shared" si="4"/>
        <v>21</v>
      </c>
    </row>
    <row r="10" spans="2:17">
      <c r="B10" s="473"/>
      <c r="C10" s="39" t="s">
        <v>425</v>
      </c>
      <c r="D10" s="35">
        <v>5</v>
      </c>
      <c r="E10" s="35">
        <v>2</v>
      </c>
      <c r="H10" s="414"/>
      <c r="I10" s="39" t="s">
        <v>416</v>
      </c>
      <c r="J10" s="35">
        <f t="shared" si="5"/>
        <v>6</v>
      </c>
      <c r="K10" s="35">
        <f t="shared" si="0"/>
        <v>9</v>
      </c>
      <c r="L10" s="35">
        <f t="shared" si="6"/>
        <v>400</v>
      </c>
      <c r="M10" s="35">
        <f t="shared" si="1"/>
        <v>470</v>
      </c>
      <c r="N10" s="35">
        <f t="shared" si="7"/>
        <v>8000</v>
      </c>
      <c r="O10" s="35">
        <f t="shared" si="2"/>
        <v>11500</v>
      </c>
      <c r="P10" s="35">
        <f t="shared" si="3"/>
        <v>15</v>
      </c>
      <c r="Q10" s="35">
        <f t="shared" si="4"/>
        <v>22</v>
      </c>
    </row>
    <row r="11" spans="2:17">
      <c r="B11" s="473"/>
      <c r="C11" s="39" t="s">
        <v>426</v>
      </c>
      <c r="D11" s="35">
        <v>10</v>
      </c>
      <c r="E11" s="35">
        <v>20</v>
      </c>
      <c r="H11" s="480" t="s">
        <v>520</v>
      </c>
      <c r="I11" s="167" t="s">
        <v>411</v>
      </c>
      <c r="J11" s="170">
        <f>J5+3</f>
        <v>4</v>
      </c>
      <c r="K11" s="170">
        <f>K5+3</f>
        <v>7</v>
      </c>
      <c r="L11" s="170">
        <f>L5+50</f>
        <v>200</v>
      </c>
      <c r="M11" s="170">
        <f>M5+50</f>
        <v>270</v>
      </c>
      <c r="N11" s="170">
        <f>N5+2000</f>
        <v>5000</v>
      </c>
      <c r="O11" s="170">
        <f>O5+2000</f>
        <v>8500</v>
      </c>
      <c r="P11" s="170">
        <f t="shared" ref="P11:Q11" si="8">P5+2</f>
        <v>12</v>
      </c>
      <c r="Q11" s="170">
        <f t="shared" si="8"/>
        <v>19</v>
      </c>
    </row>
    <row r="12" spans="2:17">
      <c r="B12" s="474"/>
      <c r="C12" s="39" t="s">
        <v>424</v>
      </c>
      <c r="D12" s="35">
        <v>15</v>
      </c>
      <c r="E12" s="35">
        <v>5</v>
      </c>
      <c r="H12" s="430"/>
      <c r="I12" s="167" t="s">
        <v>412</v>
      </c>
      <c r="J12" s="37">
        <f>J11+1</f>
        <v>5</v>
      </c>
      <c r="K12" s="37">
        <f t="shared" ref="K12:K16" si="9">K11+1</f>
        <v>8</v>
      </c>
      <c r="L12" s="37">
        <f>L11+50</f>
        <v>250</v>
      </c>
      <c r="M12" s="37">
        <f t="shared" ref="M12:M16" si="10">M11+50</f>
        <v>320</v>
      </c>
      <c r="N12" s="37">
        <f>N11+1000</f>
        <v>6000</v>
      </c>
      <c r="O12" s="37">
        <f t="shared" ref="O12:O16" si="11">O11+1000</f>
        <v>9500</v>
      </c>
      <c r="P12" s="37">
        <f t="shared" ref="P12:P16" si="12">P11+1</f>
        <v>13</v>
      </c>
      <c r="Q12" s="37">
        <f t="shared" ref="Q12:Q16" si="13">Q11+1</f>
        <v>20</v>
      </c>
    </row>
    <row r="13" spans="2:17">
      <c r="B13" s="430" t="s">
        <v>427</v>
      </c>
      <c r="C13" s="430"/>
      <c r="D13" s="168">
        <f>SUM(D5:D12)</f>
        <v>100</v>
      </c>
      <c r="E13" s="169">
        <f t="shared" ref="E13" si="14">SUM(E5:E12)</f>
        <v>100</v>
      </c>
      <c r="H13" s="430"/>
      <c r="I13" s="167" t="s">
        <v>413</v>
      </c>
      <c r="J13" s="37">
        <f t="shared" ref="J13:J16" si="15">J12+1</f>
        <v>6</v>
      </c>
      <c r="K13" s="37">
        <f t="shared" si="9"/>
        <v>9</v>
      </c>
      <c r="L13" s="37">
        <f t="shared" ref="L13:L16" si="16">L12+50</f>
        <v>300</v>
      </c>
      <c r="M13" s="37">
        <f t="shared" si="10"/>
        <v>370</v>
      </c>
      <c r="N13" s="37">
        <f t="shared" ref="N13:N16" si="17">N12+1000</f>
        <v>7000</v>
      </c>
      <c r="O13" s="37">
        <f t="shared" si="11"/>
        <v>10500</v>
      </c>
      <c r="P13" s="37">
        <f t="shared" si="12"/>
        <v>14</v>
      </c>
      <c r="Q13" s="37">
        <f t="shared" si="13"/>
        <v>21</v>
      </c>
    </row>
    <row r="14" spans="2:17">
      <c r="H14" s="430"/>
      <c r="I14" s="167" t="s">
        <v>414</v>
      </c>
      <c r="J14" s="37">
        <f t="shared" si="15"/>
        <v>7</v>
      </c>
      <c r="K14" s="37">
        <f t="shared" si="9"/>
        <v>10</v>
      </c>
      <c r="L14" s="37">
        <f t="shared" si="16"/>
        <v>350</v>
      </c>
      <c r="M14" s="37">
        <f t="shared" si="10"/>
        <v>420</v>
      </c>
      <c r="N14" s="37">
        <f t="shared" si="17"/>
        <v>8000</v>
      </c>
      <c r="O14" s="37">
        <f t="shared" si="11"/>
        <v>11500</v>
      </c>
      <c r="P14" s="37">
        <f t="shared" si="12"/>
        <v>15</v>
      </c>
      <c r="Q14" s="37">
        <f t="shared" si="13"/>
        <v>22</v>
      </c>
    </row>
    <row r="15" spans="2:17">
      <c r="H15" s="430"/>
      <c r="I15" s="167" t="s">
        <v>415</v>
      </c>
      <c r="J15" s="37">
        <f t="shared" si="15"/>
        <v>8</v>
      </c>
      <c r="K15" s="37">
        <f t="shared" si="9"/>
        <v>11</v>
      </c>
      <c r="L15" s="37">
        <f t="shared" si="16"/>
        <v>400</v>
      </c>
      <c r="M15" s="37">
        <f t="shared" si="10"/>
        <v>470</v>
      </c>
      <c r="N15" s="37">
        <f t="shared" si="17"/>
        <v>9000</v>
      </c>
      <c r="O15" s="37">
        <f t="shared" si="11"/>
        <v>12500</v>
      </c>
      <c r="P15" s="37">
        <f t="shared" si="12"/>
        <v>16</v>
      </c>
      <c r="Q15" s="37">
        <f t="shared" si="13"/>
        <v>23</v>
      </c>
    </row>
    <row r="16" spans="2:17">
      <c r="H16" s="430"/>
      <c r="I16" s="167" t="s">
        <v>416</v>
      </c>
      <c r="J16" s="37">
        <f t="shared" si="15"/>
        <v>9</v>
      </c>
      <c r="K16" s="37">
        <f t="shared" si="9"/>
        <v>12</v>
      </c>
      <c r="L16" s="37">
        <f t="shared" si="16"/>
        <v>450</v>
      </c>
      <c r="M16" s="37">
        <f t="shared" si="10"/>
        <v>520</v>
      </c>
      <c r="N16" s="37">
        <f t="shared" si="17"/>
        <v>10000</v>
      </c>
      <c r="O16" s="37">
        <f t="shared" si="11"/>
        <v>13500</v>
      </c>
      <c r="P16" s="37">
        <f t="shared" si="12"/>
        <v>17</v>
      </c>
      <c r="Q16" s="37">
        <f t="shared" si="13"/>
        <v>24</v>
      </c>
    </row>
    <row r="18" spans="2:6">
      <c r="B18" s="10" t="s">
        <v>430</v>
      </c>
    </row>
    <row r="19" spans="2:6">
      <c r="B19" s="478"/>
      <c r="C19" s="478" t="s">
        <v>417</v>
      </c>
      <c r="D19" s="475" t="s">
        <v>429</v>
      </c>
      <c r="E19" s="476"/>
      <c r="F19" s="477"/>
    </row>
    <row r="20" spans="2:6">
      <c r="B20" s="479"/>
      <c r="C20" s="479"/>
      <c r="D20" s="33" t="s">
        <v>434</v>
      </c>
      <c r="E20" s="33" t="s">
        <v>162</v>
      </c>
      <c r="F20" s="33" t="s">
        <v>163</v>
      </c>
    </row>
    <row r="21" spans="2:6">
      <c r="B21" s="414" t="s">
        <v>441</v>
      </c>
      <c r="C21" s="39" t="s">
        <v>411</v>
      </c>
      <c r="D21" s="7">
        <v>70</v>
      </c>
      <c r="E21" s="7">
        <v>24</v>
      </c>
      <c r="F21" s="7">
        <v>6</v>
      </c>
    </row>
    <row r="22" spans="2:6">
      <c r="B22" s="414"/>
      <c r="C22" s="39" t="s">
        <v>412</v>
      </c>
      <c r="D22" s="35">
        <f>D21-10</f>
        <v>60</v>
      </c>
      <c r="E22" s="35">
        <f>E21+6</f>
        <v>30</v>
      </c>
      <c r="F22" s="35">
        <f>F21+4</f>
        <v>10</v>
      </c>
    </row>
    <row r="23" spans="2:6">
      <c r="B23" s="414"/>
      <c r="C23" s="39" t="s">
        <v>413</v>
      </c>
      <c r="D23" s="35">
        <f t="shared" ref="D23:D26" si="18">D22-10</f>
        <v>50</v>
      </c>
      <c r="E23" s="35">
        <f t="shared" ref="E23:E26" si="19">E22+6</f>
        <v>36</v>
      </c>
      <c r="F23" s="35">
        <f t="shared" ref="F23:F26" si="20">F22+4</f>
        <v>14</v>
      </c>
    </row>
    <row r="24" spans="2:6">
      <c r="B24" s="414"/>
      <c r="C24" s="39" t="s">
        <v>414</v>
      </c>
      <c r="D24" s="35">
        <f t="shared" si="18"/>
        <v>40</v>
      </c>
      <c r="E24" s="35">
        <f t="shared" si="19"/>
        <v>42</v>
      </c>
      <c r="F24" s="35">
        <f t="shared" si="20"/>
        <v>18</v>
      </c>
    </row>
    <row r="25" spans="2:6">
      <c r="B25" s="414"/>
      <c r="C25" s="39" t="s">
        <v>415</v>
      </c>
      <c r="D25" s="35">
        <f t="shared" si="18"/>
        <v>30</v>
      </c>
      <c r="E25" s="35">
        <f t="shared" si="19"/>
        <v>48</v>
      </c>
      <c r="F25" s="35">
        <f t="shared" si="20"/>
        <v>22</v>
      </c>
    </row>
    <row r="26" spans="2:6">
      <c r="B26" s="414"/>
      <c r="C26" s="39" t="s">
        <v>416</v>
      </c>
      <c r="D26" s="35">
        <f t="shared" si="18"/>
        <v>20</v>
      </c>
      <c r="E26" s="35">
        <f t="shared" si="19"/>
        <v>54</v>
      </c>
      <c r="F26" s="35">
        <f t="shared" si="20"/>
        <v>26</v>
      </c>
    </row>
    <row r="28" spans="2:6" ht="16.5" customHeight="1"/>
  </sheetData>
  <mergeCells count="17">
    <mergeCell ref="C3:C4"/>
    <mergeCell ref="B3:B4"/>
    <mergeCell ref="H3:H4"/>
    <mergeCell ref="N3:O3"/>
    <mergeCell ref="D3:E3"/>
    <mergeCell ref="P3:Q3"/>
    <mergeCell ref="I3:I4"/>
    <mergeCell ref="H5:H10"/>
    <mergeCell ref="H11:H16"/>
    <mergeCell ref="J3:K3"/>
    <mergeCell ref="L3:M3"/>
    <mergeCell ref="B13:C13"/>
    <mergeCell ref="B21:B26"/>
    <mergeCell ref="B5:B12"/>
    <mergeCell ref="D19:F19"/>
    <mergeCell ref="B19:B20"/>
    <mergeCell ref="C19:C20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5"/>
  <sheetViews>
    <sheetView workbookViewId="0">
      <selection activeCell="G30" sqref="G30"/>
    </sheetView>
  </sheetViews>
  <sheetFormatPr defaultColWidth="3.625" defaultRowHeight="16.5"/>
  <cols>
    <col min="1" max="1" width="3.625" style="11"/>
    <col min="2" max="3" width="10.625" style="11" customWidth="1"/>
    <col min="4" max="4" width="21.625" style="11" bestFit="1" customWidth="1"/>
    <col min="5" max="5" width="14.875" style="11" bestFit="1" customWidth="1"/>
    <col min="6" max="6" width="15.875" style="11" bestFit="1" customWidth="1"/>
    <col min="7" max="7" width="26.875" style="11" bestFit="1" customWidth="1"/>
    <col min="8" max="8" width="17.125" style="11" bestFit="1" customWidth="1"/>
    <col min="9" max="9" width="18" style="11" bestFit="1" customWidth="1"/>
    <col min="10" max="16384" width="3.625" style="11"/>
  </cols>
  <sheetData>
    <row r="2" spans="2:9">
      <c r="B2" s="33" t="s">
        <v>222</v>
      </c>
      <c r="C2" s="33" t="s">
        <v>224</v>
      </c>
      <c r="D2" s="33" t="s">
        <v>239</v>
      </c>
      <c r="E2" s="33" t="s">
        <v>233</v>
      </c>
      <c r="F2" s="33" t="s">
        <v>234</v>
      </c>
      <c r="G2" s="33" t="s">
        <v>240</v>
      </c>
      <c r="H2" s="33" t="s">
        <v>236</v>
      </c>
      <c r="I2" s="33" t="s">
        <v>237</v>
      </c>
    </row>
    <row r="3" spans="2:9">
      <c r="B3" s="414" t="s">
        <v>223</v>
      </c>
      <c r="C3" s="39" t="s">
        <v>225</v>
      </c>
      <c r="D3" s="97">
        <v>1</v>
      </c>
      <c r="E3" s="97" t="s">
        <v>235</v>
      </c>
      <c r="F3" s="97">
        <v>30</v>
      </c>
      <c r="G3" s="39">
        <v>5</v>
      </c>
      <c r="H3" s="39" t="s">
        <v>465</v>
      </c>
      <c r="I3" s="39">
        <v>1000</v>
      </c>
    </row>
    <row r="4" spans="2:9">
      <c r="B4" s="414"/>
      <c r="C4" s="39" t="s">
        <v>226</v>
      </c>
      <c r="D4" s="97">
        <f t="shared" ref="D4:D10" si="0">D3</f>
        <v>1</v>
      </c>
      <c r="E4" s="97" t="str">
        <f t="shared" ref="E4:E10" si="1">E3</f>
        <v>Gem</v>
      </c>
      <c r="F4" s="97">
        <f>F3</f>
        <v>30</v>
      </c>
      <c r="G4" s="39">
        <f t="shared" ref="G4:G10" si="2">G3</f>
        <v>5</v>
      </c>
      <c r="H4" s="39" t="str">
        <f t="shared" ref="H4:I10" si="3">H3</f>
        <v>Gold</v>
      </c>
      <c r="I4" s="39">
        <f>I3+500</f>
        <v>1500</v>
      </c>
    </row>
    <row r="5" spans="2:9">
      <c r="B5" s="414"/>
      <c r="C5" s="39" t="s">
        <v>227</v>
      </c>
      <c r="D5" s="97">
        <f t="shared" si="0"/>
        <v>1</v>
      </c>
      <c r="E5" s="97" t="str">
        <f t="shared" si="1"/>
        <v>Gem</v>
      </c>
      <c r="F5" s="97">
        <f t="shared" ref="F5:F10" si="4">F4</f>
        <v>30</v>
      </c>
      <c r="G5" s="39">
        <f t="shared" si="2"/>
        <v>5</v>
      </c>
      <c r="H5" s="39" t="str">
        <f t="shared" si="3"/>
        <v>Gold</v>
      </c>
      <c r="I5" s="39">
        <f t="shared" si="3"/>
        <v>1500</v>
      </c>
    </row>
    <row r="6" spans="2:9">
      <c r="B6" s="414"/>
      <c r="C6" s="39" t="s">
        <v>228</v>
      </c>
      <c r="D6" s="97">
        <f t="shared" si="0"/>
        <v>1</v>
      </c>
      <c r="E6" s="97" t="str">
        <f t="shared" si="1"/>
        <v>Gem</v>
      </c>
      <c r="F6" s="97">
        <f t="shared" si="4"/>
        <v>30</v>
      </c>
      <c r="G6" s="39">
        <f t="shared" si="2"/>
        <v>5</v>
      </c>
      <c r="H6" s="39" t="str">
        <f t="shared" si="3"/>
        <v>Gold</v>
      </c>
      <c r="I6" s="39">
        <f t="shared" ref="I6:I10" si="5">I5+500</f>
        <v>2000</v>
      </c>
    </row>
    <row r="7" spans="2:9">
      <c r="B7" s="414"/>
      <c r="C7" s="39" t="s">
        <v>229</v>
      </c>
      <c r="D7" s="97">
        <f t="shared" si="0"/>
        <v>1</v>
      </c>
      <c r="E7" s="97" t="str">
        <f t="shared" si="1"/>
        <v>Gem</v>
      </c>
      <c r="F7" s="97">
        <f t="shared" si="4"/>
        <v>30</v>
      </c>
      <c r="G7" s="39">
        <f t="shared" si="2"/>
        <v>5</v>
      </c>
      <c r="H7" s="39" t="str">
        <f t="shared" si="3"/>
        <v>Gold</v>
      </c>
      <c r="I7" s="39">
        <f t="shared" si="3"/>
        <v>2000</v>
      </c>
    </row>
    <row r="8" spans="2:9">
      <c r="B8" s="414"/>
      <c r="C8" s="39" t="s">
        <v>230</v>
      </c>
      <c r="D8" s="97">
        <f t="shared" si="0"/>
        <v>1</v>
      </c>
      <c r="E8" s="97" t="str">
        <f t="shared" si="1"/>
        <v>Gem</v>
      </c>
      <c r="F8" s="97">
        <f t="shared" si="4"/>
        <v>30</v>
      </c>
      <c r="G8" s="39">
        <f t="shared" si="2"/>
        <v>5</v>
      </c>
      <c r="H8" s="39" t="str">
        <f t="shared" si="3"/>
        <v>Gold</v>
      </c>
      <c r="I8" s="39">
        <f t="shared" si="5"/>
        <v>2500</v>
      </c>
    </row>
    <row r="9" spans="2:9">
      <c r="B9" s="414"/>
      <c r="C9" s="39" t="s">
        <v>231</v>
      </c>
      <c r="D9" s="97">
        <f t="shared" si="0"/>
        <v>1</v>
      </c>
      <c r="E9" s="97" t="str">
        <f t="shared" si="1"/>
        <v>Gem</v>
      </c>
      <c r="F9" s="97">
        <f t="shared" si="4"/>
        <v>30</v>
      </c>
      <c r="G9" s="39">
        <f t="shared" si="2"/>
        <v>5</v>
      </c>
      <c r="H9" s="39" t="str">
        <f t="shared" si="3"/>
        <v>Gold</v>
      </c>
      <c r="I9" s="39">
        <f t="shared" si="3"/>
        <v>2500</v>
      </c>
    </row>
    <row r="10" spans="2:9">
      <c r="B10" s="414"/>
      <c r="C10" s="39" t="s">
        <v>232</v>
      </c>
      <c r="D10" s="97">
        <f t="shared" si="0"/>
        <v>1</v>
      </c>
      <c r="E10" s="97" t="str">
        <f t="shared" si="1"/>
        <v>Gem</v>
      </c>
      <c r="F10" s="97">
        <f t="shared" si="4"/>
        <v>30</v>
      </c>
      <c r="G10" s="39">
        <f t="shared" si="2"/>
        <v>5</v>
      </c>
      <c r="H10" s="39" t="str">
        <f t="shared" si="3"/>
        <v>Gold</v>
      </c>
      <c r="I10" s="39">
        <f t="shared" si="5"/>
        <v>3000</v>
      </c>
    </row>
    <row r="12" spans="2:9">
      <c r="B12" s="399" t="s">
        <v>238</v>
      </c>
      <c r="C12" s="98" t="s">
        <v>225</v>
      </c>
      <c r="D12" s="100">
        <v>1</v>
      </c>
      <c r="E12" s="100" t="s">
        <v>235</v>
      </c>
      <c r="F12" s="100">
        <v>50</v>
      </c>
      <c r="G12" s="98">
        <v>5</v>
      </c>
      <c r="H12" s="98" t="s">
        <v>466</v>
      </c>
      <c r="I12" s="98">
        <v>2000</v>
      </c>
    </row>
    <row r="13" spans="2:9">
      <c r="B13" s="399"/>
      <c r="C13" s="98" t="s">
        <v>226</v>
      </c>
      <c r="D13" s="100">
        <f t="shared" ref="D13:D19" si="6">D12</f>
        <v>1</v>
      </c>
      <c r="E13" s="100" t="str">
        <f t="shared" ref="E13:E19" si="7">E12</f>
        <v>Gem</v>
      </c>
      <c r="F13" s="100">
        <f>F12</f>
        <v>50</v>
      </c>
      <c r="G13" s="98">
        <f t="shared" ref="G13:G19" si="8">G12</f>
        <v>5</v>
      </c>
      <c r="H13" s="98" t="str">
        <f t="shared" ref="H13:I19" si="9">H12</f>
        <v>Gold</v>
      </c>
      <c r="I13" s="98">
        <f>I12+500</f>
        <v>2500</v>
      </c>
    </row>
    <row r="14" spans="2:9">
      <c r="B14" s="399"/>
      <c r="C14" s="98" t="s">
        <v>227</v>
      </c>
      <c r="D14" s="100">
        <f t="shared" si="6"/>
        <v>1</v>
      </c>
      <c r="E14" s="100" t="str">
        <f t="shared" si="7"/>
        <v>Gem</v>
      </c>
      <c r="F14" s="100">
        <f t="shared" ref="F14:F19" si="10">F13</f>
        <v>50</v>
      </c>
      <c r="G14" s="98">
        <f t="shared" si="8"/>
        <v>5</v>
      </c>
      <c r="H14" s="98" t="str">
        <f t="shared" si="9"/>
        <v>Gold</v>
      </c>
      <c r="I14" s="98">
        <f t="shared" si="9"/>
        <v>2500</v>
      </c>
    </row>
    <row r="15" spans="2:9">
      <c r="B15" s="399"/>
      <c r="C15" s="98" t="s">
        <v>228</v>
      </c>
      <c r="D15" s="100">
        <f t="shared" si="6"/>
        <v>1</v>
      </c>
      <c r="E15" s="100" t="str">
        <f t="shared" si="7"/>
        <v>Gem</v>
      </c>
      <c r="F15" s="100">
        <f t="shared" si="10"/>
        <v>50</v>
      </c>
      <c r="G15" s="98">
        <f t="shared" si="8"/>
        <v>5</v>
      </c>
      <c r="H15" s="98" t="str">
        <f t="shared" si="9"/>
        <v>Gold</v>
      </c>
      <c r="I15" s="98">
        <f t="shared" ref="I15:I19" si="11">I14+500</f>
        <v>3000</v>
      </c>
    </row>
    <row r="16" spans="2:9">
      <c r="B16" s="399"/>
      <c r="C16" s="98" t="s">
        <v>229</v>
      </c>
      <c r="D16" s="100">
        <f t="shared" si="6"/>
        <v>1</v>
      </c>
      <c r="E16" s="100" t="str">
        <f t="shared" si="7"/>
        <v>Gem</v>
      </c>
      <c r="F16" s="100">
        <f t="shared" si="10"/>
        <v>50</v>
      </c>
      <c r="G16" s="98">
        <f t="shared" si="8"/>
        <v>5</v>
      </c>
      <c r="H16" s="98" t="str">
        <f t="shared" si="9"/>
        <v>Gold</v>
      </c>
      <c r="I16" s="98">
        <f t="shared" si="9"/>
        <v>3000</v>
      </c>
    </row>
    <row r="17" spans="2:9">
      <c r="B17" s="399"/>
      <c r="C17" s="98" t="s">
        <v>230</v>
      </c>
      <c r="D17" s="100">
        <f t="shared" si="6"/>
        <v>1</v>
      </c>
      <c r="E17" s="100" t="str">
        <f t="shared" si="7"/>
        <v>Gem</v>
      </c>
      <c r="F17" s="100">
        <f t="shared" si="10"/>
        <v>50</v>
      </c>
      <c r="G17" s="98">
        <f t="shared" si="8"/>
        <v>5</v>
      </c>
      <c r="H17" s="98" t="str">
        <f t="shared" si="9"/>
        <v>Gold</v>
      </c>
      <c r="I17" s="98">
        <f t="shared" si="11"/>
        <v>3500</v>
      </c>
    </row>
    <row r="18" spans="2:9">
      <c r="B18" s="399"/>
      <c r="C18" s="98" t="s">
        <v>231</v>
      </c>
      <c r="D18" s="100">
        <f t="shared" si="6"/>
        <v>1</v>
      </c>
      <c r="E18" s="100" t="str">
        <f t="shared" si="7"/>
        <v>Gem</v>
      </c>
      <c r="F18" s="100">
        <f t="shared" si="10"/>
        <v>50</v>
      </c>
      <c r="G18" s="98">
        <f t="shared" si="8"/>
        <v>5</v>
      </c>
      <c r="H18" s="98" t="str">
        <f t="shared" si="9"/>
        <v>Gold</v>
      </c>
      <c r="I18" s="98">
        <f t="shared" si="9"/>
        <v>3500</v>
      </c>
    </row>
    <row r="19" spans="2:9">
      <c r="B19" s="399"/>
      <c r="C19" s="98" t="s">
        <v>232</v>
      </c>
      <c r="D19" s="100">
        <f t="shared" si="6"/>
        <v>1</v>
      </c>
      <c r="E19" s="100" t="str">
        <f t="shared" si="7"/>
        <v>Gem</v>
      </c>
      <c r="F19" s="100">
        <f t="shared" si="10"/>
        <v>50</v>
      </c>
      <c r="G19" s="98">
        <f t="shared" si="8"/>
        <v>5</v>
      </c>
      <c r="H19" s="98" t="str">
        <f t="shared" si="9"/>
        <v>Gold</v>
      </c>
      <c r="I19" s="98">
        <f t="shared" si="11"/>
        <v>4000</v>
      </c>
    </row>
    <row r="21" spans="2:9">
      <c r="B21" s="482" t="s">
        <v>463</v>
      </c>
      <c r="C21" s="482"/>
      <c r="D21" s="202">
        <v>1</v>
      </c>
      <c r="E21" s="202" t="s">
        <v>393</v>
      </c>
      <c r="F21" s="202">
        <v>50</v>
      </c>
      <c r="G21" s="202">
        <v>5</v>
      </c>
      <c r="H21" s="202" t="s">
        <v>391</v>
      </c>
      <c r="I21" s="202">
        <v>3000</v>
      </c>
    </row>
    <row r="23" spans="2:9">
      <c r="B23" s="483" t="s">
        <v>464</v>
      </c>
      <c r="C23" s="483"/>
      <c r="D23" s="203">
        <v>1</v>
      </c>
      <c r="E23" s="203" t="s">
        <v>393</v>
      </c>
      <c r="F23" s="203">
        <v>50</v>
      </c>
      <c r="G23" s="203">
        <v>5</v>
      </c>
      <c r="H23" s="203" t="s">
        <v>391</v>
      </c>
      <c r="I23" s="203">
        <v>4000</v>
      </c>
    </row>
    <row r="25" spans="2:9">
      <c r="B25" s="484" t="s">
        <v>968</v>
      </c>
      <c r="C25" s="484"/>
      <c r="D25" s="200">
        <v>1</v>
      </c>
      <c r="E25" s="200" t="s">
        <v>393</v>
      </c>
      <c r="F25" s="200">
        <v>100</v>
      </c>
      <c r="G25" s="200">
        <v>5</v>
      </c>
      <c r="H25" s="200" t="s">
        <v>391</v>
      </c>
      <c r="I25" s="200">
        <v>5000</v>
      </c>
    </row>
  </sheetData>
  <mergeCells count="5">
    <mergeCell ref="B3:B10"/>
    <mergeCell ref="B12:B19"/>
    <mergeCell ref="B21:C21"/>
    <mergeCell ref="B23:C23"/>
    <mergeCell ref="B25:C25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20"/>
  <sheetViews>
    <sheetView workbookViewId="0">
      <selection activeCell="I30" sqref="I30:I31"/>
    </sheetView>
  </sheetViews>
  <sheetFormatPr defaultColWidth="3.625" defaultRowHeight="16.5"/>
  <cols>
    <col min="1" max="1" width="3.625" style="11"/>
    <col min="2" max="3" width="10.625" style="11" customWidth="1"/>
    <col min="4" max="4" width="20.625" style="11" customWidth="1"/>
    <col min="5" max="5" width="10.625" style="11" customWidth="1"/>
    <col min="6" max="6" width="20.625" style="11" customWidth="1"/>
    <col min="7" max="7" width="10.625" style="11" customWidth="1"/>
    <col min="8" max="8" width="20.625" style="11" customWidth="1"/>
    <col min="9" max="9" width="10.625" style="11" customWidth="1"/>
    <col min="10" max="16384" width="3.625" style="11"/>
  </cols>
  <sheetData>
    <row r="2" spans="2:9">
      <c r="B2" s="487" t="s">
        <v>222</v>
      </c>
      <c r="C2" s="487" t="s">
        <v>224</v>
      </c>
      <c r="D2" s="485" t="s">
        <v>517</v>
      </c>
      <c r="E2" s="486"/>
      <c r="F2" s="485" t="s">
        <v>518</v>
      </c>
      <c r="G2" s="486"/>
      <c r="H2" s="485" t="s">
        <v>519</v>
      </c>
      <c r="I2" s="486"/>
    </row>
    <row r="3" spans="2:9">
      <c r="B3" s="479"/>
      <c r="C3" s="479"/>
      <c r="D3" s="171" t="s">
        <v>443</v>
      </c>
      <c r="E3" s="171" t="s">
        <v>444</v>
      </c>
      <c r="F3" s="171" t="s">
        <v>443</v>
      </c>
      <c r="G3" s="171" t="s">
        <v>444</v>
      </c>
      <c r="H3" s="171" t="s">
        <v>443</v>
      </c>
      <c r="I3" s="171" t="s">
        <v>444</v>
      </c>
    </row>
    <row r="4" spans="2:9">
      <c r="B4" s="414" t="s">
        <v>223</v>
      </c>
      <c r="C4" s="39" t="s">
        <v>225</v>
      </c>
      <c r="D4" s="35" t="s">
        <v>446</v>
      </c>
      <c r="E4" s="172">
        <v>10000</v>
      </c>
      <c r="F4" s="35" t="s">
        <v>448</v>
      </c>
      <c r="G4" s="35">
        <v>1</v>
      </c>
      <c r="H4" s="35" t="s">
        <v>48</v>
      </c>
      <c r="I4" s="35">
        <v>25</v>
      </c>
    </row>
    <row r="5" spans="2:9">
      <c r="B5" s="414"/>
      <c r="C5" s="39" t="s">
        <v>226</v>
      </c>
      <c r="D5" s="35" t="s">
        <v>446</v>
      </c>
      <c r="E5" s="172">
        <f>E4+5000</f>
        <v>15000</v>
      </c>
      <c r="F5" s="35" t="s">
        <v>449</v>
      </c>
      <c r="G5" s="35">
        <v>1</v>
      </c>
      <c r="H5" s="35" t="s">
        <v>48</v>
      </c>
      <c r="I5" s="35">
        <f>I4+25</f>
        <v>50</v>
      </c>
    </row>
    <row r="6" spans="2:9">
      <c r="B6" s="414"/>
      <c r="C6" s="39" t="s">
        <v>227</v>
      </c>
      <c r="D6" s="35" t="s">
        <v>446</v>
      </c>
      <c r="E6" s="172">
        <f t="shared" ref="E6" si="0">E5+5000</f>
        <v>20000</v>
      </c>
      <c r="F6" s="35" t="s">
        <v>450</v>
      </c>
      <c r="G6" s="35">
        <v>1</v>
      </c>
      <c r="H6" s="35" t="s">
        <v>48</v>
      </c>
      <c r="I6" s="35">
        <f t="shared" ref="I6:I11" si="1">I5+25</f>
        <v>75</v>
      </c>
    </row>
    <row r="7" spans="2:9">
      <c r="B7" s="414"/>
      <c r="C7" s="39" t="s">
        <v>228</v>
      </c>
      <c r="D7" s="35" t="s">
        <v>446</v>
      </c>
      <c r="E7" s="172">
        <f>E6+10000</f>
        <v>30000</v>
      </c>
      <c r="F7" s="35" t="s">
        <v>451</v>
      </c>
      <c r="G7" s="35">
        <v>1</v>
      </c>
      <c r="H7" s="35" t="s">
        <v>48</v>
      </c>
      <c r="I7" s="35">
        <f t="shared" si="1"/>
        <v>100</v>
      </c>
    </row>
    <row r="8" spans="2:9">
      <c r="B8" s="414"/>
      <c r="C8" s="39" t="s">
        <v>229</v>
      </c>
      <c r="D8" s="35" t="s">
        <v>446</v>
      </c>
      <c r="E8" s="172">
        <f t="shared" ref="E8:E9" si="2">E7+10000</f>
        <v>40000</v>
      </c>
      <c r="F8" s="35" t="s">
        <v>447</v>
      </c>
      <c r="G8" s="35">
        <v>1</v>
      </c>
      <c r="H8" s="35" t="s">
        <v>48</v>
      </c>
      <c r="I8" s="35">
        <f t="shared" si="1"/>
        <v>125</v>
      </c>
    </row>
    <row r="9" spans="2:9">
      <c r="B9" s="414"/>
      <c r="C9" s="39" t="s">
        <v>230</v>
      </c>
      <c r="D9" s="35" t="s">
        <v>446</v>
      </c>
      <c r="E9" s="172">
        <f t="shared" si="2"/>
        <v>50000</v>
      </c>
      <c r="F9" s="35" t="s">
        <v>452</v>
      </c>
      <c r="G9" s="35">
        <v>1</v>
      </c>
      <c r="H9" s="35" t="s">
        <v>48</v>
      </c>
      <c r="I9" s="35">
        <f t="shared" si="1"/>
        <v>150</v>
      </c>
    </row>
    <row r="10" spans="2:9">
      <c r="B10" s="414"/>
      <c r="C10" s="39" t="s">
        <v>231</v>
      </c>
      <c r="D10" s="35" t="s">
        <v>446</v>
      </c>
      <c r="E10" s="172">
        <f>E9+25000</f>
        <v>75000</v>
      </c>
      <c r="F10" s="35" t="s">
        <v>453</v>
      </c>
      <c r="G10" s="35">
        <v>1</v>
      </c>
      <c r="H10" s="35" t="s">
        <v>48</v>
      </c>
      <c r="I10" s="35">
        <f t="shared" si="1"/>
        <v>175</v>
      </c>
    </row>
    <row r="11" spans="2:9">
      <c r="B11" s="414"/>
      <c r="C11" s="39" t="s">
        <v>232</v>
      </c>
      <c r="D11" s="35" t="s">
        <v>446</v>
      </c>
      <c r="E11" s="172">
        <f>E10+25000</f>
        <v>100000</v>
      </c>
      <c r="F11" s="35" t="s">
        <v>454</v>
      </c>
      <c r="G11" s="35">
        <v>1</v>
      </c>
      <c r="H11" s="35" t="s">
        <v>48</v>
      </c>
      <c r="I11" s="35">
        <f t="shared" si="1"/>
        <v>200</v>
      </c>
    </row>
    <row r="13" spans="2:9">
      <c r="B13" s="399" t="s">
        <v>238</v>
      </c>
      <c r="C13" s="98" t="s">
        <v>225</v>
      </c>
      <c r="D13" s="99" t="s">
        <v>446</v>
      </c>
      <c r="E13" s="173">
        <v>20000</v>
      </c>
      <c r="F13" s="99" t="s">
        <v>455</v>
      </c>
      <c r="G13" s="99">
        <v>10</v>
      </c>
      <c r="H13" s="99" t="s">
        <v>445</v>
      </c>
      <c r="I13" s="99">
        <v>25</v>
      </c>
    </row>
    <row r="14" spans="2:9">
      <c r="B14" s="399"/>
      <c r="C14" s="98" t="s">
        <v>226</v>
      </c>
      <c r="D14" s="99" t="s">
        <v>446</v>
      </c>
      <c r="E14" s="173">
        <f>E13+5000</f>
        <v>25000</v>
      </c>
      <c r="F14" s="99" t="s">
        <v>456</v>
      </c>
      <c r="G14" s="99">
        <v>10</v>
      </c>
      <c r="H14" s="99" t="s">
        <v>445</v>
      </c>
      <c r="I14" s="99">
        <f>I13+25</f>
        <v>50</v>
      </c>
    </row>
    <row r="15" spans="2:9">
      <c r="B15" s="399"/>
      <c r="C15" s="98" t="s">
        <v>227</v>
      </c>
      <c r="D15" s="99" t="s">
        <v>446</v>
      </c>
      <c r="E15" s="173">
        <f t="shared" ref="E15" si="3">E14+5000</f>
        <v>30000</v>
      </c>
      <c r="F15" s="99" t="s">
        <v>457</v>
      </c>
      <c r="G15" s="99">
        <v>10</v>
      </c>
      <c r="H15" s="99" t="s">
        <v>445</v>
      </c>
      <c r="I15" s="99">
        <f t="shared" ref="I15:I20" si="4">I14+25</f>
        <v>75</v>
      </c>
    </row>
    <row r="16" spans="2:9">
      <c r="B16" s="399"/>
      <c r="C16" s="98" t="s">
        <v>228</v>
      </c>
      <c r="D16" s="99" t="s">
        <v>446</v>
      </c>
      <c r="E16" s="173">
        <f>E15+20000</f>
        <v>50000</v>
      </c>
      <c r="F16" s="99" t="s">
        <v>458</v>
      </c>
      <c r="G16" s="99">
        <v>10</v>
      </c>
      <c r="H16" s="99" t="s">
        <v>445</v>
      </c>
      <c r="I16" s="99">
        <f t="shared" si="4"/>
        <v>100</v>
      </c>
    </row>
    <row r="17" spans="2:9">
      <c r="B17" s="399"/>
      <c r="C17" s="98" t="s">
        <v>229</v>
      </c>
      <c r="D17" s="99" t="s">
        <v>446</v>
      </c>
      <c r="E17" s="173">
        <f t="shared" ref="E17:E18" si="5">E16+20000</f>
        <v>70000</v>
      </c>
      <c r="F17" s="99" t="s">
        <v>459</v>
      </c>
      <c r="G17" s="99">
        <v>10</v>
      </c>
      <c r="H17" s="99" t="s">
        <v>445</v>
      </c>
      <c r="I17" s="99">
        <f t="shared" si="4"/>
        <v>125</v>
      </c>
    </row>
    <row r="18" spans="2:9">
      <c r="B18" s="399"/>
      <c r="C18" s="98" t="s">
        <v>230</v>
      </c>
      <c r="D18" s="99" t="s">
        <v>446</v>
      </c>
      <c r="E18" s="173">
        <f t="shared" si="5"/>
        <v>90000</v>
      </c>
      <c r="F18" s="99" t="s">
        <v>460</v>
      </c>
      <c r="G18" s="99">
        <v>10</v>
      </c>
      <c r="H18" s="99" t="s">
        <v>445</v>
      </c>
      <c r="I18" s="99">
        <f t="shared" si="4"/>
        <v>150</v>
      </c>
    </row>
    <row r="19" spans="2:9">
      <c r="B19" s="399"/>
      <c r="C19" s="98" t="s">
        <v>231</v>
      </c>
      <c r="D19" s="99" t="s">
        <v>446</v>
      </c>
      <c r="E19" s="173">
        <f>E18+30000</f>
        <v>120000</v>
      </c>
      <c r="F19" s="99" t="s">
        <v>461</v>
      </c>
      <c r="G19" s="99">
        <v>10</v>
      </c>
      <c r="H19" s="99" t="s">
        <v>445</v>
      </c>
      <c r="I19" s="99">
        <f t="shared" si="4"/>
        <v>175</v>
      </c>
    </row>
    <row r="20" spans="2:9">
      <c r="B20" s="399"/>
      <c r="C20" s="98" t="s">
        <v>232</v>
      </c>
      <c r="D20" s="99" t="s">
        <v>446</v>
      </c>
      <c r="E20" s="173">
        <f>E19+30000</f>
        <v>150000</v>
      </c>
      <c r="F20" s="99" t="s">
        <v>462</v>
      </c>
      <c r="G20" s="99">
        <v>10</v>
      </c>
      <c r="H20" s="99" t="s">
        <v>445</v>
      </c>
      <c r="I20" s="99">
        <f t="shared" si="4"/>
        <v>200</v>
      </c>
    </row>
  </sheetData>
  <mergeCells count="7">
    <mergeCell ref="B4:B11"/>
    <mergeCell ref="B13:B20"/>
    <mergeCell ref="D2:E2"/>
    <mergeCell ref="F2:G2"/>
    <mergeCell ref="H2:I2"/>
    <mergeCell ref="B2:B3"/>
    <mergeCell ref="C2:C3"/>
  </mergeCells>
  <phoneticPr fontId="2" type="noConversion"/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9"/>
  <sheetViews>
    <sheetView workbookViewId="0">
      <selection activeCell="F23" sqref="F23"/>
    </sheetView>
  </sheetViews>
  <sheetFormatPr defaultRowHeight="16.5"/>
  <cols>
    <col min="1" max="1" width="3.625" style="11" customWidth="1"/>
    <col min="2" max="8" width="10.625" style="11" customWidth="1"/>
    <col min="9" max="9" width="3.625" style="11" customWidth="1"/>
    <col min="10" max="19" width="10.625" style="11" customWidth="1"/>
    <col min="20" max="16384" width="9" style="11"/>
  </cols>
  <sheetData>
    <row r="2" spans="2:19">
      <c r="B2" s="488" t="s">
        <v>243</v>
      </c>
      <c r="C2" s="489"/>
      <c r="D2" s="489"/>
      <c r="J2" s="488" t="s">
        <v>245</v>
      </c>
      <c r="K2" s="489"/>
      <c r="L2" s="489"/>
      <c r="M2" s="11" t="s">
        <v>253</v>
      </c>
    </row>
    <row r="3" spans="2:19" s="127" customFormat="1">
      <c r="B3" s="125">
        <v>1</v>
      </c>
      <c r="C3" s="125">
        <v>2</v>
      </c>
      <c r="D3" s="125">
        <v>3</v>
      </c>
      <c r="E3" s="125">
        <v>4</v>
      </c>
      <c r="F3" s="125">
        <v>5</v>
      </c>
      <c r="G3" s="125">
        <v>6</v>
      </c>
      <c r="H3" s="125">
        <v>7</v>
      </c>
      <c r="J3" s="125">
        <v>1</v>
      </c>
      <c r="K3" s="125">
        <v>2</v>
      </c>
      <c r="L3" s="125">
        <v>3</v>
      </c>
      <c r="M3" s="125">
        <v>4</v>
      </c>
      <c r="N3" s="125">
        <v>5</v>
      </c>
      <c r="O3" s="125">
        <v>6</v>
      </c>
      <c r="P3" s="125">
        <v>7</v>
      </c>
    </row>
    <row r="4" spans="2:19" ht="65.099999999999994" customHeight="1">
      <c r="B4" s="111"/>
      <c r="C4" s="111"/>
      <c r="D4" s="111"/>
      <c r="E4" s="111"/>
      <c r="F4" s="111"/>
      <c r="G4" s="111"/>
      <c r="H4" s="111"/>
      <c r="J4" s="111"/>
      <c r="K4" s="111"/>
      <c r="L4" s="111"/>
      <c r="M4" s="111"/>
      <c r="N4" s="111"/>
      <c r="O4" s="111"/>
      <c r="P4" s="111"/>
    </row>
    <row r="5" spans="2:19">
      <c r="B5" s="113">
        <v>5000</v>
      </c>
      <c r="C5" s="112">
        <v>50</v>
      </c>
      <c r="D5" s="112" t="s">
        <v>264</v>
      </c>
      <c r="E5" s="112">
        <v>20</v>
      </c>
      <c r="F5" s="113">
        <v>5000</v>
      </c>
      <c r="G5" s="112">
        <v>50</v>
      </c>
      <c r="H5" s="112" t="s">
        <v>267</v>
      </c>
      <c r="J5" s="113">
        <v>10</v>
      </c>
      <c r="K5" s="113">
        <v>1000</v>
      </c>
      <c r="L5" s="113">
        <f>J5+10</f>
        <v>20</v>
      </c>
      <c r="M5" s="113">
        <f>K5+1000</f>
        <v>2000</v>
      </c>
      <c r="N5" s="113">
        <f>L5+10</f>
        <v>30</v>
      </c>
      <c r="O5" s="113">
        <f>M5+1000</f>
        <v>3000</v>
      </c>
      <c r="P5" s="113">
        <f>N5+10</f>
        <v>40</v>
      </c>
    </row>
    <row r="6" spans="2:19" s="127" customFormat="1">
      <c r="B6" s="125">
        <v>8</v>
      </c>
      <c r="C6" s="125">
        <v>9</v>
      </c>
      <c r="D6" s="125">
        <v>10</v>
      </c>
      <c r="E6" s="125">
        <v>11</v>
      </c>
      <c r="F6" s="125">
        <v>12</v>
      </c>
      <c r="G6" s="125">
        <v>13</v>
      </c>
      <c r="H6" s="125">
        <v>14</v>
      </c>
      <c r="J6" s="125">
        <v>8</v>
      </c>
      <c r="K6" s="125">
        <v>9</v>
      </c>
      <c r="L6" s="125">
        <v>10</v>
      </c>
      <c r="M6" s="125">
        <v>11</v>
      </c>
      <c r="N6" s="125">
        <v>12</v>
      </c>
      <c r="O6" s="125">
        <v>13</v>
      </c>
      <c r="P6" s="125">
        <v>14</v>
      </c>
    </row>
    <row r="7" spans="2:19" ht="65.099999999999994" customHeight="1">
      <c r="B7" s="111"/>
      <c r="C7" s="111"/>
      <c r="D7" s="111"/>
      <c r="E7" s="111"/>
      <c r="F7" s="111"/>
      <c r="G7" s="111"/>
      <c r="H7" s="111"/>
      <c r="J7" s="111"/>
      <c r="K7" s="111"/>
      <c r="L7" s="111"/>
      <c r="M7" s="111"/>
      <c r="N7" s="111"/>
      <c r="O7" s="111"/>
      <c r="P7" s="111"/>
    </row>
    <row r="8" spans="2:19">
      <c r="B8" s="113">
        <v>10000</v>
      </c>
      <c r="C8" s="112">
        <v>100</v>
      </c>
      <c r="D8" s="112" t="s">
        <v>263</v>
      </c>
      <c r="E8" s="112">
        <v>30</v>
      </c>
      <c r="F8" s="113">
        <v>10000</v>
      </c>
      <c r="G8" s="112">
        <v>100</v>
      </c>
      <c r="H8" s="112" t="s">
        <v>256</v>
      </c>
      <c r="J8" s="113">
        <f>O5+1000</f>
        <v>4000</v>
      </c>
      <c r="K8" s="113">
        <f>P5+10</f>
        <v>50</v>
      </c>
      <c r="L8" s="113">
        <f>J8+1000</f>
        <v>5000</v>
      </c>
      <c r="M8" s="113">
        <f>K8+10</f>
        <v>60</v>
      </c>
      <c r="N8" s="113">
        <f>L8+2000</f>
        <v>7000</v>
      </c>
      <c r="O8" s="113">
        <f>M8+10</f>
        <v>70</v>
      </c>
      <c r="P8" s="113">
        <f>N8+2000</f>
        <v>9000</v>
      </c>
    </row>
    <row r="9" spans="2:19" s="127" customFormat="1">
      <c r="B9" s="125">
        <v>15</v>
      </c>
      <c r="C9" s="125">
        <v>16</v>
      </c>
      <c r="D9" s="125">
        <v>17</v>
      </c>
      <c r="E9" s="125">
        <v>18</v>
      </c>
      <c r="F9" s="125">
        <v>19</v>
      </c>
      <c r="G9" s="125">
        <v>20</v>
      </c>
      <c r="H9" s="125">
        <v>21</v>
      </c>
      <c r="J9" s="125">
        <v>15</v>
      </c>
      <c r="K9" s="125">
        <v>16</v>
      </c>
      <c r="L9" s="125">
        <v>17</v>
      </c>
      <c r="M9" s="125">
        <v>18</v>
      </c>
      <c r="N9" s="125">
        <v>19</v>
      </c>
      <c r="O9" s="125">
        <v>20</v>
      </c>
      <c r="P9" s="125">
        <v>21</v>
      </c>
    </row>
    <row r="10" spans="2:19" ht="65.099999999999994" customHeight="1">
      <c r="B10" s="111"/>
      <c r="C10" s="111"/>
      <c r="D10" s="111"/>
      <c r="E10" s="111"/>
      <c r="F10" s="111"/>
      <c r="G10" s="111"/>
      <c r="H10" s="111"/>
      <c r="J10" s="111"/>
      <c r="K10" s="111"/>
      <c r="L10" s="111"/>
      <c r="M10" s="111"/>
      <c r="N10" s="111"/>
      <c r="O10" s="111"/>
      <c r="P10" s="111"/>
    </row>
    <row r="11" spans="2:19">
      <c r="B11" s="113">
        <v>20000</v>
      </c>
      <c r="C11" s="112">
        <v>200</v>
      </c>
      <c r="D11" s="112" t="s">
        <v>257</v>
      </c>
      <c r="E11" s="112">
        <v>40</v>
      </c>
      <c r="F11" s="113">
        <v>20000</v>
      </c>
      <c r="G11" s="112">
        <v>200</v>
      </c>
      <c r="H11" s="112" t="s">
        <v>266</v>
      </c>
      <c r="J11" s="113">
        <f>O8+10</f>
        <v>80</v>
      </c>
      <c r="K11" s="113">
        <f>P8+2000</f>
        <v>11000</v>
      </c>
      <c r="L11" s="113">
        <f>J11+10</f>
        <v>90</v>
      </c>
      <c r="M11" s="113">
        <f>K11+2000</f>
        <v>13000</v>
      </c>
      <c r="N11" s="113">
        <f>L11+10</f>
        <v>100</v>
      </c>
      <c r="O11" s="113">
        <f>M11+2000</f>
        <v>15000</v>
      </c>
      <c r="P11" s="113">
        <f>N11+10</f>
        <v>110</v>
      </c>
    </row>
    <row r="12" spans="2:19" s="127" customFormat="1">
      <c r="B12" s="125">
        <v>22</v>
      </c>
      <c r="C12" s="125">
        <v>23</v>
      </c>
      <c r="D12" s="125">
        <v>24</v>
      </c>
      <c r="E12" s="125">
        <v>25</v>
      </c>
      <c r="F12" s="125">
        <v>26</v>
      </c>
      <c r="G12" s="125">
        <v>27</v>
      </c>
      <c r="H12" s="125">
        <v>28</v>
      </c>
      <c r="J12" s="125">
        <v>22</v>
      </c>
      <c r="K12" s="125">
        <v>23</v>
      </c>
      <c r="L12" s="125">
        <v>24</v>
      </c>
      <c r="M12" s="125">
        <v>25</v>
      </c>
      <c r="N12" s="125">
        <v>26</v>
      </c>
      <c r="O12" s="125">
        <v>27</v>
      </c>
      <c r="P12" s="125">
        <v>28</v>
      </c>
      <c r="Q12" s="125">
        <v>29</v>
      </c>
      <c r="R12" s="125">
        <v>30</v>
      </c>
      <c r="S12" s="125">
        <v>31</v>
      </c>
    </row>
    <row r="13" spans="2:19" ht="65.099999999999994" customHeight="1">
      <c r="B13" s="111"/>
      <c r="C13" s="111"/>
      <c r="D13" s="111"/>
      <c r="E13" s="111"/>
      <c r="F13" s="111"/>
      <c r="G13" s="111"/>
      <c r="H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</row>
    <row r="14" spans="2:19">
      <c r="B14" s="113">
        <v>30000</v>
      </c>
      <c r="C14" s="112">
        <v>300</v>
      </c>
      <c r="D14" s="112" t="s">
        <v>265</v>
      </c>
      <c r="E14" s="112">
        <v>50</v>
      </c>
      <c r="F14" s="113">
        <v>30000</v>
      </c>
      <c r="G14" s="112">
        <v>300</v>
      </c>
      <c r="H14" s="112" t="s">
        <v>258</v>
      </c>
      <c r="J14" s="113">
        <f>O11+3000</f>
        <v>18000</v>
      </c>
      <c r="K14" s="113">
        <f>P11+10</f>
        <v>120</v>
      </c>
      <c r="L14" s="113">
        <f>J14+3000</f>
        <v>21000</v>
      </c>
      <c r="M14" s="113">
        <f>K14+10</f>
        <v>130</v>
      </c>
      <c r="N14" s="113">
        <f>L14+3000</f>
        <v>24000</v>
      </c>
      <c r="O14" s="113">
        <f>M14+10</f>
        <v>140</v>
      </c>
      <c r="P14" s="113">
        <f>N14+3000</f>
        <v>27000</v>
      </c>
      <c r="Q14" s="113">
        <f>O14+10</f>
        <v>150</v>
      </c>
      <c r="R14" s="113">
        <f>P14+3000</f>
        <v>30000</v>
      </c>
      <c r="S14" s="113">
        <f>Q14+10</f>
        <v>160</v>
      </c>
    </row>
    <row r="16" spans="2:19">
      <c r="B16" s="488" t="s">
        <v>244</v>
      </c>
      <c r="C16" s="489"/>
      <c r="D16" s="489"/>
      <c r="J16" s="488" t="s">
        <v>246</v>
      </c>
      <c r="K16" s="489"/>
      <c r="L16" s="489"/>
    </row>
    <row r="17" spans="2:11">
      <c r="B17" s="125" t="s">
        <v>241</v>
      </c>
      <c r="C17" s="126" t="s">
        <v>268</v>
      </c>
      <c r="D17" s="126" t="s">
        <v>242</v>
      </c>
      <c r="E17" s="126" t="s">
        <v>259</v>
      </c>
      <c r="F17" s="126" t="s">
        <v>260</v>
      </c>
      <c r="G17" s="126" t="s">
        <v>261</v>
      </c>
      <c r="H17" s="126" t="s">
        <v>262</v>
      </c>
      <c r="J17" s="125" t="s">
        <v>241</v>
      </c>
      <c r="K17" s="126" t="s">
        <v>268</v>
      </c>
    </row>
    <row r="18" spans="2:11" ht="65.099999999999994" customHeight="1">
      <c r="B18" s="111"/>
      <c r="C18" s="111"/>
      <c r="D18" s="111"/>
      <c r="E18" s="111"/>
      <c r="F18" s="111"/>
      <c r="G18" s="111"/>
      <c r="H18" s="111"/>
      <c r="J18" s="111"/>
      <c r="K18" s="111"/>
    </row>
    <row r="19" spans="2:11">
      <c r="B19" s="113">
        <f>SUM(B14,B11,B8,B5,F5,F8,F11,F14)</f>
        <v>130000</v>
      </c>
      <c r="C19" s="113">
        <f>SUM(C14,C11,C8,C5,G5,G8,G11,G14)</f>
        <v>1300</v>
      </c>
      <c r="D19" s="112">
        <f>SUM(E14,E11,E8,E5)</f>
        <v>140</v>
      </c>
      <c r="E19" s="112">
        <v>2</v>
      </c>
      <c r="F19" s="112">
        <v>2</v>
      </c>
      <c r="G19" s="112">
        <v>2</v>
      </c>
      <c r="H19" s="112">
        <v>2</v>
      </c>
      <c r="J19" s="113">
        <f>SUM(K5,M5,O5,J8,L8,N8,P8,K11,M11,O11,J14,L14,N14,P14,R14)</f>
        <v>190000</v>
      </c>
      <c r="K19" s="113">
        <f>SUM(J5,L5,N5,P5,K8,M8,O8,J11,L11,N11,P11,K14,M14,O14,Q14,S14)</f>
        <v>1360</v>
      </c>
    </row>
  </sheetData>
  <mergeCells count="4">
    <mergeCell ref="B2:D2"/>
    <mergeCell ref="J2:L2"/>
    <mergeCell ref="B16:D16"/>
    <mergeCell ref="J16:L16"/>
  </mergeCells>
  <phoneticPr fontId="2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5"/>
  <sheetViews>
    <sheetView workbookViewId="0">
      <pane ySplit="3" topLeftCell="A316" activePane="bottomLeft" state="frozen"/>
      <selection pane="bottomLeft" activeCell="J29" sqref="J29:J525"/>
    </sheetView>
  </sheetViews>
  <sheetFormatPr defaultColWidth="3.625" defaultRowHeight="16.5"/>
  <cols>
    <col min="1" max="1" width="3.625" style="11"/>
    <col min="2" max="2" width="10.625" style="11" customWidth="1"/>
    <col min="3" max="3" width="35.875" style="11" bestFit="1" customWidth="1"/>
    <col min="4" max="4" width="11.25" style="16" bestFit="1" customWidth="1"/>
    <col min="5" max="5" width="18.375" style="16" bestFit="1" customWidth="1"/>
    <col min="6" max="6" width="12.125" style="16" bestFit="1" customWidth="1"/>
    <col min="7" max="9" width="12.125" style="16" customWidth="1"/>
    <col min="10" max="10" width="6.625" style="11" bestFit="1" customWidth="1"/>
    <col min="11" max="11" width="9.625" style="11" bestFit="1" customWidth="1"/>
    <col min="12" max="12" width="7.5" style="11" bestFit="1" customWidth="1"/>
    <col min="13" max="13" width="9.625" style="11" bestFit="1" customWidth="1"/>
    <col min="14" max="14" width="7.5" style="11" bestFit="1" customWidth="1"/>
    <col min="15" max="15" width="10.5" style="11" bestFit="1" customWidth="1"/>
    <col min="16" max="20" width="3.625" style="11"/>
    <col min="21" max="21" width="4.5" style="11" bestFit="1" customWidth="1"/>
    <col min="22" max="16384" width="3.625" style="11"/>
  </cols>
  <sheetData>
    <row r="2" spans="2:15">
      <c r="J2" s="492" t="s">
        <v>1169</v>
      </c>
      <c r="K2" s="493"/>
      <c r="L2" s="492" t="s">
        <v>1170</v>
      </c>
      <c r="M2" s="493"/>
      <c r="N2" s="492" t="s">
        <v>1171</v>
      </c>
      <c r="O2" s="493"/>
    </row>
    <row r="3" spans="2:15">
      <c r="B3" s="33" t="s">
        <v>396</v>
      </c>
      <c r="C3" s="164" t="s">
        <v>395</v>
      </c>
      <c r="D3" s="193" t="s">
        <v>889</v>
      </c>
      <c r="E3" s="193" t="s">
        <v>390</v>
      </c>
      <c r="F3" s="195" t="s">
        <v>890</v>
      </c>
      <c r="G3" s="198" t="s">
        <v>1169</v>
      </c>
      <c r="H3" s="198" t="s">
        <v>1170</v>
      </c>
      <c r="I3" s="198" t="s">
        <v>1171</v>
      </c>
      <c r="J3" s="195" t="s">
        <v>955</v>
      </c>
      <c r="K3" s="195" t="s">
        <v>956</v>
      </c>
      <c r="L3" s="195" t="s">
        <v>235</v>
      </c>
      <c r="M3" s="195" t="s">
        <v>465</v>
      </c>
      <c r="N3" s="195" t="s">
        <v>235</v>
      </c>
      <c r="O3" s="195" t="s">
        <v>465</v>
      </c>
    </row>
    <row r="4" spans="2:15">
      <c r="B4" s="430" t="s">
        <v>394</v>
      </c>
      <c r="C4" s="190" t="s">
        <v>1148</v>
      </c>
      <c r="D4" s="194">
        <v>6</v>
      </c>
      <c r="E4" s="194">
        <v>30</v>
      </c>
      <c r="F4" s="194" t="s">
        <v>393</v>
      </c>
      <c r="G4" s="494" t="s">
        <v>301</v>
      </c>
      <c r="H4" s="494" t="s">
        <v>301</v>
      </c>
      <c r="I4" s="494">
        <f>SUMIF(F4:F10,L3,E4:E10)</f>
        <v>30</v>
      </c>
      <c r="J4" s="511">
        <f>I4*30</f>
        <v>900</v>
      </c>
      <c r="K4" s="494" t="s">
        <v>301</v>
      </c>
      <c r="L4" s="511">
        <f>J4*3</f>
        <v>2700</v>
      </c>
      <c r="M4" s="494" t="s">
        <v>301</v>
      </c>
      <c r="N4" s="494" t="s">
        <v>301</v>
      </c>
      <c r="O4" s="494" t="s">
        <v>301</v>
      </c>
    </row>
    <row r="5" spans="2:15">
      <c r="B5" s="430"/>
      <c r="C5" s="190" t="s">
        <v>1149</v>
      </c>
      <c r="D5" s="194">
        <v>5</v>
      </c>
      <c r="E5" s="194">
        <v>20</v>
      </c>
      <c r="F5" s="194" t="s">
        <v>392</v>
      </c>
      <c r="G5" s="494"/>
      <c r="H5" s="494"/>
      <c r="I5" s="494"/>
      <c r="J5" s="511"/>
      <c r="K5" s="494"/>
      <c r="L5" s="511"/>
      <c r="M5" s="494"/>
      <c r="N5" s="494"/>
      <c r="O5" s="494"/>
    </row>
    <row r="6" spans="2:15">
      <c r="B6" s="430"/>
      <c r="C6" s="190" t="s">
        <v>1150</v>
      </c>
      <c r="D6" s="194">
        <v>3</v>
      </c>
      <c r="E6" s="194">
        <v>20</v>
      </c>
      <c r="F6" s="194" t="s">
        <v>392</v>
      </c>
      <c r="G6" s="494"/>
      <c r="H6" s="494"/>
      <c r="I6" s="494"/>
      <c r="J6" s="511"/>
      <c r="K6" s="494"/>
      <c r="L6" s="511"/>
      <c r="M6" s="494"/>
      <c r="N6" s="494"/>
      <c r="O6" s="494"/>
    </row>
    <row r="7" spans="2:15">
      <c r="B7" s="430"/>
      <c r="C7" s="190" t="s">
        <v>1151</v>
      </c>
      <c r="D7" s="194">
        <v>2</v>
      </c>
      <c r="E7" s="194">
        <v>20</v>
      </c>
      <c r="F7" s="194" t="s">
        <v>392</v>
      </c>
      <c r="G7" s="494"/>
      <c r="H7" s="494"/>
      <c r="I7" s="494"/>
      <c r="J7" s="511"/>
      <c r="K7" s="494"/>
      <c r="L7" s="511"/>
      <c r="M7" s="494"/>
      <c r="N7" s="494"/>
      <c r="O7" s="494"/>
    </row>
    <row r="8" spans="2:15">
      <c r="B8" s="430"/>
      <c r="C8" s="190" t="s">
        <v>1152</v>
      </c>
      <c r="D8" s="194">
        <v>3</v>
      </c>
      <c r="E8" s="194">
        <v>20</v>
      </c>
      <c r="F8" s="194" t="s">
        <v>392</v>
      </c>
      <c r="G8" s="494"/>
      <c r="H8" s="494"/>
      <c r="I8" s="494"/>
      <c r="J8" s="511"/>
      <c r="K8" s="494"/>
      <c r="L8" s="511"/>
      <c r="M8" s="494"/>
      <c r="N8" s="494"/>
      <c r="O8" s="494"/>
    </row>
    <row r="9" spans="2:15">
      <c r="B9" s="430"/>
      <c r="C9" s="190" t="s">
        <v>1153</v>
      </c>
      <c r="D9" s="194">
        <v>3</v>
      </c>
      <c r="E9" s="194">
        <v>20</v>
      </c>
      <c r="F9" s="194" t="s">
        <v>392</v>
      </c>
      <c r="G9" s="494"/>
      <c r="H9" s="494"/>
      <c r="I9" s="494"/>
      <c r="J9" s="511"/>
      <c r="K9" s="494"/>
      <c r="L9" s="511"/>
      <c r="M9" s="494"/>
      <c r="N9" s="494"/>
      <c r="O9" s="494"/>
    </row>
    <row r="10" spans="2:15">
      <c r="B10" s="430"/>
      <c r="C10" s="190" t="s">
        <v>1154</v>
      </c>
      <c r="D10" s="194">
        <v>20</v>
      </c>
      <c r="E10" s="194">
        <v>20</v>
      </c>
      <c r="F10" s="194" t="s">
        <v>392</v>
      </c>
      <c r="G10" s="494"/>
      <c r="H10" s="494"/>
      <c r="I10" s="494"/>
      <c r="J10" s="511"/>
      <c r="K10" s="494"/>
      <c r="L10" s="511"/>
      <c r="M10" s="494"/>
      <c r="N10" s="494"/>
      <c r="O10" s="494"/>
    </row>
    <row r="11" spans="2:15">
      <c r="B11" s="414" t="s">
        <v>399</v>
      </c>
      <c r="C11" s="191" t="s">
        <v>1155</v>
      </c>
      <c r="D11" s="196">
        <v>8</v>
      </c>
      <c r="E11" s="196">
        <v>100</v>
      </c>
      <c r="F11" s="196" t="s">
        <v>393</v>
      </c>
      <c r="G11" s="495" t="s">
        <v>301</v>
      </c>
      <c r="H11" s="495" t="s">
        <v>301</v>
      </c>
      <c r="I11" s="495">
        <f>SUMIF(F11:F19,L3,E11:E19)</f>
        <v>500</v>
      </c>
      <c r="J11" s="512">
        <f>I11*4</f>
        <v>2000</v>
      </c>
      <c r="K11" s="495" t="s">
        <v>301</v>
      </c>
      <c r="L11" s="512">
        <f>J11*3</f>
        <v>6000</v>
      </c>
      <c r="M11" s="495" t="s">
        <v>301</v>
      </c>
      <c r="N11" s="495" t="s">
        <v>301</v>
      </c>
      <c r="O11" s="495" t="s">
        <v>301</v>
      </c>
    </row>
    <row r="12" spans="2:15">
      <c r="B12" s="414"/>
      <c r="C12" s="191" t="s">
        <v>1156</v>
      </c>
      <c r="D12" s="196">
        <v>4</v>
      </c>
      <c r="E12" s="196">
        <v>50</v>
      </c>
      <c r="F12" s="196" t="s">
        <v>393</v>
      </c>
      <c r="G12" s="495"/>
      <c r="H12" s="495"/>
      <c r="I12" s="495"/>
      <c r="J12" s="512"/>
      <c r="K12" s="495"/>
      <c r="L12" s="512"/>
      <c r="M12" s="495"/>
      <c r="N12" s="495"/>
      <c r="O12" s="495"/>
    </row>
    <row r="13" spans="2:15">
      <c r="B13" s="414"/>
      <c r="C13" s="191" t="s">
        <v>1157</v>
      </c>
      <c r="D13" s="196">
        <v>5</v>
      </c>
      <c r="E13" s="196">
        <v>50</v>
      </c>
      <c r="F13" s="196" t="s">
        <v>393</v>
      </c>
      <c r="G13" s="495"/>
      <c r="H13" s="495"/>
      <c r="I13" s="495"/>
      <c r="J13" s="512"/>
      <c r="K13" s="495"/>
      <c r="L13" s="512"/>
      <c r="M13" s="495"/>
      <c r="N13" s="495"/>
      <c r="O13" s="495"/>
    </row>
    <row r="14" spans="2:15">
      <c r="B14" s="414"/>
      <c r="C14" s="191" t="s">
        <v>1158</v>
      </c>
      <c r="D14" s="196">
        <v>10</v>
      </c>
      <c r="E14" s="196">
        <v>50</v>
      </c>
      <c r="F14" s="196" t="s">
        <v>393</v>
      </c>
      <c r="G14" s="495"/>
      <c r="H14" s="495"/>
      <c r="I14" s="495"/>
      <c r="J14" s="512"/>
      <c r="K14" s="495"/>
      <c r="L14" s="512"/>
      <c r="M14" s="495"/>
      <c r="N14" s="495"/>
      <c r="O14" s="495"/>
    </row>
    <row r="15" spans="2:15">
      <c r="B15" s="414"/>
      <c r="C15" s="191" t="s">
        <v>1159</v>
      </c>
      <c r="D15" s="196">
        <v>10</v>
      </c>
      <c r="E15" s="196">
        <v>50</v>
      </c>
      <c r="F15" s="196" t="s">
        <v>393</v>
      </c>
      <c r="G15" s="495"/>
      <c r="H15" s="495"/>
      <c r="I15" s="495"/>
      <c r="J15" s="512"/>
      <c r="K15" s="495"/>
      <c r="L15" s="512"/>
      <c r="M15" s="495"/>
      <c r="N15" s="495"/>
      <c r="O15" s="495"/>
    </row>
    <row r="16" spans="2:15">
      <c r="B16" s="414"/>
      <c r="C16" s="191" t="s">
        <v>1160</v>
      </c>
      <c r="D16" s="196">
        <v>10</v>
      </c>
      <c r="E16" s="196">
        <v>50</v>
      </c>
      <c r="F16" s="196" t="s">
        <v>393</v>
      </c>
      <c r="G16" s="495"/>
      <c r="H16" s="495"/>
      <c r="I16" s="495"/>
      <c r="J16" s="512"/>
      <c r="K16" s="495"/>
      <c r="L16" s="512"/>
      <c r="M16" s="495"/>
      <c r="N16" s="495"/>
      <c r="O16" s="495"/>
    </row>
    <row r="17" spans="2:15">
      <c r="B17" s="414"/>
      <c r="C17" s="191" t="s">
        <v>1161</v>
      </c>
      <c r="D17" s="196">
        <v>100</v>
      </c>
      <c r="E17" s="196">
        <v>50</v>
      </c>
      <c r="F17" s="196" t="s">
        <v>393</v>
      </c>
      <c r="G17" s="495"/>
      <c r="H17" s="495"/>
      <c r="I17" s="495"/>
      <c r="J17" s="512"/>
      <c r="K17" s="495"/>
      <c r="L17" s="512"/>
      <c r="M17" s="495"/>
      <c r="N17" s="495"/>
      <c r="O17" s="495"/>
    </row>
    <row r="18" spans="2:15">
      <c r="B18" s="414"/>
      <c r="C18" s="191" t="s">
        <v>1162</v>
      </c>
      <c r="D18" s="196">
        <v>10</v>
      </c>
      <c r="E18" s="196">
        <v>50</v>
      </c>
      <c r="F18" s="196" t="s">
        <v>393</v>
      </c>
      <c r="G18" s="495"/>
      <c r="H18" s="495"/>
      <c r="I18" s="495"/>
      <c r="J18" s="512"/>
      <c r="K18" s="495"/>
      <c r="L18" s="512"/>
      <c r="M18" s="495"/>
      <c r="N18" s="495"/>
      <c r="O18" s="495"/>
    </row>
    <row r="19" spans="2:15">
      <c r="B19" s="414"/>
      <c r="C19" s="191" t="s">
        <v>1163</v>
      </c>
      <c r="D19" s="196">
        <v>50</v>
      </c>
      <c r="E19" s="196">
        <v>50</v>
      </c>
      <c r="F19" s="196" t="s">
        <v>393</v>
      </c>
      <c r="G19" s="495"/>
      <c r="H19" s="495"/>
      <c r="I19" s="495"/>
      <c r="J19" s="512"/>
      <c r="K19" s="495"/>
      <c r="L19" s="512"/>
      <c r="M19" s="495"/>
      <c r="N19" s="495"/>
      <c r="O19" s="495"/>
    </row>
    <row r="20" spans="2:15">
      <c r="B20" s="508" t="s">
        <v>398</v>
      </c>
      <c r="C20" s="192" t="s">
        <v>1164</v>
      </c>
      <c r="D20" s="197">
        <v>3</v>
      </c>
      <c r="E20" s="197" t="s">
        <v>958</v>
      </c>
      <c r="F20" s="197" t="s">
        <v>957</v>
      </c>
      <c r="G20" s="496" t="s">
        <v>301</v>
      </c>
      <c r="H20" s="496" t="s">
        <v>301</v>
      </c>
      <c r="I20" s="496" t="s">
        <v>966</v>
      </c>
      <c r="J20" s="496" t="s">
        <v>964</v>
      </c>
      <c r="K20" s="496" t="s">
        <v>964</v>
      </c>
      <c r="L20" s="496" t="s">
        <v>964</v>
      </c>
      <c r="M20" s="496" t="s">
        <v>965</v>
      </c>
      <c r="N20" s="496" t="s">
        <v>301</v>
      </c>
      <c r="O20" s="496" t="s">
        <v>301</v>
      </c>
    </row>
    <row r="21" spans="2:15">
      <c r="B21" s="401"/>
      <c r="C21" s="192" t="s">
        <v>1435</v>
      </c>
      <c r="D21" s="301">
        <v>200</v>
      </c>
      <c r="E21" s="197" t="s">
        <v>959</v>
      </c>
      <c r="F21" s="197" t="s">
        <v>957</v>
      </c>
      <c r="G21" s="497"/>
      <c r="H21" s="497"/>
      <c r="I21" s="497"/>
      <c r="J21" s="497"/>
      <c r="K21" s="497"/>
      <c r="L21" s="497"/>
      <c r="M21" s="497"/>
      <c r="N21" s="497"/>
      <c r="O21" s="497"/>
    </row>
    <row r="22" spans="2:15">
      <c r="B22" s="401"/>
      <c r="C22" s="192" t="s">
        <v>1436</v>
      </c>
      <c r="D22" s="301">
        <v>100</v>
      </c>
      <c r="E22" s="197" t="s">
        <v>960</v>
      </c>
      <c r="F22" s="197" t="s">
        <v>957</v>
      </c>
      <c r="G22" s="497"/>
      <c r="H22" s="497"/>
      <c r="I22" s="497"/>
      <c r="J22" s="497"/>
      <c r="K22" s="497"/>
      <c r="L22" s="497"/>
      <c r="M22" s="497"/>
      <c r="N22" s="497"/>
      <c r="O22" s="497"/>
    </row>
    <row r="23" spans="2:15">
      <c r="B23" s="401"/>
      <c r="C23" s="192" t="s">
        <v>1437</v>
      </c>
      <c r="D23" s="301">
        <v>30</v>
      </c>
      <c r="E23" s="197" t="s">
        <v>961</v>
      </c>
      <c r="F23" s="197" t="s">
        <v>957</v>
      </c>
      <c r="G23" s="497"/>
      <c r="H23" s="497"/>
      <c r="I23" s="497"/>
      <c r="J23" s="497"/>
      <c r="K23" s="497"/>
      <c r="L23" s="497"/>
      <c r="M23" s="497"/>
      <c r="N23" s="497"/>
      <c r="O23" s="497"/>
    </row>
    <row r="24" spans="2:15">
      <c r="B24" s="401"/>
      <c r="C24" s="192" t="s">
        <v>1165</v>
      </c>
      <c r="D24" s="197">
        <v>100</v>
      </c>
      <c r="E24" s="197" t="s">
        <v>962</v>
      </c>
      <c r="F24" s="197" t="s">
        <v>957</v>
      </c>
      <c r="G24" s="497"/>
      <c r="H24" s="497"/>
      <c r="I24" s="497"/>
      <c r="J24" s="497"/>
      <c r="K24" s="497"/>
      <c r="L24" s="497"/>
      <c r="M24" s="497"/>
      <c r="N24" s="497"/>
      <c r="O24" s="497"/>
    </row>
    <row r="25" spans="2:15">
      <c r="B25" s="401"/>
      <c r="C25" s="192" t="s">
        <v>1166</v>
      </c>
      <c r="D25" s="197">
        <v>50</v>
      </c>
      <c r="E25" s="197" t="s">
        <v>963</v>
      </c>
      <c r="F25" s="197" t="s">
        <v>957</v>
      </c>
      <c r="G25" s="497"/>
      <c r="H25" s="497"/>
      <c r="I25" s="497"/>
      <c r="J25" s="497"/>
      <c r="K25" s="497"/>
      <c r="L25" s="497"/>
      <c r="M25" s="497"/>
      <c r="N25" s="497"/>
      <c r="O25" s="497"/>
    </row>
    <row r="26" spans="2:15">
      <c r="B26" s="401"/>
      <c r="C26" s="192" t="s">
        <v>1167</v>
      </c>
      <c r="D26" s="197">
        <v>100</v>
      </c>
      <c r="E26" s="197" t="s">
        <v>1431</v>
      </c>
      <c r="F26" s="197" t="s">
        <v>1432</v>
      </c>
      <c r="G26" s="497"/>
      <c r="H26" s="497"/>
      <c r="I26" s="497"/>
      <c r="J26" s="497"/>
      <c r="K26" s="497"/>
      <c r="L26" s="497"/>
      <c r="M26" s="497"/>
      <c r="N26" s="497"/>
      <c r="O26" s="497"/>
    </row>
    <row r="27" spans="2:15">
      <c r="B27" s="401"/>
      <c r="C27" s="192" t="s">
        <v>1438</v>
      </c>
      <c r="D27" s="301">
        <v>100</v>
      </c>
      <c r="E27" s="197" t="s">
        <v>1147</v>
      </c>
      <c r="F27" s="197" t="s">
        <v>957</v>
      </c>
      <c r="G27" s="497"/>
      <c r="H27" s="497"/>
      <c r="I27" s="497"/>
      <c r="J27" s="497"/>
      <c r="K27" s="497"/>
      <c r="L27" s="497"/>
      <c r="M27" s="497"/>
      <c r="N27" s="497"/>
      <c r="O27" s="497"/>
    </row>
    <row r="28" spans="2:15">
      <c r="B28" s="509"/>
      <c r="C28" s="192" t="s">
        <v>1168</v>
      </c>
      <c r="D28" s="197">
        <v>50</v>
      </c>
      <c r="E28" s="197" t="s">
        <v>1146</v>
      </c>
      <c r="F28" s="197" t="s">
        <v>957</v>
      </c>
      <c r="G28" s="498"/>
      <c r="H28" s="498"/>
      <c r="I28" s="498"/>
      <c r="J28" s="498"/>
      <c r="K28" s="498"/>
      <c r="L28" s="498"/>
      <c r="M28" s="498"/>
      <c r="N28" s="498"/>
      <c r="O28" s="498"/>
    </row>
    <row r="29" spans="2:15">
      <c r="B29" s="510" t="s">
        <v>397</v>
      </c>
      <c r="C29" s="215" t="s">
        <v>1088</v>
      </c>
      <c r="D29" s="217">
        <v>5</v>
      </c>
      <c r="E29" s="217">
        <v>5</v>
      </c>
      <c r="F29" s="217" t="s">
        <v>393</v>
      </c>
      <c r="G29" s="491">
        <f>SUM(E29:E38)</f>
        <v>275</v>
      </c>
      <c r="H29" s="491">
        <f>SUM(E29:E38)</f>
        <v>275</v>
      </c>
      <c r="I29" s="491">
        <f>SUM(E29:E38)</f>
        <v>275</v>
      </c>
      <c r="J29" s="499">
        <f>SUMIF($F29:$F525,J3,G29:G525)</f>
        <v>2975</v>
      </c>
      <c r="K29" s="500">
        <f>SUMIF($F29:$F525,K3,G29:G525)</f>
        <v>534000</v>
      </c>
      <c r="L29" s="499">
        <f>SUMIF($F29:$F525,L3,H29:H525)</f>
        <v>5060</v>
      </c>
      <c r="M29" s="500">
        <f>SUMIF(F29:F525,M3,H29:H525)</f>
        <v>2342500</v>
      </c>
      <c r="N29" s="499">
        <f>SUMIF($F29:$F525,N3,I29:I525)</f>
        <v>10590</v>
      </c>
      <c r="O29" s="500">
        <f>SUMIF($F29:$F525,O3,I29:I525)</f>
        <v>6339500</v>
      </c>
    </row>
    <row r="30" spans="2:15">
      <c r="B30" s="510"/>
      <c r="C30" s="223" t="s">
        <v>1089</v>
      </c>
      <c r="D30" s="217">
        <v>10</v>
      </c>
      <c r="E30" s="217">
        <v>10</v>
      </c>
      <c r="F30" s="217" t="s">
        <v>393</v>
      </c>
      <c r="G30" s="491"/>
      <c r="H30" s="491"/>
      <c r="I30" s="491"/>
      <c r="J30" s="499"/>
      <c r="K30" s="500"/>
      <c r="L30" s="499"/>
      <c r="M30" s="500"/>
      <c r="N30" s="499"/>
      <c r="O30" s="500"/>
    </row>
    <row r="31" spans="2:15">
      <c r="B31" s="510"/>
      <c r="C31" s="223" t="s">
        <v>1090</v>
      </c>
      <c r="D31" s="217">
        <v>15</v>
      </c>
      <c r="E31" s="217">
        <v>15</v>
      </c>
      <c r="F31" s="217" t="s">
        <v>393</v>
      </c>
      <c r="G31" s="491"/>
      <c r="H31" s="491"/>
      <c r="I31" s="491"/>
      <c r="J31" s="499"/>
      <c r="K31" s="500"/>
      <c r="L31" s="499"/>
      <c r="M31" s="500"/>
      <c r="N31" s="499"/>
      <c r="O31" s="500"/>
    </row>
    <row r="32" spans="2:15">
      <c r="B32" s="510"/>
      <c r="C32" s="223" t="s">
        <v>1091</v>
      </c>
      <c r="D32" s="217">
        <v>20</v>
      </c>
      <c r="E32" s="217">
        <v>20</v>
      </c>
      <c r="F32" s="217" t="s">
        <v>393</v>
      </c>
      <c r="G32" s="491"/>
      <c r="H32" s="491"/>
      <c r="I32" s="491"/>
      <c r="J32" s="499"/>
      <c r="K32" s="500"/>
      <c r="L32" s="499"/>
      <c r="M32" s="500"/>
      <c r="N32" s="499"/>
      <c r="O32" s="500"/>
    </row>
    <row r="33" spans="2:15">
      <c r="B33" s="510"/>
      <c r="C33" s="223" t="s">
        <v>1092</v>
      </c>
      <c r="D33" s="217">
        <v>25</v>
      </c>
      <c r="E33" s="217">
        <v>25</v>
      </c>
      <c r="F33" s="217" t="s">
        <v>393</v>
      </c>
      <c r="G33" s="491"/>
      <c r="H33" s="491"/>
      <c r="I33" s="491"/>
      <c r="J33" s="499"/>
      <c r="K33" s="500"/>
      <c r="L33" s="499"/>
      <c r="M33" s="500"/>
      <c r="N33" s="499"/>
      <c r="O33" s="500"/>
    </row>
    <row r="34" spans="2:15">
      <c r="B34" s="510"/>
      <c r="C34" s="223" t="s">
        <v>1093</v>
      </c>
      <c r="D34" s="217">
        <v>30</v>
      </c>
      <c r="E34" s="217">
        <v>30</v>
      </c>
      <c r="F34" s="217" t="s">
        <v>393</v>
      </c>
      <c r="G34" s="491"/>
      <c r="H34" s="491"/>
      <c r="I34" s="491"/>
      <c r="J34" s="499"/>
      <c r="K34" s="500"/>
      <c r="L34" s="499"/>
      <c r="M34" s="500"/>
      <c r="N34" s="499"/>
      <c r="O34" s="500"/>
    </row>
    <row r="35" spans="2:15">
      <c r="B35" s="510"/>
      <c r="C35" s="223" t="s">
        <v>1094</v>
      </c>
      <c r="D35" s="217">
        <v>35</v>
      </c>
      <c r="E35" s="217">
        <v>35</v>
      </c>
      <c r="F35" s="217" t="s">
        <v>393</v>
      </c>
      <c r="G35" s="491"/>
      <c r="H35" s="491"/>
      <c r="I35" s="491"/>
      <c r="J35" s="499"/>
      <c r="K35" s="500"/>
      <c r="L35" s="499"/>
      <c r="M35" s="500"/>
      <c r="N35" s="499"/>
      <c r="O35" s="500"/>
    </row>
    <row r="36" spans="2:15">
      <c r="B36" s="510"/>
      <c r="C36" s="223" t="s">
        <v>1095</v>
      </c>
      <c r="D36" s="217">
        <v>40</v>
      </c>
      <c r="E36" s="217">
        <v>40</v>
      </c>
      <c r="F36" s="217" t="s">
        <v>393</v>
      </c>
      <c r="G36" s="491"/>
      <c r="H36" s="491"/>
      <c r="I36" s="491"/>
      <c r="J36" s="499"/>
      <c r="K36" s="500"/>
      <c r="L36" s="499"/>
      <c r="M36" s="500"/>
      <c r="N36" s="499"/>
      <c r="O36" s="500"/>
    </row>
    <row r="37" spans="2:15">
      <c r="B37" s="510"/>
      <c r="C37" s="223" t="s">
        <v>1096</v>
      </c>
      <c r="D37" s="217">
        <v>45</v>
      </c>
      <c r="E37" s="217">
        <v>45</v>
      </c>
      <c r="F37" s="217" t="s">
        <v>393</v>
      </c>
      <c r="G37" s="491"/>
      <c r="H37" s="491"/>
      <c r="I37" s="491"/>
      <c r="J37" s="499"/>
      <c r="K37" s="500"/>
      <c r="L37" s="499"/>
      <c r="M37" s="500"/>
      <c r="N37" s="499"/>
      <c r="O37" s="500"/>
    </row>
    <row r="38" spans="2:15">
      <c r="B38" s="510"/>
      <c r="C38" s="223" t="s">
        <v>1097</v>
      </c>
      <c r="D38" s="217">
        <v>50</v>
      </c>
      <c r="E38" s="217">
        <v>50</v>
      </c>
      <c r="F38" s="217" t="s">
        <v>393</v>
      </c>
      <c r="G38" s="491"/>
      <c r="H38" s="491"/>
      <c r="I38" s="491"/>
      <c r="J38" s="499"/>
      <c r="K38" s="500"/>
      <c r="L38" s="499"/>
      <c r="M38" s="500"/>
      <c r="N38" s="499"/>
      <c r="O38" s="500"/>
    </row>
    <row r="39" spans="2:15">
      <c r="B39" s="510"/>
      <c r="C39" s="220" t="s">
        <v>1098</v>
      </c>
      <c r="D39" s="214">
        <v>5</v>
      </c>
      <c r="E39" s="222">
        <v>5</v>
      </c>
      <c r="F39" s="214" t="s">
        <v>393</v>
      </c>
      <c r="G39" s="491"/>
      <c r="H39" s="491"/>
      <c r="I39" s="491">
        <f>SUM(E39:E48)</f>
        <v>275</v>
      </c>
      <c r="J39" s="499"/>
      <c r="K39" s="500"/>
      <c r="L39" s="499"/>
      <c r="M39" s="500"/>
      <c r="N39" s="499"/>
      <c r="O39" s="500"/>
    </row>
    <row r="40" spans="2:15">
      <c r="B40" s="510"/>
      <c r="C40" s="220" t="s">
        <v>1099</v>
      </c>
      <c r="D40" s="214">
        <v>10</v>
      </c>
      <c r="E40" s="222">
        <v>10</v>
      </c>
      <c r="F40" s="214" t="s">
        <v>393</v>
      </c>
      <c r="G40" s="491"/>
      <c r="H40" s="491"/>
      <c r="I40" s="491"/>
      <c r="J40" s="499"/>
      <c r="K40" s="500"/>
      <c r="L40" s="499"/>
      <c r="M40" s="500"/>
      <c r="N40" s="499"/>
      <c r="O40" s="500"/>
    </row>
    <row r="41" spans="2:15">
      <c r="B41" s="510"/>
      <c r="C41" s="220" t="s">
        <v>1100</v>
      </c>
      <c r="D41" s="214">
        <v>15</v>
      </c>
      <c r="E41" s="222">
        <v>15</v>
      </c>
      <c r="F41" s="214" t="s">
        <v>393</v>
      </c>
      <c r="G41" s="491"/>
      <c r="H41" s="491"/>
      <c r="I41" s="491"/>
      <c r="J41" s="499"/>
      <c r="K41" s="500"/>
      <c r="L41" s="499"/>
      <c r="M41" s="500"/>
      <c r="N41" s="499"/>
      <c r="O41" s="500"/>
    </row>
    <row r="42" spans="2:15">
      <c r="B42" s="510"/>
      <c r="C42" s="220" t="s">
        <v>1101</v>
      </c>
      <c r="D42" s="214">
        <v>20</v>
      </c>
      <c r="E42" s="222">
        <v>20</v>
      </c>
      <c r="F42" s="214" t="s">
        <v>393</v>
      </c>
      <c r="G42" s="491"/>
      <c r="H42" s="491"/>
      <c r="I42" s="491"/>
      <c r="J42" s="499"/>
      <c r="K42" s="500"/>
      <c r="L42" s="499"/>
      <c r="M42" s="500"/>
      <c r="N42" s="499"/>
      <c r="O42" s="500"/>
    </row>
    <row r="43" spans="2:15">
      <c r="B43" s="510"/>
      <c r="C43" s="220" t="s">
        <v>1102</v>
      </c>
      <c r="D43" s="214">
        <v>25</v>
      </c>
      <c r="E43" s="222">
        <v>25</v>
      </c>
      <c r="F43" s="214" t="s">
        <v>393</v>
      </c>
      <c r="G43" s="491"/>
      <c r="H43" s="491"/>
      <c r="I43" s="491"/>
      <c r="J43" s="499"/>
      <c r="K43" s="500"/>
      <c r="L43" s="499"/>
      <c r="M43" s="500"/>
      <c r="N43" s="499"/>
      <c r="O43" s="500"/>
    </row>
    <row r="44" spans="2:15">
      <c r="B44" s="510"/>
      <c r="C44" s="220" t="s">
        <v>1103</v>
      </c>
      <c r="D44" s="214">
        <v>30</v>
      </c>
      <c r="E44" s="222">
        <v>30</v>
      </c>
      <c r="F44" s="214" t="s">
        <v>393</v>
      </c>
      <c r="G44" s="491"/>
      <c r="H44" s="491"/>
      <c r="I44" s="491"/>
      <c r="J44" s="499"/>
      <c r="K44" s="500"/>
      <c r="L44" s="499"/>
      <c r="M44" s="500"/>
      <c r="N44" s="499"/>
      <c r="O44" s="500"/>
    </row>
    <row r="45" spans="2:15">
      <c r="B45" s="510"/>
      <c r="C45" s="220" t="s">
        <v>1104</v>
      </c>
      <c r="D45" s="214">
        <v>35</v>
      </c>
      <c r="E45" s="222">
        <v>35</v>
      </c>
      <c r="F45" s="214" t="s">
        <v>393</v>
      </c>
      <c r="G45" s="491"/>
      <c r="H45" s="491"/>
      <c r="I45" s="491"/>
      <c r="J45" s="499"/>
      <c r="K45" s="500"/>
      <c r="L45" s="499"/>
      <c r="M45" s="500"/>
      <c r="N45" s="499"/>
      <c r="O45" s="500"/>
    </row>
    <row r="46" spans="2:15">
      <c r="B46" s="510"/>
      <c r="C46" s="220" t="s">
        <v>1105</v>
      </c>
      <c r="D46" s="214">
        <v>40</v>
      </c>
      <c r="E46" s="222">
        <v>40</v>
      </c>
      <c r="F46" s="214" t="s">
        <v>393</v>
      </c>
      <c r="G46" s="491"/>
      <c r="H46" s="491"/>
      <c r="I46" s="491"/>
      <c r="J46" s="499"/>
      <c r="K46" s="500"/>
      <c r="L46" s="499"/>
      <c r="M46" s="500"/>
      <c r="N46" s="499"/>
      <c r="O46" s="500"/>
    </row>
    <row r="47" spans="2:15">
      <c r="B47" s="510"/>
      <c r="C47" s="220" t="s">
        <v>1106</v>
      </c>
      <c r="D47" s="214">
        <v>45</v>
      </c>
      <c r="E47" s="222">
        <v>45</v>
      </c>
      <c r="F47" s="214" t="s">
        <v>393</v>
      </c>
      <c r="G47" s="491"/>
      <c r="H47" s="491"/>
      <c r="I47" s="491"/>
      <c r="J47" s="499"/>
      <c r="K47" s="500"/>
      <c r="L47" s="499"/>
      <c r="M47" s="500"/>
      <c r="N47" s="499"/>
      <c r="O47" s="500"/>
    </row>
    <row r="48" spans="2:15">
      <c r="B48" s="510"/>
      <c r="C48" s="220" t="s">
        <v>1107</v>
      </c>
      <c r="D48" s="214">
        <v>50</v>
      </c>
      <c r="E48" s="222">
        <v>50</v>
      </c>
      <c r="F48" s="214" t="s">
        <v>393</v>
      </c>
      <c r="G48" s="491"/>
      <c r="H48" s="491"/>
      <c r="I48" s="491"/>
      <c r="J48" s="499"/>
      <c r="K48" s="500"/>
      <c r="L48" s="499"/>
      <c r="M48" s="500"/>
      <c r="N48" s="499"/>
      <c r="O48" s="500"/>
    </row>
    <row r="49" spans="2:15">
      <c r="B49" s="510"/>
      <c r="C49" s="226" t="s">
        <v>1108</v>
      </c>
      <c r="D49" s="227">
        <v>5</v>
      </c>
      <c r="E49" s="222">
        <v>5</v>
      </c>
      <c r="F49" s="227" t="s">
        <v>393</v>
      </c>
      <c r="G49" s="491"/>
      <c r="H49" s="491"/>
      <c r="I49" s="491">
        <f>SUM(E49:E58)</f>
        <v>275</v>
      </c>
      <c r="J49" s="499"/>
      <c r="K49" s="500"/>
      <c r="L49" s="499"/>
      <c r="M49" s="500"/>
      <c r="N49" s="499"/>
      <c r="O49" s="500"/>
    </row>
    <row r="50" spans="2:15">
      <c r="B50" s="510"/>
      <c r="C50" s="226" t="s">
        <v>1109</v>
      </c>
      <c r="D50" s="227">
        <v>10</v>
      </c>
      <c r="E50" s="222">
        <v>10</v>
      </c>
      <c r="F50" s="227" t="s">
        <v>393</v>
      </c>
      <c r="G50" s="491"/>
      <c r="H50" s="491"/>
      <c r="I50" s="491"/>
      <c r="J50" s="499"/>
      <c r="K50" s="500"/>
      <c r="L50" s="499"/>
      <c r="M50" s="500"/>
      <c r="N50" s="499"/>
      <c r="O50" s="500"/>
    </row>
    <row r="51" spans="2:15">
      <c r="B51" s="510"/>
      <c r="C51" s="226" t="s">
        <v>1110</v>
      </c>
      <c r="D51" s="227">
        <v>15</v>
      </c>
      <c r="E51" s="222">
        <v>15</v>
      </c>
      <c r="F51" s="227" t="s">
        <v>393</v>
      </c>
      <c r="G51" s="491"/>
      <c r="H51" s="491"/>
      <c r="I51" s="491"/>
      <c r="J51" s="499"/>
      <c r="K51" s="500"/>
      <c r="L51" s="499"/>
      <c r="M51" s="500"/>
      <c r="N51" s="499"/>
      <c r="O51" s="500"/>
    </row>
    <row r="52" spans="2:15">
      <c r="B52" s="510"/>
      <c r="C52" s="226" t="s">
        <v>1111</v>
      </c>
      <c r="D52" s="227">
        <v>20</v>
      </c>
      <c r="E52" s="222">
        <v>20</v>
      </c>
      <c r="F52" s="227" t="s">
        <v>393</v>
      </c>
      <c r="G52" s="491"/>
      <c r="H52" s="491"/>
      <c r="I52" s="491"/>
      <c r="J52" s="499"/>
      <c r="K52" s="500"/>
      <c r="L52" s="499"/>
      <c r="M52" s="500"/>
      <c r="N52" s="499"/>
      <c r="O52" s="500"/>
    </row>
    <row r="53" spans="2:15">
      <c r="B53" s="510"/>
      <c r="C53" s="226" t="s">
        <v>1112</v>
      </c>
      <c r="D53" s="227">
        <v>25</v>
      </c>
      <c r="E53" s="222">
        <v>25</v>
      </c>
      <c r="F53" s="227" t="s">
        <v>393</v>
      </c>
      <c r="G53" s="491"/>
      <c r="H53" s="491"/>
      <c r="I53" s="491"/>
      <c r="J53" s="499"/>
      <c r="K53" s="500"/>
      <c r="L53" s="499"/>
      <c r="M53" s="500"/>
      <c r="N53" s="499"/>
      <c r="O53" s="500"/>
    </row>
    <row r="54" spans="2:15">
      <c r="B54" s="510"/>
      <c r="C54" s="226" t="s">
        <v>1113</v>
      </c>
      <c r="D54" s="227">
        <v>30</v>
      </c>
      <c r="E54" s="222">
        <v>30</v>
      </c>
      <c r="F54" s="227" t="s">
        <v>393</v>
      </c>
      <c r="G54" s="491"/>
      <c r="H54" s="491"/>
      <c r="I54" s="491"/>
      <c r="J54" s="499"/>
      <c r="K54" s="500"/>
      <c r="L54" s="499"/>
      <c r="M54" s="500"/>
      <c r="N54" s="499"/>
      <c r="O54" s="500"/>
    </row>
    <row r="55" spans="2:15">
      <c r="B55" s="510"/>
      <c r="C55" s="226" t="s">
        <v>1114</v>
      </c>
      <c r="D55" s="227">
        <v>35</v>
      </c>
      <c r="E55" s="222">
        <v>35</v>
      </c>
      <c r="F55" s="227" t="s">
        <v>393</v>
      </c>
      <c r="G55" s="491"/>
      <c r="H55" s="491"/>
      <c r="I55" s="491"/>
      <c r="J55" s="499"/>
      <c r="K55" s="500"/>
      <c r="L55" s="499"/>
      <c r="M55" s="500"/>
      <c r="N55" s="499"/>
      <c r="O55" s="500"/>
    </row>
    <row r="56" spans="2:15">
      <c r="B56" s="510"/>
      <c r="C56" s="226" t="s">
        <v>1115</v>
      </c>
      <c r="D56" s="227">
        <v>40</v>
      </c>
      <c r="E56" s="222">
        <v>40</v>
      </c>
      <c r="F56" s="227" t="s">
        <v>393</v>
      </c>
      <c r="G56" s="491"/>
      <c r="H56" s="491"/>
      <c r="I56" s="491"/>
      <c r="J56" s="499"/>
      <c r="K56" s="500"/>
      <c r="L56" s="499"/>
      <c r="M56" s="500"/>
      <c r="N56" s="499"/>
      <c r="O56" s="500"/>
    </row>
    <row r="57" spans="2:15">
      <c r="B57" s="510"/>
      <c r="C57" s="226" t="s">
        <v>1116</v>
      </c>
      <c r="D57" s="227">
        <v>45</v>
      </c>
      <c r="E57" s="222">
        <v>45</v>
      </c>
      <c r="F57" s="227" t="s">
        <v>393</v>
      </c>
      <c r="G57" s="491"/>
      <c r="H57" s="491"/>
      <c r="I57" s="491"/>
      <c r="J57" s="499"/>
      <c r="K57" s="500"/>
      <c r="L57" s="499"/>
      <c r="M57" s="500"/>
      <c r="N57" s="499"/>
      <c r="O57" s="500"/>
    </row>
    <row r="58" spans="2:15">
      <c r="B58" s="510"/>
      <c r="C58" s="226" t="s">
        <v>1117</v>
      </c>
      <c r="D58" s="227">
        <v>50</v>
      </c>
      <c r="E58" s="222">
        <v>50</v>
      </c>
      <c r="F58" s="227" t="s">
        <v>393</v>
      </c>
      <c r="G58" s="491"/>
      <c r="H58" s="491"/>
      <c r="I58" s="491"/>
      <c r="J58" s="499"/>
      <c r="K58" s="500"/>
      <c r="L58" s="499"/>
      <c r="M58" s="500"/>
      <c r="N58" s="499"/>
      <c r="O58" s="500"/>
    </row>
    <row r="59" spans="2:15">
      <c r="B59" s="510"/>
      <c r="C59" s="224" t="s">
        <v>1118</v>
      </c>
      <c r="D59" s="225">
        <v>5</v>
      </c>
      <c r="E59" s="222">
        <v>5</v>
      </c>
      <c r="F59" s="225" t="s">
        <v>393</v>
      </c>
      <c r="G59" s="491"/>
      <c r="H59" s="491"/>
      <c r="I59" s="491">
        <f>SUM(E59:E68)</f>
        <v>275</v>
      </c>
      <c r="J59" s="499"/>
      <c r="K59" s="500"/>
      <c r="L59" s="499"/>
      <c r="M59" s="500"/>
      <c r="N59" s="499"/>
      <c r="O59" s="500"/>
    </row>
    <row r="60" spans="2:15">
      <c r="B60" s="510"/>
      <c r="C60" s="224" t="s">
        <v>1119</v>
      </c>
      <c r="D60" s="225">
        <v>10</v>
      </c>
      <c r="E60" s="222">
        <v>10</v>
      </c>
      <c r="F60" s="225" t="s">
        <v>393</v>
      </c>
      <c r="G60" s="491"/>
      <c r="H60" s="491"/>
      <c r="I60" s="491"/>
      <c r="J60" s="499"/>
      <c r="K60" s="500"/>
      <c r="L60" s="499"/>
      <c r="M60" s="500"/>
      <c r="N60" s="499"/>
      <c r="O60" s="500"/>
    </row>
    <row r="61" spans="2:15">
      <c r="B61" s="510"/>
      <c r="C61" s="224" t="s">
        <v>1120</v>
      </c>
      <c r="D61" s="225">
        <v>15</v>
      </c>
      <c r="E61" s="222">
        <v>15</v>
      </c>
      <c r="F61" s="225" t="s">
        <v>393</v>
      </c>
      <c r="G61" s="491"/>
      <c r="H61" s="491"/>
      <c r="I61" s="491"/>
      <c r="J61" s="499"/>
      <c r="K61" s="500"/>
      <c r="L61" s="499"/>
      <c r="M61" s="500"/>
      <c r="N61" s="499"/>
      <c r="O61" s="500"/>
    </row>
    <row r="62" spans="2:15">
      <c r="B62" s="510"/>
      <c r="C62" s="224" t="s">
        <v>1121</v>
      </c>
      <c r="D62" s="225">
        <v>20</v>
      </c>
      <c r="E62" s="222">
        <v>20</v>
      </c>
      <c r="F62" s="225" t="s">
        <v>393</v>
      </c>
      <c r="G62" s="491"/>
      <c r="H62" s="491"/>
      <c r="I62" s="491"/>
      <c r="J62" s="499"/>
      <c r="K62" s="500"/>
      <c r="L62" s="499"/>
      <c r="M62" s="500"/>
      <c r="N62" s="499"/>
      <c r="O62" s="500"/>
    </row>
    <row r="63" spans="2:15">
      <c r="B63" s="510"/>
      <c r="C63" s="224" t="s">
        <v>1122</v>
      </c>
      <c r="D63" s="225">
        <v>25</v>
      </c>
      <c r="E63" s="222">
        <v>25</v>
      </c>
      <c r="F63" s="225" t="s">
        <v>393</v>
      </c>
      <c r="G63" s="491"/>
      <c r="H63" s="491"/>
      <c r="I63" s="491"/>
      <c r="J63" s="499"/>
      <c r="K63" s="500"/>
      <c r="L63" s="499"/>
      <c r="M63" s="500"/>
      <c r="N63" s="499"/>
      <c r="O63" s="500"/>
    </row>
    <row r="64" spans="2:15">
      <c r="B64" s="510"/>
      <c r="C64" s="224" t="s">
        <v>1123</v>
      </c>
      <c r="D64" s="225">
        <v>30</v>
      </c>
      <c r="E64" s="222">
        <v>30</v>
      </c>
      <c r="F64" s="225" t="s">
        <v>393</v>
      </c>
      <c r="G64" s="491"/>
      <c r="H64" s="491"/>
      <c r="I64" s="491"/>
      <c r="J64" s="499"/>
      <c r="K64" s="500"/>
      <c r="L64" s="499"/>
      <c r="M64" s="500"/>
      <c r="N64" s="499"/>
      <c r="O64" s="500"/>
    </row>
    <row r="65" spans="2:15">
      <c r="B65" s="510"/>
      <c r="C65" s="224" t="s">
        <v>1124</v>
      </c>
      <c r="D65" s="225">
        <v>35</v>
      </c>
      <c r="E65" s="222">
        <v>35</v>
      </c>
      <c r="F65" s="225" t="s">
        <v>393</v>
      </c>
      <c r="G65" s="491"/>
      <c r="H65" s="491"/>
      <c r="I65" s="491"/>
      <c r="J65" s="499"/>
      <c r="K65" s="500"/>
      <c r="L65" s="499"/>
      <c r="M65" s="500"/>
      <c r="N65" s="499"/>
      <c r="O65" s="500"/>
    </row>
    <row r="66" spans="2:15">
      <c r="B66" s="510"/>
      <c r="C66" s="224" t="s">
        <v>1125</v>
      </c>
      <c r="D66" s="225">
        <v>40</v>
      </c>
      <c r="E66" s="222">
        <v>40</v>
      </c>
      <c r="F66" s="225" t="s">
        <v>393</v>
      </c>
      <c r="G66" s="491"/>
      <c r="H66" s="491"/>
      <c r="I66" s="491"/>
      <c r="J66" s="499"/>
      <c r="K66" s="500"/>
      <c r="L66" s="499"/>
      <c r="M66" s="500"/>
      <c r="N66" s="499"/>
      <c r="O66" s="500"/>
    </row>
    <row r="67" spans="2:15">
      <c r="B67" s="510"/>
      <c r="C67" s="224" t="s">
        <v>1126</v>
      </c>
      <c r="D67" s="225">
        <v>45</v>
      </c>
      <c r="E67" s="222">
        <v>45</v>
      </c>
      <c r="F67" s="225" t="s">
        <v>393</v>
      </c>
      <c r="G67" s="491"/>
      <c r="H67" s="491"/>
      <c r="I67" s="491"/>
      <c r="J67" s="499"/>
      <c r="K67" s="500"/>
      <c r="L67" s="499"/>
      <c r="M67" s="500"/>
      <c r="N67" s="499"/>
      <c r="O67" s="500"/>
    </row>
    <row r="68" spans="2:15">
      <c r="B68" s="510"/>
      <c r="C68" s="224" t="s">
        <v>1127</v>
      </c>
      <c r="D68" s="225">
        <v>50</v>
      </c>
      <c r="E68" s="222">
        <v>50</v>
      </c>
      <c r="F68" s="225" t="s">
        <v>393</v>
      </c>
      <c r="G68" s="491"/>
      <c r="H68" s="491"/>
      <c r="I68" s="491"/>
      <c r="J68" s="499"/>
      <c r="K68" s="500"/>
      <c r="L68" s="499"/>
      <c r="M68" s="500"/>
      <c r="N68" s="499"/>
      <c r="O68" s="500"/>
    </row>
    <row r="69" spans="2:15">
      <c r="B69" s="510"/>
      <c r="C69" s="212" t="s">
        <v>527</v>
      </c>
      <c r="D69" s="213">
        <v>10</v>
      </c>
      <c r="E69" s="213">
        <v>10</v>
      </c>
      <c r="F69" s="213" t="s">
        <v>393</v>
      </c>
      <c r="G69" s="490">
        <f>SUM(E69:E78)</f>
        <v>325</v>
      </c>
      <c r="H69" s="490">
        <f>SUM(E69:E82)</f>
        <v>595</v>
      </c>
      <c r="I69" s="490">
        <f>SUM(E69:E86)</f>
        <v>945</v>
      </c>
      <c r="J69" s="499"/>
      <c r="K69" s="500"/>
      <c r="L69" s="499"/>
      <c r="M69" s="500"/>
      <c r="N69" s="499"/>
      <c r="O69" s="500"/>
    </row>
    <row r="70" spans="2:15">
      <c r="B70" s="510"/>
      <c r="C70" s="212" t="s">
        <v>528</v>
      </c>
      <c r="D70" s="213">
        <v>20</v>
      </c>
      <c r="E70" s="214">
        <v>15</v>
      </c>
      <c r="F70" s="213" t="s">
        <v>393</v>
      </c>
      <c r="G70" s="490"/>
      <c r="H70" s="490"/>
      <c r="I70" s="490"/>
      <c r="J70" s="499"/>
      <c r="K70" s="500"/>
      <c r="L70" s="499"/>
      <c r="M70" s="500"/>
      <c r="N70" s="499"/>
      <c r="O70" s="500"/>
    </row>
    <row r="71" spans="2:15">
      <c r="B71" s="510"/>
      <c r="C71" s="212" t="s">
        <v>529</v>
      </c>
      <c r="D71" s="213">
        <v>30</v>
      </c>
      <c r="E71" s="214">
        <v>20</v>
      </c>
      <c r="F71" s="213" t="s">
        <v>393</v>
      </c>
      <c r="G71" s="490"/>
      <c r="H71" s="490"/>
      <c r="I71" s="490"/>
      <c r="J71" s="499"/>
      <c r="K71" s="500"/>
      <c r="L71" s="499"/>
      <c r="M71" s="500"/>
      <c r="N71" s="499"/>
      <c r="O71" s="500"/>
    </row>
    <row r="72" spans="2:15">
      <c r="B72" s="510"/>
      <c r="C72" s="212" t="s">
        <v>530</v>
      </c>
      <c r="D72" s="213">
        <v>50</v>
      </c>
      <c r="E72" s="214">
        <v>25</v>
      </c>
      <c r="F72" s="213" t="s">
        <v>393</v>
      </c>
      <c r="G72" s="490"/>
      <c r="H72" s="490"/>
      <c r="I72" s="490"/>
      <c r="J72" s="499"/>
      <c r="K72" s="500"/>
      <c r="L72" s="499"/>
      <c r="M72" s="500"/>
      <c r="N72" s="499"/>
      <c r="O72" s="500"/>
    </row>
    <row r="73" spans="2:15">
      <c r="B73" s="510"/>
      <c r="C73" s="212" t="s">
        <v>531</v>
      </c>
      <c r="D73" s="213">
        <v>75</v>
      </c>
      <c r="E73" s="214">
        <v>30</v>
      </c>
      <c r="F73" s="213" t="s">
        <v>393</v>
      </c>
      <c r="G73" s="490"/>
      <c r="H73" s="490"/>
      <c r="I73" s="490"/>
      <c r="J73" s="499"/>
      <c r="K73" s="500"/>
      <c r="L73" s="499"/>
      <c r="M73" s="500"/>
      <c r="N73" s="499"/>
      <c r="O73" s="500"/>
    </row>
    <row r="74" spans="2:15">
      <c r="B74" s="510"/>
      <c r="C74" s="212" t="s">
        <v>532</v>
      </c>
      <c r="D74" s="213">
        <v>100</v>
      </c>
      <c r="E74" s="214">
        <v>35</v>
      </c>
      <c r="F74" s="213" t="s">
        <v>393</v>
      </c>
      <c r="G74" s="490"/>
      <c r="H74" s="490"/>
      <c r="I74" s="490"/>
      <c r="J74" s="499"/>
      <c r="K74" s="500"/>
      <c r="L74" s="499"/>
      <c r="M74" s="500"/>
      <c r="N74" s="499"/>
      <c r="O74" s="500"/>
    </row>
    <row r="75" spans="2:15">
      <c r="B75" s="510"/>
      <c r="C75" s="212" t="s">
        <v>533</v>
      </c>
      <c r="D75" s="213">
        <v>150</v>
      </c>
      <c r="E75" s="214">
        <v>40</v>
      </c>
      <c r="F75" s="213" t="s">
        <v>393</v>
      </c>
      <c r="G75" s="490"/>
      <c r="H75" s="490"/>
      <c r="I75" s="490"/>
      <c r="J75" s="499"/>
      <c r="K75" s="500"/>
      <c r="L75" s="499"/>
      <c r="M75" s="500"/>
      <c r="N75" s="499"/>
      <c r="O75" s="500"/>
    </row>
    <row r="76" spans="2:15">
      <c r="B76" s="510"/>
      <c r="C76" s="212" t="s">
        <v>534</v>
      </c>
      <c r="D76" s="213">
        <v>200</v>
      </c>
      <c r="E76" s="214">
        <v>45</v>
      </c>
      <c r="F76" s="213" t="s">
        <v>393</v>
      </c>
      <c r="G76" s="490"/>
      <c r="H76" s="490"/>
      <c r="I76" s="490"/>
      <c r="J76" s="499"/>
      <c r="K76" s="500"/>
      <c r="L76" s="499"/>
      <c r="M76" s="500"/>
      <c r="N76" s="499"/>
      <c r="O76" s="500"/>
    </row>
    <row r="77" spans="2:15">
      <c r="B77" s="510"/>
      <c r="C77" s="212" t="s">
        <v>535</v>
      </c>
      <c r="D77" s="213">
        <v>250</v>
      </c>
      <c r="E77" s="214">
        <v>50</v>
      </c>
      <c r="F77" s="213" t="s">
        <v>393</v>
      </c>
      <c r="G77" s="490"/>
      <c r="H77" s="490"/>
      <c r="I77" s="490"/>
      <c r="J77" s="499"/>
      <c r="K77" s="500"/>
      <c r="L77" s="499"/>
      <c r="M77" s="500"/>
      <c r="N77" s="499"/>
      <c r="O77" s="500"/>
    </row>
    <row r="78" spans="2:15">
      <c r="B78" s="510"/>
      <c r="C78" s="212" t="s">
        <v>536</v>
      </c>
      <c r="D78" s="213">
        <v>300</v>
      </c>
      <c r="E78" s="214">
        <v>55</v>
      </c>
      <c r="F78" s="213" t="s">
        <v>393</v>
      </c>
      <c r="G78" s="490"/>
      <c r="H78" s="490"/>
      <c r="I78" s="490"/>
      <c r="J78" s="499"/>
      <c r="K78" s="500"/>
      <c r="L78" s="499"/>
      <c r="M78" s="500"/>
      <c r="N78" s="499"/>
      <c r="O78" s="500"/>
    </row>
    <row r="79" spans="2:15">
      <c r="B79" s="510"/>
      <c r="C79" s="212" t="s">
        <v>537</v>
      </c>
      <c r="D79" s="213">
        <v>350</v>
      </c>
      <c r="E79" s="228">
        <v>60</v>
      </c>
      <c r="F79" s="213" t="s">
        <v>393</v>
      </c>
      <c r="G79" s="490"/>
      <c r="H79" s="490"/>
      <c r="I79" s="490"/>
      <c r="J79" s="499"/>
      <c r="K79" s="500"/>
      <c r="L79" s="499"/>
      <c r="M79" s="500"/>
      <c r="N79" s="499"/>
      <c r="O79" s="500"/>
    </row>
    <row r="80" spans="2:15">
      <c r="B80" s="510"/>
      <c r="C80" s="212" t="s">
        <v>538</v>
      </c>
      <c r="D80" s="213">
        <v>400</v>
      </c>
      <c r="E80" s="228">
        <v>65</v>
      </c>
      <c r="F80" s="213" t="s">
        <v>393</v>
      </c>
      <c r="G80" s="490"/>
      <c r="H80" s="490"/>
      <c r="I80" s="490"/>
      <c r="J80" s="499"/>
      <c r="K80" s="500"/>
      <c r="L80" s="499"/>
      <c r="M80" s="500"/>
      <c r="N80" s="499"/>
      <c r="O80" s="500"/>
    </row>
    <row r="81" spans="2:15">
      <c r="B81" s="510"/>
      <c r="C81" s="212" t="s">
        <v>539</v>
      </c>
      <c r="D81" s="213">
        <v>450</v>
      </c>
      <c r="E81" s="228">
        <v>70</v>
      </c>
      <c r="F81" s="213" t="s">
        <v>393</v>
      </c>
      <c r="G81" s="490"/>
      <c r="H81" s="490"/>
      <c r="I81" s="490"/>
      <c r="J81" s="499"/>
      <c r="K81" s="500"/>
      <c r="L81" s="499"/>
      <c r="M81" s="500"/>
      <c r="N81" s="499"/>
      <c r="O81" s="500"/>
    </row>
    <row r="82" spans="2:15">
      <c r="B82" s="510"/>
      <c r="C82" s="212" t="s">
        <v>540</v>
      </c>
      <c r="D82" s="213">
        <v>500</v>
      </c>
      <c r="E82" s="228">
        <v>75</v>
      </c>
      <c r="F82" s="213" t="s">
        <v>393</v>
      </c>
      <c r="G82" s="490"/>
      <c r="H82" s="490"/>
      <c r="I82" s="490"/>
      <c r="J82" s="499"/>
      <c r="K82" s="500"/>
      <c r="L82" s="499"/>
      <c r="M82" s="500"/>
      <c r="N82" s="499"/>
      <c r="O82" s="500"/>
    </row>
    <row r="83" spans="2:15">
      <c r="B83" s="510"/>
      <c r="C83" s="212" t="s">
        <v>541</v>
      </c>
      <c r="D83" s="213">
        <v>550</v>
      </c>
      <c r="E83" s="222">
        <v>80</v>
      </c>
      <c r="F83" s="213" t="s">
        <v>393</v>
      </c>
      <c r="G83" s="490"/>
      <c r="H83" s="490"/>
      <c r="I83" s="490"/>
      <c r="J83" s="499"/>
      <c r="K83" s="500"/>
      <c r="L83" s="499"/>
      <c r="M83" s="500"/>
      <c r="N83" s="499"/>
      <c r="O83" s="500"/>
    </row>
    <row r="84" spans="2:15">
      <c r="B84" s="510"/>
      <c r="C84" s="212" t="s">
        <v>542</v>
      </c>
      <c r="D84" s="213">
        <v>600</v>
      </c>
      <c r="E84" s="222">
        <v>85</v>
      </c>
      <c r="F84" s="213" t="s">
        <v>393</v>
      </c>
      <c r="G84" s="490"/>
      <c r="H84" s="490"/>
      <c r="I84" s="490"/>
      <c r="J84" s="499"/>
      <c r="K84" s="500"/>
      <c r="L84" s="499"/>
      <c r="M84" s="500"/>
      <c r="N84" s="499"/>
      <c r="O84" s="500"/>
    </row>
    <row r="85" spans="2:15">
      <c r="B85" s="510"/>
      <c r="C85" s="212" t="s">
        <v>543</v>
      </c>
      <c r="D85" s="213">
        <v>650</v>
      </c>
      <c r="E85" s="222">
        <v>90</v>
      </c>
      <c r="F85" s="213" t="s">
        <v>393</v>
      </c>
      <c r="G85" s="490"/>
      <c r="H85" s="490"/>
      <c r="I85" s="490"/>
      <c r="J85" s="499"/>
      <c r="K85" s="500"/>
      <c r="L85" s="499"/>
      <c r="M85" s="500"/>
      <c r="N85" s="499"/>
      <c r="O85" s="500"/>
    </row>
    <row r="86" spans="2:15">
      <c r="B86" s="510"/>
      <c r="C86" s="212" t="s">
        <v>544</v>
      </c>
      <c r="D86" s="213">
        <v>700</v>
      </c>
      <c r="E86" s="222">
        <v>95</v>
      </c>
      <c r="F86" s="213" t="s">
        <v>393</v>
      </c>
      <c r="G86" s="490"/>
      <c r="H86" s="490"/>
      <c r="I86" s="490"/>
      <c r="J86" s="499"/>
      <c r="K86" s="500"/>
      <c r="L86" s="499"/>
      <c r="M86" s="500"/>
      <c r="N86" s="499"/>
      <c r="O86" s="500"/>
    </row>
    <row r="87" spans="2:15">
      <c r="B87" s="510"/>
      <c r="C87" s="212" t="s">
        <v>545</v>
      </c>
      <c r="D87" s="213">
        <v>750</v>
      </c>
      <c r="E87" s="229">
        <v>100</v>
      </c>
      <c r="F87" s="213" t="s">
        <v>393</v>
      </c>
      <c r="G87" s="490"/>
      <c r="H87" s="490"/>
      <c r="I87" s="490"/>
      <c r="J87" s="499"/>
      <c r="K87" s="500"/>
      <c r="L87" s="499"/>
      <c r="M87" s="500"/>
      <c r="N87" s="499"/>
      <c r="O87" s="500"/>
    </row>
    <row r="88" spans="2:15">
      <c r="B88" s="510"/>
      <c r="C88" s="212" t="s">
        <v>546</v>
      </c>
      <c r="D88" s="213">
        <v>800</v>
      </c>
      <c r="E88" s="229">
        <v>105</v>
      </c>
      <c r="F88" s="213" t="s">
        <v>393</v>
      </c>
      <c r="G88" s="490"/>
      <c r="H88" s="490"/>
      <c r="I88" s="490"/>
      <c r="J88" s="499"/>
      <c r="K88" s="500"/>
      <c r="L88" s="499"/>
      <c r="M88" s="500"/>
      <c r="N88" s="499"/>
      <c r="O88" s="500"/>
    </row>
    <row r="89" spans="2:15">
      <c r="B89" s="510"/>
      <c r="C89" s="212" t="s">
        <v>547</v>
      </c>
      <c r="D89" s="213">
        <v>850</v>
      </c>
      <c r="E89" s="229">
        <v>110</v>
      </c>
      <c r="F89" s="213" t="s">
        <v>393</v>
      </c>
      <c r="G89" s="490"/>
      <c r="H89" s="490"/>
      <c r="I89" s="490"/>
      <c r="J89" s="499"/>
      <c r="K89" s="500"/>
      <c r="L89" s="499"/>
      <c r="M89" s="500"/>
      <c r="N89" s="499"/>
      <c r="O89" s="500"/>
    </row>
    <row r="90" spans="2:15">
      <c r="B90" s="510"/>
      <c r="C90" s="212" t="s">
        <v>548</v>
      </c>
      <c r="D90" s="213">
        <v>900</v>
      </c>
      <c r="E90" s="229">
        <v>115</v>
      </c>
      <c r="F90" s="213" t="s">
        <v>393</v>
      </c>
      <c r="G90" s="490"/>
      <c r="H90" s="490"/>
      <c r="I90" s="490"/>
      <c r="J90" s="499"/>
      <c r="K90" s="500"/>
      <c r="L90" s="499"/>
      <c r="M90" s="500"/>
      <c r="N90" s="499"/>
      <c r="O90" s="500"/>
    </row>
    <row r="91" spans="2:15">
      <c r="B91" s="510"/>
      <c r="C91" s="212" t="s">
        <v>549</v>
      </c>
      <c r="D91" s="213">
        <v>950</v>
      </c>
      <c r="E91" s="229">
        <v>120</v>
      </c>
      <c r="F91" s="213" t="s">
        <v>393</v>
      </c>
      <c r="G91" s="490"/>
      <c r="H91" s="490"/>
      <c r="I91" s="490"/>
      <c r="J91" s="499"/>
      <c r="K91" s="500"/>
      <c r="L91" s="499"/>
      <c r="M91" s="500"/>
      <c r="N91" s="499"/>
      <c r="O91" s="500"/>
    </row>
    <row r="92" spans="2:15">
      <c r="B92" s="510"/>
      <c r="C92" s="212" t="s">
        <v>550</v>
      </c>
      <c r="D92" s="213">
        <v>1000</v>
      </c>
      <c r="E92" s="229">
        <v>125</v>
      </c>
      <c r="F92" s="213" t="s">
        <v>393</v>
      </c>
      <c r="G92" s="490"/>
      <c r="H92" s="490"/>
      <c r="I92" s="490"/>
      <c r="J92" s="499"/>
      <c r="K92" s="500"/>
      <c r="L92" s="499"/>
      <c r="M92" s="500"/>
      <c r="N92" s="499"/>
      <c r="O92" s="500"/>
    </row>
    <row r="93" spans="2:15">
      <c r="B93" s="510"/>
      <c r="C93" s="212" t="s">
        <v>551</v>
      </c>
      <c r="D93" s="213">
        <v>1050</v>
      </c>
      <c r="E93" s="229">
        <v>130</v>
      </c>
      <c r="F93" s="213" t="s">
        <v>393</v>
      </c>
      <c r="G93" s="490"/>
      <c r="H93" s="490"/>
      <c r="I93" s="490"/>
      <c r="J93" s="499"/>
      <c r="K93" s="500"/>
      <c r="L93" s="499"/>
      <c r="M93" s="500"/>
      <c r="N93" s="499"/>
      <c r="O93" s="500"/>
    </row>
    <row r="94" spans="2:15">
      <c r="B94" s="510"/>
      <c r="C94" s="212" t="s">
        <v>552</v>
      </c>
      <c r="D94" s="213">
        <v>1100</v>
      </c>
      <c r="E94" s="229">
        <v>135</v>
      </c>
      <c r="F94" s="213" t="s">
        <v>393</v>
      </c>
      <c r="G94" s="490"/>
      <c r="H94" s="490"/>
      <c r="I94" s="490"/>
      <c r="J94" s="499"/>
      <c r="K94" s="500"/>
      <c r="L94" s="499"/>
      <c r="M94" s="500"/>
      <c r="N94" s="499"/>
      <c r="O94" s="500"/>
    </row>
    <row r="95" spans="2:15">
      <c r="B95" s="510"/>
      <c r="C95" s="212" t="s">
        <v>553</v>
      </c>
      <c r="D95" s="213">
        <v>1150</v>
      </c>
      <c r="E95" s="229">
        <v>140</v>
      </c>
      <c r="F95" s="213" t="s">
        <v>393</v>
      </c>
      <c r="G95" s="490"/>
      <c r="H95" s="490"/>
      <c r="I95" s="490"/>
      <c r="J95" s="499"/>
      <c r="K95" s="500"/>
      <c r="L95" s="499"/>
      <c r="M95" s="500"/>
      <c r="N95" s="499"/>
      <c r="O95" s="500"/>
    </row>
    <row r="96" spans="2:15">
      <c r="B96" s="510"/>
      <c r="C96" s="212" t="s">
        <v>554</v>
      </c>
      <c r="D96" s="213">
        <v>1200</v>
      </c>
      <c r="E96" s="229">
        <v>145</v>
      </c>
      <c r="F96" s="213" t="s">
        <v>393</v>
      </c>
      <c r="G96" s="490"/>
      <c r="H96" s="490"/>
      <c r="I96" s="490"/>
      <c r="J96" s="499"/>
      <c r="K96" s="500"/>
      <c r="L96" s="499"/>
      <c r="M96" s="500"/>
      <c r="N96" s="499"/>
      <c r="O96" s="500"/>
    </row>
    <row r="97" spans="2:15">
      <c r="B97" s="510"/>
      <c r="C97" s="212" t="s">
        <v>555</v>
      </c>
      <c r="D97" s="213">
        <v>1250</v>
      </c>
      <c r="E97" s="229">
        <v>150</v>
      </c>
      <c r="F97" s="213" t="s">
        <v>393</v>
      </c>
      <c r="G97" s="490"/>
      <c r="H97" s="490"/>
      <c r="I97" s="490"/>
      <c r="J97" s="499"/>
      <c r="K97" s="500"/>
      <c r="L97" s="499"/>
      <c r="M97" s="500"/>
      <c r="N97" s="499"/>
      <c r="O97" s="500"/>
    </row>
    <row r="98" spans="2:15">
      <c r="B98" s="510"/>
      <c r="C98" s="212" t="s">
        <v>556</v>
      </c>
      <c r="D98" s="213">
        <v>1300</v>
      </c>
      <c r="E98" s="229">
        <v>155</v>
      </c>
      <c r="F98" s="213" t="s">
        <v>393</v>
      </c>
      <c r="G98" s="490"/>
      <c r="H98" s="490"/>
      <c r="I98" s="490"/>
      <c r="J98" s="499"/>
      <c r="K98" s="500"/>
      <c r="L98" s="499"/>
      <c r="M98" s="500"/>
      <c r="N98" s="499"/>
      <c r="O98" s="500"/>
    </row>
    <row r="99" spans="2:15">
      <c r="B99" s="510"/>
      <c r="C99" s="212" t="s">
        <v>557</v>
      </c>
      <c r="D99" s="213">
        <v>1350</v>
      </c>
      <c r="E99" s="229">
        <v>160</v>
      </c>
      <c r="F99" s="213" t="s">
        <v>393</v>
      </c>
      <c r="G99" s="490"/>
      <c r="H99" s="490"/>
      <c r="I99" s="490"/>
      <c r="J99" s="499"/>
      <c r="K99" s="500"/>
      <c r="L99" s="499"/>
      <c r="M99" s="500"/>
      <c r="N99" s="499"/>
      <c r="O99" s="500"/>
    </row>
    <row r="100" spans="2:15">
      <c r="B100" s="510"/>
      <c r="C100" s="212" t="s">
        <v>558</v>
      </c>
      <c r="D100" s="213">
        <v>1400</v>
      </c>
      <c r="E100" s="229">
        <v>165</v>
      </c>
      <c r="F100" s="213" t="s">
        <v>393</v>
      </c>
      <c r="G100" s="490"/>
      <c r="H100" s="490"/>
      <c r="I100" s="490"/>
      <c r="J100" s="499"/>
      <c r="K100" s="500"/>
      <c r="L100" s="499"/>
      <c r="M100" s="500"/>
      <c r="N100" s="499"/>
      <c r="O100" s="500"/>
    </row>
    <row r="101" spans="2:15">
      <c r="B101" s="510"/>
      <c r="C101" s="212" t="s">
        <v>559</v>
      </c>
      <c r="D101" s="213">
        <v>1450</v>
      </c>
      <c r="E101" s="229">
        <v>170</v>
      </c>
      <c r="F101" s="213" t="s">
        <v>393</v>
      </c>
      <c r="G101" s="490"/>
      <c r="H101" s="490"/>
      <c r="I101" s="490"/>
      <c r="J101" s="499"/>
      <c r="K101" s="500"/>
      <c r="L101" s="499"/>
      <c r="M101" s="500"/>
      <c r="N101" s="499"/>
      <c r="O101" s="500"/>
    </row>
    <row r="102" spans="2:15">
      <c r="B102" s="510"/>
      <c r="C102" s="212" t="s">
        <v>560</v>
      </c>
      <c r="D102" s="213">
        <v>1500</v>
      </c>
      <c r="E102" s="229">
        <v>175</v>
      </c>
      <c r="F102" s="213" t="s">
        <v>393</v>
      </c>
      <c r="G102" s="490"/>
      <c r="H102" s="490"/>
      <c r="I102" s="490"/>
      <c r="J102" s="499"/>
      <c r="K102" s="500"/>
      <c r="L102" s="499"/>
      <c r="M102" s="500"/>
      <c r="N102" s="499"/>
      <c r="O102" s="500"/>
    </row>
    <row r="103" spans="2:15">
      <c r="B103" s="510"/>
      <c r="C103" s="212" t="s">
        <v>561</v>
      </c>
      <c r="D103" s="213">
        <v>1550</v>
      </c>
      <c r="E103" s="229">
        <v>180</v>
      </c>
      <c r="F103" s="213" t="s">
        <v>393</v>
      </c>
      <c r="G103" s="490"/>
      <c r="H103" s="490"/>
      <c r="I103" s="490"/>
      <c r="J103" s="499"/>
      <c r="K103" s="500"/>
      <c r="L103" s="499"/>
      <c r="M103" s="500"/>
      <c r="N103" s="499"/>
      <c r="O103" s="500"/>
    </row>
    <row r="104" spans="2:15">
      <c r="B104" s="510"/>
      <c r="C104" s="212" t="s">
        <v>562</v>
      </c>
      <c r="D104" s="213">
        <v>1600</v>
      </c>
      <c r="E104" s="229">
        <v>185</v>
      </c>
      <c r="F104" s="213" t="s">
        <v>393</v>
      </c>
      <c r="G104" s="490"/>
      <c r="H104" s="490"/>
      <c r="I104" s="490"/>
      <c r="J104" s="499"/>
      <c r="K104" s="500"/>
      <c r="L104" s="499"/>
      <c r="M104" s="500"/>
      <c r="N104" s="499"/>
      <c r="O104" s="500"/>
    </row>
    <row r="105" spans="2:15">
      <c r="B105" s="510"/>
      <c r="C105" s="212" t="s">
        <v>563</v>
      </c>
      <c r="D105" s="213">
        <v>1650</v>
      </c>
      <c r="E105" s="229">
        <v>190</v>
      </c>
      <c r="F105" s="213" t="s">
        <v>393</v>
      </c>
      <c r="G105" s="490"/>
      <c r="H105" s="490"/>
      <c r="I105" s="490"/>
      <c r="J105" s="499"/>
      <c r="K105" s="500"/>
      <c r="L105" s="499"/>
      <c r="M105" s="500"/>
      <c r="N105" s="499"/>
      <c r="O105" s="500"/>
    </row>
    <row r="106" spans="2:15">
      <c r="B106" s="510"/>
      <c r="C106" s="212" t="s">
        <v>564</v>
      </c>
      <c r="D106" s="213">
        <v>1700</v>
      </c>
      <c r="E106" s="229">
        <v>195</v>
      </c>
      <c r="F106" s="213" t="s">
        <v>393</v>
      </c>
      <c r="G106" s="490"/>
      <c r="H106" s="490"/>
      <c r="I106" s="490"/>
      <c r="J106" s="499"/>
      <c r="K106" s="500"/>
      <c r="L106" s="499"/>
      <c r="M106" s="500"/>
      <c r="N106" s="499"/>
      <c r="O106" s="500"/>
    </row>
    <row r="107" spans="2:15">
      <c r="B107" s="510"/>
      <c r="C107" s="212" t="s">
        <v>565</v>
      </c>
      <c r="D107" s="213">
        <v>1750</v>
      </c>
      <c r="E107" s="229">
        <v>200</v>
      </c>
      <c r="F107" s="213" t="s">
        <v>393</v>
      </c>
      <c r="G107" s="490"/>
      <c r="H107" s="490"/>
      <c r="I107" s="490"/>
      <c r="J107" s="499"/>
      <c r="K107" s="500"/>
      <c r="L107" s="499"/>
      <c r="M107" s="500"/>
      <c r="N107" s="499"/>
      <c r="O107" s="500"/>
    </row>
    <row r="108" spans="2:15">
      <c r="B108" s="510"/>
      <c r="C108" s="212" t="s">
        <v>566</v>
      </c>
      <c r="D108" s="213">
        <v>1800</v>
      </c>
      <c r="E108" s="229">
        <v>205</v>
      </c>
      <c r="F108" s="213" t="s">
        <v>393</v>
      </c>
      <c r="G108" s="490"/>
      <c r="H108" s="490"/>
      <c r="I108" s="490"/>
      <c r="J108" s="499"/>
      <c r="K108" s="500"/>
      <c r="L108" s="499"/>
      <c r="M108" s="500"/>
      <c r="N108" s="499"/>
      <c r="O108" s="500"/>
    </row>
    <row r="109" spans="2:15">
      <c r="B109" s="510"/>
      <c r="C109" s="212" t="s">
        <v>567</v>
      </c>
      <c r="D109" s="213">
        <v>1850</v>
      </c>
      <c r="E109" s="229">
        <v>210</v>
      </c>
      <c r="F109" s="213" t="s">
        <v>393</v>
      </c>
      <c r="G109" s="490"/>
      <c r="H109" s="490"/>
      <c r="I109" s="490"/>
      <c r="J109" s="499"/>
      <c r="K109" s="500"/>
      <c r="L109" s="499"/>
      <c r="M109" s="500"/>
      <c r="N109" s="499"/>
      <c r="O109" s="500"/>
    </row>
    <row r="110" spans="2:15">
      <c r="B110" s="510"/>
      <c r="C110" s="212" t="s">
        <v>568</v>
      </c>
      <c r="D110" s="213">
        <v>1900</v>
      </c>
      <c r="E110" s="229">
        <v>215</v>
      </c>
      <c r="F110" s="213" t="s">
        <v>393</v>
      </c>
      <c r="G110" s="490"/>
      <c r="H110" s="490"/>
      <c r="I110" s="490"/>
      <c r="J110" s="499"/>
      <c r="K110" s="500"/>
      <c r="L110" s="499"/>
      <c r="M110" s="500"/>
      <c r="N110" s="499"/>
      <c r="O110" s="500"/>
    </row>
    <row r="111" spans="2:15">
      <c r="B111" s="510"/>
      <c r="C111" s="212" t="s">
        <v>569</v>
      </c>
      <c r="D111" s="213">
        <v>1950</v>
      </c>
      <c r="E111" s="229">
        <v>220</v>
      </c>
      <c r="F111" s="213" t="s">
        <v>393</v>
      </c>
      <c r="G111" s="490"/>
      <c r="H111" s="490"/>
      <c r="I111" s="490"/>
      <c r="J111" s="499"/>
      <c r="K111" s="500"/>
      <c r="L111" s="499"/>
      <c r="M111" s="500"/>
      <c r="N111" s="499"/>
      <c r="O111" s="500"/>
    </row>
    <row r="112" spans="2:15">
      <c r="B112" s="510"/>
      <c r="C112" s="212" t="s">
        <v>570</v>
      </c>
      <c r="D112" s="213">
        <v>2000</v>
      </c>
      <c r="E112" s="229">
        <v>225</v>
      </c>
      <c r="F112" s="213" t="s">
        <v>393</v>
      </c>
      <c r="G112" s="490"/>
      <c r="H112" s="490"/>
      <c r="I112" s="490"/>
      <c r="J112" s="499"/>
      <c r="K112" s="500"/>
      <c r="L112" s="499"/>
      <c r="M112" s="500"/>
      <c r="N112" s="499"/>
      <c r="O112" s="500"/>
    </row>
    <row r="113" spans="2:15">
      <c r="B113" s="510"/>
      <c r="C113" s="215" t="s">
        <v>571</v>
      </c>
      <c r="D113" s="216">
        <v>5</v>
      </c>
      <c r="E113" s="217">
        <v>1000</v>
      </c>
      <c r="F113" s="216" t="s">
        <v>391</v>
      </c>
      <c r="G113" s="491">
        <f>SUM(E113:E124)</f>
        <v>45000</v>
      </c>
      <c r="H113" s="491">
        <f>SUM(E113:E124)</f>
        <v>45000</v>
      </c>
      <c r="I113" s="491">
        <f>SUM(E113:E128)</f>
        <v>79000</v>
      </c>
      <c r="J113" s="499"/>
      <c r="K113" s="500"/>
      <c r="L113" s="499"/>
      <c r="M113" s="500"/>
      <c r="N113" s="499"/>
      <c r="O113" s="500"/>
    </row>
    <row r="114" spans="2:15">
      <c r="B114" s="510"/>
      <c r="C114" s="215" t="s">
        <v>572</v>
      </c>
      <c r="D114" s="216">
        <v>10</v>
      </c>
      <c r="E114" s="217">
        <v>1500</v>
      </c>
      <c r="F114" s="216" t="s">
        <v>391</v>
      </c>
      <c r="G114" s="491"/>
      <c r="H114" s="491"/>
      <c r="I114" s="491"/>
      <c r="J114" s="499"/>
      <c r="K114" s="500"/>
      <c r="L114" s="499"/>
      <c r="M114" s="500"/>
      <c r="N114" s="499"/>
      <c r="O114" s="500"/>
    </row>
    <row r="115" spans="2:15">
      <c r="B115" s="510"/>
      <c r="C115" s="215" t="s">
        <v>573</v>
      </c>
      <c r="D115" s="216">
        <v>15</v>
      </c>
      <c r="E115" s="217">
        <v>2000</v>
      </c>
      <c r="F115" s="216" t="s">
        <v>391</v>
      </c>
      <c r="G115" s="491"/>
      <c r="H115" s="491"/>
      <c r="I115" s="491"/>
      <c r="J115" s="499"/>
      <c r="K115" s="500"/>
      <c r="L115" s="499"/>
      <c r="M115" s="500"/>
      <c r="N115" s="499"/>
      <c r="O115" s="500"/>
    </row>
    <row r="116" spans="2:15">
      <c r="B116" s="510"/>
      <c r="C116" s="215" t="s">
        <v>574</v>
      </c>
      <c r="D116" s="216">
        <v>20</v>
      </c>
      <c r="E116" s="217">
        <v>2500</v>
      </c>
      <c r="F116" s="216" t="s">
        <v>391</v>
      </c>
      <c r="G116" s="491"/>
      <c r="H116" s="491"/>
      <c r="I116" s="491"/>
      <c r="J116" s="499"/>
      <c r="K116" s="500"/>
      <c r="L116" s="499"/>
      <c r="M116" s="500"/>
      <c r="N116" s="499"/>
      <c r="O116" s="500"/>
    </row>
    <row r="117" spans="2:15">
      <c r="B117" s="510"/>
      <c r="C117" s="215" t="s">
        <v>575</v>
      </c>
      <c r="D117" s="216">
        <v>25</v>
      </c>
      <c r="E117" s="217">
        <v>3000</v>
      </c>
      <c r="F117" s="216" t="s">
        <v>391</v>
      </c>
      <c r="G117" s="491"/>
      <c r="H117" s="491"/>
      <c r="I117" s="491"/>
      <c r="J117" s="499"/>
      <c r="K117" s="500"/>
      <c r="L117" s="499"/>
      <c r="M117" s="500"/>
      <c r="N117" s="499"/>
      <c r="O117" s="500"/>
    </row>
    <row r="118" spans="2:15">
      <c r="B118" s="510"/>
      <c r="C118" s="215" t="s">
        <v>576</v>
      </c>
      <c r="D118" s="216">
        <v>30</v>
      </c>
      <c r="E118" s="217">
        <v>3500</v>
      </c>
      <c r="F118" s="216" t="s">
        <v>391</v>
      </c>
      <c r="G118" s="491"/>
      <c r="H118" s="491"/>
      <c r="I118" s="491"/>
      <c r="J118" s="499"/>
      <c r="K118" s="500"/>
      <c r="L118" s="499"/>
      <c r="M118" s="500"/>
      <c r="N118" s="499"/>
      <c r="O118" s="500"/>
    </row>
    <row r="119" spans="2:15">
      <c r="B119" s="510"/>
      <c r="C119" s="215" t="s">
        <v>577</v>
      </c>
      <c r="D119" s="216">
        <v>35</v>
      </c>
      <c r="E119" s="217">
        <v>4000</v>
      </c>
      <c r="F119" s="216" t="s">
        <v>391</v>
      </c>
      <c r="G119" s="491"/>
      <c r="H119" s="491"/>
      <c r="I119" s="491"/>
      <c r="J119" s="499"/>
      <c r="K119" s="500"/>
      <c r="L119" s="499"/>
      <c r="M119" s="500"/>
      <c r="N119" s="499"/>
      <c r="O119" s="500"/>
    </row>
    <row r="120" spans="2:15">
      <c r="B120" s="510"/>
      <c r="C120" s="215" t="s">
        <v>578</v>
      </c>
      <c r="D120" s="216">
        <v>40</v>
      </c>
      <c r="E120" s="217">
        <v>4500</v>
      </c>
      <c r="F120" s="216" t="s">
        <v>391</v>
      </c>
      <c r="G120" s="491"/>
      <c r="H120" s="491"/>
      <c r="I120" s="491"/>
      <c r="J120" s="499"/>
      <c r="K120" s="500"/>
      <c r="L120" s="499"/>
      <c r="M120" s="500"/>
      <c r="N120" s="499"/>
      <c r="O120" s="500"/>
    </row>
    <row r="121" spans="2:15">
      <c r="B121" s="510"/>
      <c r="C121" s="215" t="s">
        <v>579</v>
      </c>
      <c r="D121" s="216">
        <v>45</v>
      </c>
      <c r="E121" s="217">
        <v>5000</v>
      </c>
      <c r="F121" s="216" t="s">
        <v>391</v>
      </c>
      <c r="G121" s="491"/>
      <c r="H121" s="491"/>
      <c r="I121" s="491"/>
      <c r="J121" s="499"/>
      <c r="K121" s="500"/>
      <c r="L121" s="499"/>
      <c r="M121" s="500"/>
      <c r="N121" s="499"/>
      <c r="O121" s="500"/>
    </row>
    <row r="122" spans="2:15">
      <c r="B122" s="510"/>
      <c r="C122" s="215" t="s">
        <v>580</v>
      </c>
      <c r="D122" s="216">
        <v>50</v>
      </c>
      <c r="E122" s="217">
        <v>5500</v>
      </c>
      <c r="F122" s="216" t="s">
        <v>391</v>
      </c>
      <c r="G122" s="491"/>
      <c r="H122" s="491"/>
      <c r="I122" s="491"/>
      <c r="J122" s="499"/>
      <c r="K122" s="500"/>
      <c r="L122" s="499"/>
      <c r="M122" s="500"/>
      <c r="N122" s="499"/>
      <c r="O122" s="500"/>
    </row>
    <row r="123" spans="2:15">
      <c r="B123" s="510"/>
      <c r="C123" s="215" t="s">
        <v>581</v>
      </c>
      <c r="D123" s="216">
        <v>55</v>
      </c>
      <c r="E123" s="217">
        <v>6000</v>
      </c>
      <c r="F123" s="216" t="s">
        <v>391</v>
      </c>
      <c r="G123" s="491"/>
      <c r="H123" s="491"/>
      <c r="I123" s="491"/>
      <c r="J123" s="499"/>
      <c r="K123" s="500"/>
      <c r="L123" s="499"/>
      <c r="M123" s="500"/>
      <c r="N123" s="499"/>
      <c r="O123" s="500"/>
    </row>
    <row r="124" spans="2:15">
      <c r="B124" s="510"/>
      <c r="C124" s="215" t="s">
        <v>582</v>
      </c>
      <c r="D124" s="216">
        <v>60</v>
      </c>
      <c r="E124" s="217">
        <v>6500</v>
      </c>
      <c r="F124" s="216" t="s">
        <v>391</v>
      </c>
      <c r="G124" s="491"/>
      <c r="H124" s="491"/>
      <c r="I124" s="491"/>
      <c r="J124" s="499"/>
      <c r="K124" s="500"/>
      <c r="L124" s="499"/>
      <c r="M124" s="500"/>
      <c r="N124" s="499"/>
      <c r="O124" s="500"/>
    </row>
    <row r="125" spans="2:15">
      <c r="B125" s="510"/>
      <c r="C125" s="215" t="s">
        <v>583</v>
      </c>
      <c r="D125" s="216">
        <v>65</v>
      </c>
      <c r="E125" s="222">
        <v>7000</v>
      </c>
      <c r="F125" s="216" t="s">
        <v>391</v>
      </c>
      <c r="G125" s="491"/>
      <c r="H125" s="491"/>
      <c r="I125" s="491"/>
      <c r="J125" s="499"/>
      <c r="K125" s="500"/>
      <c r="L125" s="499"/>
      <c r="M125" s="500"/>
      <c r="N125" s="499"/>
      <c r="O125" s="500"/>
    </row>
    <row r="126" spans="2:15">
      <c r="B126" s="510"/>
      <c r="C126" s="215" t="s">
        <v>584</v>
      </c>
      <c r="D126" s="216">
        <v>70</v>
      </c>
      <c r="E126" s="222">
        <v>8000</v>
      </c>
      <c r="F126" s="216" t="s">
        <v>391</v>
      </c>
      <c r="G126" s="491"/>
      <c r="H126" s="491"/>
      <c r="I126" s="491"/>
      <c r="J126" s="499"/>
      <c r="K126" s="500"/>
      <c r="L126" s="499"/>
      <c r="M126" s="500"/>
      <c r="N126" s="499"/>
      <c r="O126" s="500"/>
    </row>
    <row r="127" spans="2:15">
      <c r="B127" s="510"/>
      <c r="C127" s="215" t="s">
        <v>585</v>
      </c>
      <c r="D127" s="216">
        <v>75</v>
      </c>
      <c r="E127" s="222">
        <v>9000</v>
      </c>
      <c r="F127" s="216" t="s">
        <v>391</v>
      </c>
      <c r="G127" s="491"/>
      <c r="H127" s="491"/>
      <c r="I127" s="491"/>
      <c r="J127" s="499"/>
      <c r="K127" s="500"/>
      <c r="L127" s="499"/>
      <c r="M127" s="500"/>
      <c r="N127" s="499"/>
      <c r="O127" s="500"/>
    </row>
    <row r="128" spans="2:15">
      <c r="B128" s="510"/>
      <c r="C128" s="215" t="s">
        <v>586</v>
      </c>
      <c r="D128" s="216">
        <v>80</v>
      </c>
      <c r="E128" s="222">
        <v>10000</v>
      </c>
      <c r="F128" s="216" t="s">
        <v>391</v>
      </c>
      <c r="G128" s="491"/>
      <c r="H128" s="491"/>
      <c r="I128" s="491"/>
      <c r="J128" s="499"/>
      <c r="K128" s="500"/>
      <c r="L128" s="499"/>
      <c r="M128" s="500"/>
      <c r="N128" s="499"/>
      <c r="O128" s="500"/>
    </row>
    <row r="129" spans="2:15">
      <c r="B129" s="510"/>
      <c r="C129" s="212" t="s">
        <v>587</v>
      </c>
      <c r="D129" s="213">
        <v>1</v>
      </c>
      <c r="E129" s="214">
        <v>3000</v>
      </c>
      <c r="F129" s="213" t="s">
        <v>391</v>
      </c>
      <c r="G129" s="490">
        <f>SUM(E129:E130)</f>
        <v>8000</v>
      </c>
      <c r="H129" s="490">
        <f>SUM(E129:E130)</f>
        <v>8000</v>
      </c>
      <c r="I129" s="490">
        <f>SUM(E129:E130)</f>
        <v>8000</v>
      </c>
      <c r="J129" s="499"/>
      <c r="K129" s="500"/>
      <c r="L129" s="499"/>
      <c r="M129" s="500"/>
      <c r="N129" s="499"/>
      <c r="O129" s="500"/>
    </row>
    <row r="130" spans="2:15">
      <c r="B130" s="510"/>
      <c r="C130" s="212" t="s">
        <v>1173</v>
      </c>
      <c r="D130" s="213">
        <v>3</v>
      </c>
      <c r="E130" s="214">
        <v>5000</v>
      </c>
      <c r="F130" s="213" t="s">
        <v>391</v>
      </c>
      <c r="G130" s="490"/>
      <c r="H130" s="490"/>
      <c r="I130" s="490"/>
      <c r="J130" s="499"/>
      <c r="K130" s="500"/>
      <c r="L130" s="499"/>
      <c r="M130" s="500"/>
      <c r="N130" s="499"/>
      <c r="O130" s="500"/>
    </row>
    <row r="131" spans="2:15">
      <c r="B131" s="510"/>
      <c r="C131" s="215" t="s">
        <v>588</v>
      </c>
      <c r="D131" s="216">
        <v>10</v>
      </c>
      <c r="E131" s="216">
        <v>2000</v>
      </c>
      <c r="F131" s="216" t="s">
        <v>391</v>
      </c>
      <c r="G131" s="491">
        <f>SUM(E131:E141)</f>
        <v>77000</v>
      </c>
      <c r="H131" s="491">
        <f>SUM(E131:E146)</f>
        <v>152000</v>
      </c>
      <c r="I131" s="491">
        <f>SUM(E131:E150)</f>
        <v>230000</v>
      </c>
      <c r="J131" s="499"/>
      <c r="K131" s="500"/>
      <c r="L131" s="499"/>
      <c r="M131" s="500"/>
      <c r="N131" s="499"/>
      <c r="O131" s="500"/>
    </row>
    <row r="132" spans="2:15">
      <c r="B132" s="510"/>
      <c r="C132" s="215" t="s">
        <v>589</v>
      </c>
      <c r="D132" s="216">
        <v>20</v>
      </c>
      <c r="E132" s="217">
        <v>3000</v>
      </c>
      <c r="F132" s="216" t="s">
        <v>391</v>
      </c>
      <c r="G132" s="491"/>
      <c r="H132" s="491"/>
      <c r="I132" s="491"/>
      <c r="J132" s="499"/>
      <c r="K132" s="500"/>
      <c r="L132" s="499"/>
      <c r="M132" s="500"/>
      <c r="N132" s="499"/>
      <c r="O132" s="500"/>
    </row>
    <row r="133" spans="2:15">
      <c r="B133" s="510"/>
      <c r="C133" s="215" t="s">
        <v>590</v>
      </c>
      <c r="D133" s="216">
        <v>30</v>
      </c>
      <c r="E133" s="217">
        <v>4000</v>
      </c>
      <c r="F133" s="216" t="s">
        <v>391</v>
      </c>
      <c r="G133" s="491"/>
      <c r="H133" s="491"/>
      <c r="I133" s="491"/>
      <c r="J133" s="499"/>
      <c r="K133" s="500"/>
      <c r="L133" s="499"/>
      <c r="M133" s="500"/>
      <c r="N133" s="499"/>
      <c r="O133" s="500"/>
    </row>
    <row r="134" spans="2:15">
      <c r="B134" s="510"/>
      <c r="C134" s="215" t="s">
        <v>591</v>
      </c>
      <c r="D134" s="216">
        <v>50</v>
      </c>
      <c r="E134" s="217">
        <v>5000</v>
      </c>
      <c r="F134" s="216" t="s">
        <v>391</v>
      </c>
      <c r="G134" s="491"/>
      <c r="H134" s="491"/>
      <c r="I134" s="491"/>
      <c r="J134" s="499"/>
      <c r="K134" s="500"/>
      <c r="L134" s="499"/>
      <c r="M134" s="500"/>
      <c r="N134" s="499"/>
      <c r="O134" s="500"/>
    </row>
    <row r="135" spans="2:15">
      <c r="B135" s="510"/>
      <c r="C135" s="215" t="s">
        <v>592</v>
      </c>
      <c r="D135" s="216">
        <v>75</v>
      </c>
      <c r="E135" s="217">
        <v>6000</v>
      </c>
      <c r="F135" s="216" t="s">
        <v>391</v>
      </c>
      <c r="G135" s="491"/>
      <c r="H135" s="491"/>
      <c r="I135" s="491"/>
      <c r="J135" s="499"/>
      <c r="K135" s="500"/>
      <c r="L135" s="499"/>
      <c r="M135" s="500"/>
      <c r="N135" s="499"/>
      <c r="O135" s="500"/>
    </row>
    <row r="136" spans="2:15">
      <c r="B136" s="510"/>
      <c r="C136" s="215" t="s">
        <v>593</v>
      </c>
      <c r="D136" s="216">
        <v>100</v>
      </c>
      <c r="E136" s="217">
        <v>7000</v>
      </c>
      <c r="F136" s="216" t="s">
        <v>391</v>
      </c>
      <c r="G136" s="491"/>
      <c r="H136" s="491"/>
      <c r="I136" s="491"/>
      <c r="J136" s="499"/>
      <c r="K136" s="500"/>
      <c r="L136" s="499"/>
      <c r="M136" s="500"/>
      <c r="N136" s="499"/>
      <c r="O136" s="500"/>
    </row>
    <row r="137" spans="2:15">
      <c r="B137" s="510"/>
      <c r="C137" s="215" t="s">
        <v>594</v>
      </c>
      <c r="D137" s="216">
        <v>150</v>
      </c>
      <c r="E137" s="217">
        <v>8000</v>
      </c>
      <c r="F137" s="216" t="s">
        <v>391</v>
      </c>
      <c r="G137" s="491"/>
      <c r="H137" s="491"/>
      <c r="I137" s="491"/>
      <c r="J137" s="499"/>
      <c r="K137" s="500"/>
      <c r="L137" s="499"/>
      <c r="M137" s="500"/>
      <c r="N137" s="499"/>
      <c r="O137" s="500"/>
    </row>
    <row r="138" spans="2:15">
      <c r="B138" s="510"/>
      <c r="C138" s="215" t="s">
        <v>595</v>
      </c>
      <c r="D138" s="216">
        <v>200</v>
      </c>
      <c r="E138" s="217">
        <v>9000</v>
      </c>
      <c r="F138" s="216" t="s">
        <v>391</v>
      </c>
      <c r="G138" s="491"/>
      <c r="H138" s="491"/>
      <c r="I138" s="491"/>
      <c r="J138" s="499"/>
      <c r="K138" s="500"/>
      <c r="L138" s="499"/>
      <c r="M138" s="500"/>
      <c r="N138" s="499"/>
      <c r="O138" s="500"/>
    </row>
    <row r="139" spans="2:15">
      <c r="B139" s="510"/>
      <c r="C139" s="215" t="s">
        <v>596</v>
      </c>
      <c r="D139" s="216">
        <v>250</v>
      </c>
      <c r="E139" s="217">
        <v>10000</v>
      </c>
      <c r="F139" s="216" t="s">
        <v>391</v>
      </c>
      <c r="G139" s="491"/>
      <c r="H139" s="491"/>
      <c r="I139" s="491"/>
      <c r="J139" s="499"/>
      <c r="K139" s="500"/>
      <c r="L139" s="499"/>
      <c r="M139" s="500"/>
      <c r="N139" s="499"/>
      <c r="O139" s="500"/>
    </row>
    <row r="140" spans="2:15">
      <c r="B140" s="510"/>
      <c r="C140" s="215" t="s">
        <v>597</v>
      </c>
      <c r="D140" s="216">
        <v>300</v>
      </c>
      <c r="E140" s="217">
        <v>11000</v>
      </c>
      <c r="F140" s="216" t="s">
        <v>391</v>
      </c>
      <c r="G140" s="491"/>
      <c r="H140" s="491"/>
      <c r="I140" s="491"/>
      <c r="J140" s="499"/>
      <c r="K140" s="500"/>
      <c r="L140" s="499"/>
      <c r="M140" s="500"/>
      <c r="N140" s="499"/>
      <c r="O140" s="500"/>
    </row>
    <row r="141" spans="2:15">
      <c r="B141" s="510"/>
      <c r="C141" s="215" t="s">
        <v>598</v>
      </c>
      <c r="D141" s="216">
        <v>350</v>
      </c>
      <c r="E141" s="217">
        <v>12000</v>
      </c>
      <c r="F141" s="216" t="s">
        <v>391</v>
      </c>
      <c r="G141" s="491"/>
      <c r="H141" s="491"/>
      <c r="I141" s="491"/>
      <c r="J141" s="499"/>
      <c r="K141" s="500"/>
      <c r="L141" s="499"/>
      <c r="M141" s="500"/>
      <c r="N141" s="499"/>
      <c r="O141" s="500"/>
    </row>
    <row r="142" spans="2:15">
      <c r="B142" s="510"/>
      <c r="C142" s="215" t="s">
        <v>599</v>
      </c>
      <c r="D142" s="216">
        <v>400</v>
      </c>
      <c r="E142" s="228">
        <v>13000</v>
      </c>
      <c r="F142" s="216" t="s">
        <v>391</v>
      </c>
      <c r="G142" s="491"/>
      <c r="H142" s="491"/>
      <c r="I142" s="491"/>
      <c r="J142" s="499"/>
      <c r="K142" s="500"/>
      <c r="L142" s="499"/>
      <c r="M142" s="500"/>
      <c r="N142" s="499"/>
      <c r="O142" s="500"/>
    </row>
    <row r="143" spans="2:15">
      <c r="B143" s="510"/>
      <c r="C143" s="215" t="s">
        <v>600</v>
      </c>
      <c r="D143" s="216">
        <v>450</v>
      </c>
      <c r="E143" s="228">
        <v>14000</v>
      </c>
      <c r="F143" s="216" t="s">
        <v>391</v>
      </c>
      <c r="G143" s="491"/>
      <c r="H143" s="491"/>
      <c r="I143" s="491"/>
      <c r="J143" s="499"/>
      <c r="K143" s="500"/>
      <c r="L143" s="499"/>
      <c r="M143" s="500"/>
      <c r="N143" s="499"/>
      <c r="O143" s="500"/>
    </row>
    <row r="144" spans="2:15">
      <c r="B144" s="510"/>
      <c r="C144" s="215" t="s">
        <v>601</v>
      </c>
      <c r="D144" s="216">
        <v>500</v>
      </c>
      <c r="E144" s="228">
        <v>15000</v>
      </c>
      <c r="F144" s="216" t="s">
        <v>391</v>
      </c>
      <c r="G144" s="491"/>
      <c r="H144" s="491"/>
      <c r="I144" s="491"/>
      <c r="J144" s="499"/>
      <c r="K144" s="500"/>
      <c r="L144" s="499"/>
      <c r="M144" s="500"/>
      <c r="N144" s="499"/>
      <c r="O144" s="500"/>
    </row>
    <row r="145" spans="2:15">
      <c r="B145" s="510"/>
      <c r="C145" s="215" t="s">
        <v>602</v>
      </c>
      <c r="D145" s="216">
        <v>550</v>
      </c>
      <c r="E145" s="228">
        <v>16000</v>
      </c>
      <c r="F145" s="216" t="s">
        <v>391</v>
      </c>
      <c r="G145" s="491"/>
      <c r="H145" s="491"/>
      <c r="I145" s="491"/>
      <c r="J145" s="499"/>
      <c r="K145" s="500"/>
      <c r="L145" s="499"/>
      <c r="M145" s="500"/>
      <c r="N145" s="499"/>
      <c r="O145" s="500"/>
    </row>
    <row r="146" spans="2:15">
      <c r="B146" s="510"/>
      <c r="C146" s="215" t="s">
        <v>603</v>
      </c>
      <c r="D146" s="216">
        <v>600</v>
      </c>
      <c r="E146" s="228">
        <v>17000</v>
      </c>
      <c r="F146" s="216" t="s">
        <v>391</v>
      </c>
      <c r="G146" s="491"/>
      <c r="H146" s="491"/>
      <c r="I146" s="491"/>
      <c r="J146" s="499"/>
      <c r="K146" s="500"/>
      <c r="L146" s="499"/>
      <c r="M146" s="500"/>
      <c r="N146" s="499"/>
      <c r="O146" s="500"/>
    </row>
    <row r="147" spans="2:15">
      <c r="B147" s="510"/>
      <c r="C147" s="215" t="s">
        <v>604</v>
      </c>
      <c r="D147" s="216">
        <v>650</v>
      </c>
      <c r="E147" s="222">
        <v>18000</v>
      </c>
      <c r="F147" s="216" t="s">
        <v>391</v>
      </c>
      <c r="G147" s="491"/>
      <c r="H147" s="491"/>
      <c r="I147" s="491"/>
      <c r="J147" s="499"/>
      <c r="K147" s="500"/>
      <c r="L147" s="499"/>
      <c r="M147" s="500"/>
      <c r="N147" s="499"/>
      <c r="O147" s="500"/>
    </row>
    <row r="148" spans="2:15">
      <c r="B148" s="510"/>
      <c r="C148" s="215" t="s">
        <v>605</v>
      </c>
      <c r="D148" s="216">
        <v>700</v>
      </c>
      <c r="E148" s="222">
        <v>19000</v>
      </c>
      <c r="F148" s="216" t="s">
        <v>391</v>
      </c>
      <c r="G148" s="491"/>
      <c r="H148" s="491"/>
      <c r="I148" s="491"/>
      <c r="J148" s="499"/>
      <c r="K148" s="500"/>
      <c r="L148" s="499"/>
      <c r="M148" s="500"/>
      <c r="N148" s="499"/>
      <c r="O148" s="500"/>
    </row>
    <row r="149" spans="2:15">
      <c r="B149" s="510"/>
      <c r="C149" s="215" t="s">
        <v>606</v>
      </c>
      <c r="D149" s="216">
        <v>750</v>
      </c>
      <c r="E149" s="222">
        <v>20000</v>
      </c>
      <c r="F149" s="216" t="s">
        <v>391</v>
      </c>
      <c r="G149" s="491"/>
      <c r="H149" s="491"/>
      <c r="I149" s="491"/>
      <c r="J149" s="499"/>
      <c r="K149" s="500"/>
      <c r="L149" s="499"/>
      <c r="M149" s="500"/>
      <c r="N149" s="499"/>
      <c r="O149" s="500"/>
    </row>
    <row r="150" spans="2:15">
      <c r="B150" s="510"/>
      <c r="C150" s="215" t="s">
        <v>607</v>
      </c>
      <c r="D150" s="216">
        <v>800</v>
      </c>
      <c r="E150" s="222">
        <v>21000</v>
      </c>
      <c r="F150" s="216" t="s">
        <v>391</v>
      </c>
      <c r="G150" s="491"/>
      <c r="H150" s="491"/>
      <c r="I150" s="491"/>
      <c r="J150" s="499"/>
      <c r="K150" s="500"/>
      <c r="L150" s="499"/>
      <c r="M150" s="500"/>
      <c r="N150" s="499"/>
      <c r="O150" s="500"/>
    </row>
    <row r="151" spans="2:15">
      <c r="B151" s="510"/>
      <c r="C151" s="215" t="s">
        <v>608</v>
      </c>
      <c r="D151" s="216">
        <v>850</v>
      </c>
      <c r="E151" s="229">
        <v>22000</v>
      </c>
      <c r="F151" s="216" t="s">
        <v>391</v>
      </c>
      <c r="G151" s="491"/>
      <c r="H151" s="491"/>
      <c r="I151" s="491"/>
      <c r="J151" s="499"/>
      <c r="K151" s="500"/>
      <c r="L151" s="499"/>
      <c r="M151" s="500"/>
      <c r="N151" s="499"/>
      <c r="O151" s="500"/>
    </row>
    <row r="152" spans="2:15">
      <c r="B152" s="510"/>
      <c r="C152" s="215" t="s">
        <v>609</v>
      </c>
      <c r="D152" s="216">
        <v>900</v>
      </c>
      <c r="E152" s="229">
        <v>23000</v>
      </c>
      <c r="F152" s="216" t="s">
        <v>391</v>
      </c>
      <c r="G152" s="491"/>
      <c r="H152" s="491"/>
      <c r="I152" s="491"/>
      <c r="J152" s="499"/>
      <c r="K152" s="500"/>
      <c r="L152" s="499"/>
      <c r="M152" s="500"/>
      <c r="N152" s="499"/>
      <c r="O152" s="500"/>
    </row>
    <row r="153" spans="2:15">
      <c r="B153" s="510"/>
      <c r="C153" s="215" t="s">
        <v>610</v>
      </c>
      <c r="D153" s="216">
        <v>950</v>
      </c>
      <c r="E153" s="229">
        <v>24000</v>
      </c>
      <c r="F153" s="216" t="s">
        <v>391</v>
      </c>
      <c r="G153" s="491"/>
      <c r="H153" s="491"/>
      <c r="I153" s="491"/>
      <c r="J153" s="499"/>
      <c r="K153" s="500"/>
      <c r="L153" s="499"/>
      <c r="M153" s="500"/>
      <c r="N153" s="499"/>
      <c r="O153" s="500"/>
    </row>
    <row r="154" spans="2:15">
      <c r="B154" s="510"/>
      <c r="C154" s="215" t="s">
        <v>611</v>
      </c>
      <c r="D154" s="216">
        <v>1000</v>
      </c>
      <c r="E154" s="229">
        <v>25000</v>
      </c>
      <c r="F154" s="216" t="s">
        <v>391</v>
      </c>
      <c r="G154" s="491"/>
      <c r="H154" s="491"/>
      <c r="I154" s="491"/>
      <c r="J154" s="499"/>
      <c r="K154" s="500"/>
      <c r="L154" s="499"/>
      <c r="M154" s="500"/>
      <c r="N154" s="499"/>
      <c r="O154" s="500"/>
    </row>
    <row r="155" spans="2:15">
      <c r="B155" s="510"/>
      <c r="C155" s="215" t="s">
        <v>612</v>
      </c>
      <c r="D155" s="216">
        <v>1050</v>
      </c>
      <c r="E155" s="229">
        <v>26000</v>
      </c>
      <c r="F155" s="216" t="s">
        <v>391</v>
      </c>
      <c r="G155" s="491"/>
      <c r="H155" s="491"/>
      <c r="I155" s="491"/>
      <c r="J155" s="499"/>
      <c r="K155" s="500"/>
      <c r="L155" s="499"/>
      <c r="M155" s="500"/>
      <c r="N155" s="499"/>
      <c r="O155" s="500"/>
    </row>
    <row r="156" spans="2:15">
      <c r="B156" s="510"/>
      <c r="C156" s="215" t="s">
        <v>613</v>
      </c>
      <c r="D156" s="216">
        <v>1100</v>
      </c>
      <c r="E156" s="229">
        <v>27000</v>
      </c>
      <c r="F156" s="216" t="s">
        <v>391</v>
      </c>
      <c r="G156" s="491"/>
      <c r="H156" s="491"/>
      <c r="I156" s="491"/>
      <c r="J156" s="499"/>
      <c r="K156" s="500"/>
      <c r="L156" s="499"/>
      <c r="M156" s="500"/>
      <c r="N156" s="499"/>
      <c r="O156" s="500"/>
    </row>
    <row r="157" spans="2:15">
      <c r="B157" s="510"/>
      <c r="C157" s="215" t="s">
        <v>614</v>
      </c>
      <c r="D157" s="216">
        <v>1150</v>
      </c>
      <c r="E157" s="229">
        <v>28000</v>
      </c>
      <c r="F157" s="216" t="s">
        <v>391</v>
      </c>
      <c r="G157" s="491"/>
      <c r="H157" s="491"/>
      <c r="I157" s="491"/>
      <c r="J157" s="499"/>
      <c r="K157" s="500"/>
      <c r="L157" s="499"/>
      <c r="M157" s="500"/>
      <c r="N157" s="499"/>
      <c r="O157" s="500"/>
    </row>
    <row r="158" spans="2:15">
      <c r="B158" s="510"/>
      <c r="C158" s="215" t="s">
        <v>615</v>
      </c>
      <c r="D158" s="216">
        <v>1200</v>
      </c>
      <c r="E158" s="229">
        <v>29000</v>
      </c>
      <c r="F158" s="216" t="s">
        <v>391</v>
      </c>
      <c r="G158" s="491"/>
      <c r="H158" s="491"/>
      <c r="I158" s="491"/>
      <c r="J158" s="499"/>
      <c r="K158" s="500"/>
      <c r="L158" s="499"/>
      <c r="M158" s="500"/>
      <c r="N158" s="499"/>
      <c r="O158" s="500"/>
    </row>
    <row r="159" spans="2:15">
      <c r="B159" s="510"/>
      <c r="C159" s="215" t="s">
        <v>616</v>
      </c>
      <c r="D159" s="216">
        <v>1250</v>
      </c>
      <c r="E159" s="229">
        <v>30000</v>
      </c>
      <c r="F159" s="216" t="s">
        <v>391</v>
      </c>
      <c r="G159" s="491"/>
      <c r="H159" s="491"/>
      <c r="I159" s="491"/>
      <c r="J159" s="499"/>
      <c r="K159" s="500"/>
      <c r="L159" s="499"/>
      <c r="M159" s="500"/>
      <c r="N159" s="499"/>
      <c r="O159" s="500"/>
    </row>
    <row r="160" spans="2:15">
      <c r="B160" s="510"/>
      <c r="C160" s="215" t="s">
        <v>617</v>
      </c>
      <c r="D160" s="216">
        <v>1300</v>
      </c>
      <c r="E160" s="229">
        <v>31000</v>
      </c>
      <c r="F160" s="216" t="s">
        <v>391</v>
      </c>
      <c r="G160" s="491"/>
      <c r="H160" s="491"/>
      <c r="I160" s="491"/>
      <c r="J160" s="499"/>
      <c r="K160" s="500"/>
      <c r="L160" s="499"/>
      <c r="M160" s="500"/>
      <c r="N160" s="499"/>
      <c r="O160" s="500"/>
    </row>
    <row r="161" spans="2:15">
      <c r="B161" s="510"/>
      <c r="C161" s="215" t="s">
        <v>618</v>
      </c>
      <c r="D161" s="216">
        <v>1350</v>
      </c>
      <c r="E161" s="229">
        <v>32000</v>
      </c>
      <c r="F161" s="216" t="s">
        <v>391</v>
      </c>
      <c r="G161" s="491"/>
      <c r="H161" s="491"/>
      <c r="I161" s="491"/>
      <c r="J161" s="499"/>
      <c r="K161" s="500"/>
      <c r="L161" s="499"/>
      <c r="M161" s="500"/>
      <c r="N161" s="499"/>
      <c r="O161" s="500"/>
    </row>
    <row r="162" spans="2:15">
      <c r="B162" s="510"/>
      <c r="C162" s="215" t="s">
        <v>619</v>
      </c>
      <c r="D162" s="216">
        <v>1400</v>
      </c>
      <c r="E162" s="229">
        <v>33000</v>
      </c>
      <c r="F162" s="216" t="s">
        <v>391</v>
      </c>
      <c r="G162" s="491"/>
      <c r="H162" s="491"/>
      <c r="I162" s="491"/>
      <c r="J162" s="499"/>
      <c r="K162" s="500"/>
      <c r="L162" s="499"/>
      <c r="M162" s="500"/>
      <c r="N162" s="499"/>
      <c r="O162" s="500"/>
    </row>
    <row r="163" spans="2:15">
      <c r="B163" s="510"/>
      <c r="C163" s="215" t="s">
        <v>620</v>
      </c>
      <c r="D163" s="216">
        <v>1450</v>
      </c>
      <c r="E163" s="229">
        <v>34000</v>
      </c>
      <c r="F163" s="216" t="s">
        <v>391</v>
      </c>
      <c r="G163" s="491"/>
      <c r="H163" s="491"/>
      <c r="I163" s="491"/>
      <c r="J163" s="499"/>
      <c r="K163" s="500"/>
      <c r="L163" s="499"/>
      <c r="M163" s="500"/>
      <c r="N163" s="499"/>
      <c r="O163" s="500"/>
    </row>
    <row r="164" spans="2:15">
      <c r="B164" s="510"/>
      <c r="C164" s="215" t="s">
        <v>621</v>
      </c>
      <c r="D164" s="216">
        <v>1500</v>
      </c>
      <c r="E164" s="229">
        <v>35000</v>
      </c>
      <c r="F164" s="216" t="s">
        <v>391</v>
      </c>
      <c r="G164" s="491"/>
      <c r="H164" s="491"/>
      <c r="I164" s="491"/>
      <c r="J164" s="499"/>
      <c r="K164" s="500"/>
      <c r="L164" s="499"/>
      <c r="M164" s="500"/>
      <c r="N164" s="499"/>
      <c r="O164" s="500"/>
    </row>
    <row r="165" spans="2:15">
      <c r="B165" s="510"/>
      <c r="C165" s="215" t="s">
        <v>622</v>
      </c>
      <c r="D165" s="216">
        <v>1550</v>
      </c>
      <c r="E165" s="229">
        <v>36000</v>
      </c>
      <c r="F165" s="216" t="s">
        <v>391</v>
      </c>
      <c r="G165" s="491"/>
      <c r="H165" s="491"/>
      <c r="I165" s="491"/>
      <c r="J165" s="499"/>
      <c r="K165" s="500"/>
      <c r="L165" s="499"/>
      <c r="M165" s="500"/>
      <c r="N165" s="499"/>
      <c r="O165" s="500"/>
    </row>
    <row r="166" spans="2:15">
      <c r="B166" s="510"/>
      <c r="C166" s="215" t="s">
        <v>623</v>
      </c>
      <c r="D166" s="216">
        <v>1600</v>
      </c>
      <c r="E166" s="229">
        <v>37000</v>
      </c>
      <c r="F166" s="216" t="s">
        <v>391</v>
      </c>
      <c r="G166" s="491"/>
      <c r="H166" s="491"/>
      <c r="I166" s="491"/>
      <c r="J166" s="499"/>
      <c r="K166" s="500"/>
      <c r="L166" s="499"/>
      <c r="M166" s="500"/>
      <c r="N166" s="499"/>
      <c r="O166" s="500"/>
    </row>
    <row r="167" spans="2:15">
      <c r="B167" s="510"/>
      <c r="C167" s="215" t="s">
        <v>624</v>
      </c>
      <c r="D167" s="216">
        <v>1650</v>
      </c>
      <c r="E167" s="229">
        <v>38000</v>
      </c>
      <c r="F167" s="216" t="s">
        <v>391</v>
      </c>
      <c r="G167" s="491"/>
      <c r="H167" s="491"/>
      <c r="I167" s="491"/>
      <c r="J167" s="499"/>
      <c r="K167" s="500"/>
      <c r="L167" s="499"/>
      <c r="M167" s="500"/>
      <c r="N167" s="499"/>
      <c r="O167" s="500"/>
    </row>
    <row r="168" spans="2:15">
      <c r="B168" s="510"/>
      <c r="C168" s="215" t="s">
        <v>625</v>
      </c>
      <c r="D168" s="216">
        <v>1700</v>
      </c>
      <c r="E168" s="229">
        <v>39000</v>
      </c>
      <c r="F168" s="216" t="s">
        <v>391</v>
      </c>
      <c r="G168" s="491"/>
      <c r="H168" s="491"/>
      <c r="I168" s="491"/>
      <c r="J168" s="499"/>
      <c r="K168" s="500"/>
      <c r="L168" s="499"/>
      <c r="M168" s="500"/>
      <c r="N168" s="499"/>
      <c r="O168" s="500"/>
    </row>
    <row r="169" spans="2:15">
      <c r="B169" s="510"/>
      <c r="C169" s="215" t="s">
        <v>626</v>
      </c>
      <c r="D169" s="216">
        <v>1750</v>
      </c>
      <c r="E169" s="229">
        <v>40000</v>
      </c>
      <c r="F169" s="216" t="s">
        <v>391</v>
      </c>
      <c r="G169" s="491"/>
      <c r="H169" s="491"/>
      <c r="I169" s="491"/>
      <c r="J169" s="499"/>
      <c r="K169" s="500"/>
      <c r="L169" s="499"/>
      <c r="M169" s="500"/>
      <c r="N169" s="499"/>
      <c r="O169" s="500"/>
    </row>
    <row r="170" spans="2:15">
      <c r="B170" s="510"/>
      <c r="C170" s="215" t="s">
        <v>627</v>
      </c>
      <c r="D170" s="216">
        <v>1800</v>
      </c>
      <c r="E170" s="229">
        <v>41000</v>
      </c>
      <c r="F170" s="216" t="s">
        <v>391</v>
      </c>
      <c r="G170" s="491"/>
      <c r="H170" s="491"/>
      <c r="I170" s="491"/>
      <c r="J170" s="499"/>
      <c r="K170" s="500"/>
      <c r="L170" s="499"/>
      <c r="M170" s="500"/>
      <c r="N170" s="499"/>
      <c r="O170" s="500"/>
    </row>
    <row r="171" spans="2:15">
      <c r="B171" s="510"/>
      <c r="C171" s="215" t="s">
        <v>628</v>
      </c>
      <c r="D171" s="216">
        <v>1850</v>
      </c>
      <c r="E171" s="229">
        <v>42000</v>
      </c>
      <c r="F171" s="216" t="s">
        <v>391</v>
      </c>
      <c r="G171" s="491"/>
      <c r="H171" s="491"/>
      <c r="I171" s="491"/>
      <c r="J171" s="499"/>
      <c r="K171" s="500"/>
      <c r="L171" s="499"/>
      <c r="M171" s="500"/>
      <c r="N171" s="499"/>
      <c r="O171" s="500"/>
    </row>
    <row r="172" spans="2:15">
      <c r="B172" s="510"/>
      <c r="C172" s="215" t="s">
        <v>629</v>
      </c>
      <c r="D172" s="216">
        <v>1900</v>
      </c>
      <c r="E172" s="229">
        <v>43000</v>
      </c>
      <c r="F172" s="216" t="s">
        <v>391</v>
      </c>
      <c r="G172" s="491"/>
      <c r="H172" s="491"/>
      <c r="I172" s="491"/>
      <c r="J172" s="499"/>
      <c r="K172" s="500"/>
      <c r="L172" s="499"/>
      <c r="M172" s="500"/>
      <c r="N172" s="499"/>
      <c r="O172" s="500"/>
    </row>
    <row r="173" spans="2:15">
      <c r="B173" s="510"/>
      <c r="C173" s="215" t="s">
        <v>630</v>
      </c>
      <c r="D173" s="216">
        <v>1950</v>
      </c>
      <c r="E173" s="229">
        <v>44000</v>
      </c>
      <c r="F173" s="216" t="s">
        <v>391</v>
      </c>
      <c r="G173" s="491"/>
      <c r="H173" s="491"/>
      <c r="I173" s="491"/>
      <c r="J173" s="499"/>
      <c r="K173" s="500"/>
      <c r="L173" s="499"/>
      <c r="M173" s="500"/>
      <c r="N173" s="499"/>
      <c r="O173" s="500"/>
    </row>
    <row r="174" spans="2:15">
      <c r="B174" s="510"/>
      <c r="C174" s="215" t="s">
        <v>631</v>
      </c>
      <c r="D174" s="216">
        <v>2000</v>
      </c>
      <c r="E174" s="229">
        <v>45000</v>
      </c>
      <c r="F174" s="216" t="s">
        <v>391</v>
      </c>
      <c r="G174" s="491"/>
      <c r="H174" s="491"/>
      <c r="I174" s="491"/>
      <c r="J174" s="499"/>
      <c r="K174" s="500"/>
      <c r="L174" s="499"/>
      <c r="M174" s="500"/>
      <c r="N174" s="499"/>
      <c r="O174" s="500"/>
    </row>
    <row r="175" spans="2:15">
      <c r="B175" s="510"/>
      <c r="C175" s="215" t="s">
        <v>632</v>
      </c>
      <c r="D175" s="216">
        <v>2050</v>
      </c>
      <c r="E175" s="229">
        <v>46000</v>
      </c>
      <c r="F175" s="216" t="s">
        <v>391</v>
      </c>
      <c r="G175" s="491"/>
      <c r="H175" s="491"/>
      <c r="I175" s="491"/>
      <c r="J175" s="499"/>
      <c r="K175" s="500"/>
      <c r="L175" s="499"/>
      <c r="M175" s="500"/>
      <c r="N175" s="499"/>
      <c r="O175" s="500"/>
    </row>
    <row r="176" spans="2:15">
      <c r="B176" s="510"/>
      <c r="C176" s="215" t="s">
        <v>633</v>
      </c>
      <c r="D176" s="216">
        <v>2100</v>
      </c>
      <c r="E176" s="229">
        <v>47000</v>
      </c>
      <c r="F176" s="216" t="s">
        <v>391</v>
      </c>
      <c r="G176" s="491"/>
      <c r="H176" s="491"/>
      <c r="I176" s="491"/>
      <c r="J176" s="499"/>
      <c r="K176" s="500"/>
      <c r="L176" s="499"/>
      <c r="M176" s="500"/>
      <c r="N176" s="499"/>
      <c r="O176" s="500"/>
    </row>
    <row r="177" spans="2:15">
      <c r="B177" s="510"/>
      <c r="C177" s="215" t="s">
        <v>634</v>
      </c>
      <c r="D177" s="216">
        <v>2150</v>
      </c>
      <c r="E177" s="229">
        <v>48000</v>
      </c>
      <c r="F177" s="216" t="s">
        <v>391</v>
      </c>
      <c r="G177" s="491"/>
      <c r="H177" s="491"/>
      <c r="I177" s="491"/>
      <c r="J177" s="499"/>
      <c r="K177" s="500"/>
      <c r="L177" s="499"/>
      <c r="M177" s="500"/>
      <c r="N177" s="499"/>
      <c r="O177" s="500"/>
    </row>
    <row r="178" spans="2:15">
      <c r="B178" s="510"/>
      <c r="C178" s="215" t="s">
        <v>635</v>
      </c>
      <c r="D178" s="216">
        <v>2200</v>
      </c>
      <c r="E178" s="229">
        <v>49000</v>
      </c>
      <c r="F178" s="216" t="s">
        <v>391</v>
      </c>
      <c r="G178" s="491"/>
      <c r="H178" s="491"/>
      <c r="I178" s="491"/>
      <c r="J178" s="499"/>
      <c r="K178" s="500"/>
      <c r="L178" s="499"/>
      <c r="M178" s="500"/>
      <c r="N178" s="499"/>
      <c r="O178" s="500"/>
    </row>
    <row r="179" spans="2:15">
      <c r="B179" s="510"/>
      <c r="C179" s="215" t="s">
        <v>636</v>
      </c>
      <c r="D179" s="216">
        <v>2250</v>
      </c>
      <c r="E179" s="229">
        <v>50000</v>
      </c>
      <c r="F179" s="216" t="s">
        <v>391</v>
      </c>
      <c r="G179" s="491"/>
      <c r="H179" s="491"/>
      <c r="I179" s="491"/>
      <c r="J179" s="499"/>
      <c r="K179" s="500"/>
      <c r="L179" s="499"/>
      <c r="M179" s="500"/>
      <c r="N179" s="499"/>
      <c r="O179" s="500"/>
    </row>
    <row r="180" spans="2:15">
      <c r="B180" s="510"/>
      <c r="C180" s="215" t="s">
        <v>637</v>
      </c>
      <c r="D180" s="216">
        <v>2300</v>
      </c>
      <c r="E180" s="229">
        <v>51000</v>
      </c>
      <c r="F180" s="216" t="s">
        <v>391</v>
      </c>
      <c r="G180" s="491"/>
      <c r="H180" s="491"/>
      <c r="I180" s="491"/>
      <c r="J180" s="499"/>
      <c r="K180" s="500"/>
      <c r="L180" s="499"/>
      <c r="M180" s="500"/>
      <c r="N180" s="499"/>
      <c r="O180" s="500"/>
    </row>
    <row r="181" spans="2:15">
      <c r="B181" s="510"/>
      <c r="C181" s="215" t="s">
        <v>638</v>
      </c>
      <c r="D181" s="216">
        <v>2350</v>
      </c>
      <c r="E181" s="229">
        <v>52000</v>
      </c>
      <c r="F181" s="216" t="s">
        <v>391</v>
      </c>
      <c r="G181" s="491"/>
      <c r="H181" s="491"/>
      <c r="I181" s="491"/>
      <c r="J181" s="499"/>
      <c r="K181" s="500"/>
      <c r="L181" s="499"/>
      <c r="M181" s="500"/>
      <c r="N181" s="499"/>
      <c r="O181" s="500"/>
    </row>
    <row r="182" spans="2:15">
      <c r="B182" s="510"/>
      <c r="C182" s="215" t="s">
        <v>639</v>
      </c>
      <c r="D182" s="216">
        <v>2400</v>
      </c>
      <c r="E182" s="229">
        <v>53000</v>
      </c>
      <c r="F182" s="216" t="s">
        <v>391</v>
      </c>
      <c r="G182" s="491"/>
      <c r="H182" s="491"/>
      <c r="I182" s="491"/>
      <c r="J182" s="499"/>
      <c r="K182" s="500"/>
      <c r="L182" s="499"/>
      <c r="M182" s="500"/>
      <c r="N182" s="499"/>
      <c r="O182" s="500"/>
    </row>
    <row r="183" spans="2:15">
      <c r="B183" s="510"/>
      <c r="C183" s="212" t="s">
        <v>640</v>
      </c>
      <c r="D183" s="213">
        <v>1</v>
      </c>
      <c r="E183" s="213">
        <v>5000</v>
      </c>
      <c r="F183" s="213" t="s">
        <v>391</v>
      </c>
      <c r="G183" s="490">
        <f>SUM(E183:E184)</f>
        <v>15000</v>
      </c>
      <c r="H183" s="490">
        <f>SUM(E183:E184)</f>
        <v>15000</v>
      </c>
      <c r="I183" s="490">
        <f>SUM(E183:E184)</f>
        <v>15000</v>
      </c>
      <c r="J183" s="499"/>
      <c r="K183" s="500"/>
      <c r="L183" s="499"/>
      <c r="M183" s="500"/>
      <c r="N183" s="499"/>
      <c r="O183" s="500"/>
    </row>
    <row r="184" spans="2:15">
      <c r="B184" s="510"/>
      <c r="C184" s="212" t="s">
        <v>1172</v>
      </c>
      <c r="D184" s="213">
        <v>3</v>
      </c>
      <c r="E184" s="214">
        <v>10000</v>
      </c>
      <c r="F184" s="213" t="s">
        <v>391</v>
      </c>
      <c r="G184" s="490"/>
      <c r="H184" s="490"/>
      <c r="I184" s="490"/>
      <c r="J184" s="499"/>
      <c r="K184" s="500"/>
      <c r="L184" s="499"/>
      <c r="M184" s="500"/>
      <c r="N184" s="499"/>
      <c r="O184" s="500"/>
    </row>
    <row r="185" spans="2:15">
      <c r="B185" s="510"/>
      <c r="C185" s="218" t="s">
        <v>641</v>
      </c>
      <c r="D185" s="219">
        <v>1</v>
      </c>
      <c r="E185" s="219">
        <v>10</v>
      </c>
      <c r="F185" s="219" t="s">
        <v>393</v>
      </c>
      <c r="G185" s="491">
        <f>SUM(E185:E191)</f>
        <v>325</v>
      </c>
      <c r="H185" s="491">
        <f>SUM(E185:E191)</f>
        <v>325</v>
      </c>
      <c r="I185" s="491">
        <f>SUM(E185:E191)</f>
        <v>325</v>
      </c>
      <c r="J185" s="499"/>
      <c r="K185" s="500"/>
      <c r="L185" s="499"/>
      <c r="M185" s="500"/>
      <c r="N185" s="499"/>
      <c r="O185" s="500"/>
    </row>
    <row r="186" spans="2:15">
      <c r="B186" s="510"/>
      <c r="C186" s="218" t="s">
        <v>642</v>
      </c>
      <c r="D186" s="219">
        <v>3</v>
      </c>
      <c r="E186" s="219">
        <v>20</v>
      </c>
      <c r="F186" s="219" t="s">
        <v>393</v>
      </c>
      <c r="G186" s="491"/>
      <c r="H186" s="491"/>
      <c r="I186" s="491"/>
      <c r="J186" s="499"/>
      <c r="K186" s="500"/>
      <c r="L186" s="499"/>
      <c r="M186" s="500"/>
      <c r="N186" s="499"/>
      <c r="O186" s="500"/>
    </row>
    <row r="187" spans="2:15">
      <c r="B187" s="510"/>
      <c r="C187" s="218" t="s">
        <v>643</v>
      </c>
      <c r="D187" s="219">
        <v>5</v>
      </c>
      <c r="E187" s="219">
        <v>30</v>
      </c>
      <c r="F187" s="219" t="s">
        <v>393</v>
      </c>
      <c r="G187" s="491"/>
      <c r="H187" s="491"/>
      <c r="I187" s="491"/>
      <c r="J187" s="499"/>
      <c r="K187" s="500"/>
      <c r="L187" s="499"/>
      <c r="M187" s="500"/>
      <c r="N187" s="499"/>
      <c r="O187" s="500"/>
    </row>
    <row r="188" spans="2:15">
      <c r="B188" s="510"/>
      <c r="C188" s="218" t="s">
        <v>644</v>
      </c>
      <c r="D188" s="219">
        <v>7</v>
      </c>
      <c r="E188" s="219">
        <v>40</v>
      </c>
      <c r="F188" s="219" t="s">
        <v>393</v>
      </c>
      <c r="G188" s="491"/>
      <c r="H188" s="491"/>
      <c r="I188" s="491"/>
      <c r="J188" s="499"/>
      <c r="K188" s="500"/>
      <c r="L188" s="499"/>
      <c r="M188" s="500"/>
      <c r="N188" s="499"/>
      <c r="O188" s="500"/>
    </row>
    <row r="189" spans="2:15">
      <c r="B189" s="510"/>
      <c r="C189" s="218" t="s">
        <v>645</v>
      </c>
      <c r="D189" s="219">
        <v>10</v>
      </c>
      <c r="E189" s="219">
        <v>50</v>
      </c>
      <c r="F189" s="219" t="s">
        <v>393</v>
      </c>
      <c r="G189" s="491"/>
      <c r="H189" s="491"/>
      <c r="I189" s="491"/>
      <c r="J189" s="499"/>
      <c r="K189" s="500"/>
      <c r="L189" s="499"/>
      <c r="M189" s="500"/>
      <c r="N189" s="499"/>
      <c r="O189" s="500"/>
    </row>
    <row r="190" spans="2:15">
      <c r="B190" s="510"/>
      <c r="C190" s="218" t="s">
        <v>646</v>
      </c>
      <c r="D190" s="219">
        <v>12</v>
      </c>
      <c r="E190" s="219">
        <v>75</v>
      </c>
      <c r="F190" s="219" t="s">
        <v>393</v>
      </c>
      <c r="G190" s="491"/>
      <c r="H190" s="491"/>
      <c r="I190" s="491"/>
      <c r="J190" s="499"/>
      <c r="K190" s="500"/>
      <c r="L190" s="499"/>
      <c r="M190" s="500"/>
      <c r="N190" s="499"/>
      <c r="O190" s="500"/>
    </row>
    <row r="191" spans="2:15">
      <c r="B191" s="510"/>
      <c r="C191" s="218" t="s">
        <v>647</v>
      </c>
      <c r="D191" s="219">
        <v>15</v>
      </c>
      <c r="E191" s="219">
        <v>100</v>
      </c>
      <c r="F191" s="219" t="s">
        <v>393</v>
      </c>
      <c r="G191" s="491"/>
      <c r="H191" s="491"/>
      <c r="I191" s="491"/>
      <c r="J191" s="499"/>
      <c r="K191" s="500"/>
      <c r="L191" s="499"/>
      <c r="M191" s="500"/>
      <c r="N191" s="499"/>
      <c r="O191" s="500"/>
    </row>
    <row r="192" spans="2:15">
      <c r="B192" s="510"/>
      <c r="C192" s="212" t="s">
        <v>648</v>
      </c>
      <c r="D192" s="213">
        <v>1</v>
      </c>
      <c r="E192" s="213">
        <v>2000</v>
      </c>
      <c r="F192" s="213" t="s">
        <v>391</v>
      </c>
      <c r="G192" s="490">
        <f>SUM(E192:E196)</f>
        <v>30000</v>
      </c>
      <c r="H192" s="490">
        <f>SUM(E192:E200)</f>
        <v>120000</v>
      </c>
      <c r="I192" s="490">
        <f>SUM(E192:E205)</f>
        <v>510000</v>
      </c>
      <c r="J192" s="499"/>
      <c r="K192" s="500"/>
      <c r="L192" s="499"/>
      <c r="M192" s="500"/>
      <c r="N192" s="499"/>
      <c r="O192" s="500"/>
    </row>
    <row r="193" spans="2:15">
      <c r="B193" s="510"/>
      <c r="C193" s="212" t="s">
        <v>649</v>
      </c>
      <c r="D193" s="213">
        <v>5</v>
      </c>
      <c r="E193" s="214">
        <v>4000</v>
      </c>
      <c r="F193" s="213" t="s">
        <v>391</v>
      </c>
      <c r="G193" s="490"/>
      <c r="H193" s="490"/>
      <c r="I193" s="490"/>
      <c r="J193" s="499"/>
      <c r="K193" s="500"/>
      <c r="L193" s="499"/>
      <c r="M193" s="500"/>
      <c r="N193" s="499"/>
      <c r="O193" s="500"/>
    </row>
    <row r="194" spans="2:15">
      <c r="B194" s="510"/>
      <c r="C194" s="212" t="s">
        <v>650</v>
      </c>
      <c r="D194" s="213">
        <v>10</v>
      </c>
      <c r="E194" s="214">
        <v>6000</v>
      </c>
      <c r="F194" s="213" t="s">
        <v>391</v>
      </c>
      <c r="G194" s="490"/>
      <c r="H194" s="490"/>
      <c r="I194" s="490"/>
      <c r="J194" s="499"/>
      <c r="K194" s="500"/>
      <c r="L194" s="499"/>
      <c r="M194" s="500"/>
      <c r="N194" s="499"/>
      <c r="O194" s="500"/>
    </row>
    <row r="195" spans="2:15">
      <c r="B195" s="510"/>
      <c r="C195" s="212" t="s">
        <v>651</v>
      </c>
      <c r="D195" s="213">
        <v>20</v>
      </c>
      <c r="E195" s="214">
        <v>8000</v>
      </c>
      <c r="F195" s="213" t="s">
        <v>391</v>
      </c>
      <c r="G195" s="490"/>
      <c r="H195" s="490"/>
      <c r="I195" s="490"/>
      <c r="J195" s="499"/>
      <c r="K195" s="500"/>
      <c r="L195" s="499"/>
      <c r="M195" s="500"/>
      <c r="N195" s="499"/>
      <c r="O195" s="500"/>
    </row>
    <row r="196" spans="2:15">
      <c r="B196" s="510"/>
      <c r="C196" s="212" t="s">
        <v>652</v>
      </c>
      <c r="D196" s="213">
        <v>30</v>
      </c>
      <c r="E196" s="214">
        <v>10000</v>
      </c>
      <c r="F196" s="213" t="s">
        <v>391</v>
      </c>
      <c r="G196" s="490"/>
      <c r="H196" s="490"/>
      <c r="I196" s="490"/>
      <c r="J196" s="499"/>
      <c r="K196" s="500"/>
      <c r="L196" s="499"/>
      <c r="M196" s="500"/>
      <c r="N196" s="499"/>
      <c r="O196" s="500"/>
    </row>
    <row r="197" spans="2:15">
      <c r="B197" s="510"/>
      <c r="C197" s="212" t="s">
        <v>653</v>
      </c>
      <c r="D197" s="213">
        <v>40</v>
      </c>
      <c r="E197" s="228">
        <v>15000</v>
      </c>
      <c r="F197" s="213" t="s">
        <v>391</v>
      </c>
      <c r="G197" s="490"/>
      <c r="H197" s="490"/>
      <c r="I197" s="490"/>
      <c r="J197" s="499"/>
      <c r="K197" s="500"/>
      <c r="L197" s="499"/>
      <c r="M197" s="500"/>
      <c r="N197" s="499"/>
      <c r="O197" s="500"/>
    </row>
    <row r="198" spans="2:15">
      <c r="B198" s="510"/>
      <c r="C198" s="212" t="s">
        <v>654</v>
      </c>
      <c r="D198" s="213">
        <v>50</v>
      </c>
      <c r="E198" s="228">
        <v>20000</v>
      </c>
      <c r="F198" s="213" t="s">
        <v>391</v>
      </c>
      <c r="G198" s="490"/>
      <c r="H198" s="490"/>
      <c r="I198" s="490"/>
      <c r="J198" s="499"/>
      <c r="K198" s="500"/>
      <c r="L198" s="499"/>
      <c r="M198" s="500"/>
      <c r="N198" s="499"/>
      <c r="O198" s="500"/>
    </row>
    <row r="199" spans="2:15">
      <c r="B199" s="510"/>
      <c r="C199" s="212" t="s">
        <v>655</v>
      </c>
      <c r="D199" s="213">
        <v>60</v>
      </c>
      <c r="E199" s="228">
        <v>25000</v>
      </c>
      <c r="F199" s="213" t="s">
        <v>391</v>
      </c>
      <c r="G199" s="490"/>
      <c r="H199" s="490"/>
      <c r="I199" s="490"/>
      <c r="J199" s="499"/>
      <c r="K199" s="500"/>
      <c r="L199" s="499"/>
      <c r="M199" s="500"/>
      <c r="N199" s="499"/>
      <c r="O199" s="500"/>
    </row>
    <row r="200" spans="2:15">
      <c r="B200" s="510"/>
      <c r="C200" s="212" t="s">
        <v>656</v>
      </c>
      <c r="D200" s="213">
        <v>70</v>
      </c>
      <c r="E200" s="228">
        <v>30000</v>
      </c>
      <c r="F200" s="213" t="s">
        <v>391</v>
      </c>
      <c r="G200" s="490"/>
      <c r="H200" s="490"/>
      <c r="I200" s="490"/>
      <c r="J200" s="499"/>
      <c r="K200" s="500"/>
      <c r="L200" s="499"/>
      <c r="M200" s="500"/>
      <c r="N200" s="499"/>
      <c r="O200" s="500"/>
    </row>
    <row r="201" spans="2:15">
      <c r="B201" s="510"/>
      <c r="C201" s="212" t="s">
        <v>657</v>
      </c>
      <c r="D201" s="213">
        <v>80</v>
      </c>
      <c r="E201" s="222">
        <v>40000</v>
      </c>
      <c r="F201" s="213" t="s">
        <v>391</v>
      </c>
      <c r="G201" s="490"/>
      <c r="H201" s="490"/>
      <c r="I201" s="490"/>
      <c r="J201" s="499"/>
      <c r="K201" s="500"/>
      <c r="L201" s="499"/>
      <c r="M201" s="500"/>
      <c r="N201" s="499"/>
      <c r="O201" s="500"/>
    </row>
    <row r="202" spans="2:15">
      <c r="B202" s="510"/>
      <c r="C202" s="212" t="s">
        <v>658</v>
      </c>
      <c r="D202" s="213">
        <v>90</v>
      </c>
      <c r="E202" s="222">
        <v>50000</v>
      </c>
      <c r="F202" s="213" t="s">
        <v>391</v>
      </c>
      <c r="G202" s="490"/>
      <c r="H202" s="490"/>
      <c r="I202" s="490"/>
      <c r="J202" s="499"/>
      <c r="K202" s="500"/>
      <c r="L202" s="499"/>
      <c r="M202" s="500"/>
      <c r="N202" s="499"/>
      <c r="O202" s="500"/>
    </row>
    <row r="203" spans="2:15">
      <c r="B203" s="510"/>
      <c r="C203" s="212" t="s">
        <v>659</v>
      </c>
      <c r="D203" s="213">
        <v>100</v>
      </c>
      <c r="E203" s="222">
        <v>75000</v>
      </c>
      <c r="F203" s="213" t="s">
        <v>391</v>
      </c>
      <c r="G203" s="490"/>
      <c r="H203" s="490"/>
      <c r="I203" s="490"/>
      <c r="J203" s="499"/>
      <c r="K203" s="500"/>
      <c r="L203" s="499"/>
      <c r="M203" s="500"/>
      <c r="N203" s="499"/>
      <c r="O203" s="500"/>
    </row>
    <row r="204" spans="2:15">
      <c r="B204" s="510"/>
      <c r="C204" s="212" t="s">
        <v>660</v>
      </c>
      <c r="D204" s="213">
        <v>110</v>
      </c>
      <c r="E204" s="222">
        <v>100000</v>
      </c>
      <c r="F204" s="213" t="s">
        <v>391</v>
      </c>
      <c r="G204" s="490"/>
      <c r="H204" s="490"/>
      <c r="I204" s="490"/>
      <c r="J204" s="499"/>
      <c r="K204" s="500"/>
      <c r="L204" s="499"/>
      <c r="M204" s="500"/>
      <c r="N204" s="499"/>
      <c r="O204" s="500"/>
    </row>
    <row r="205" spans="2:15">
      <c r="B205" s="510"/>
      <c r="C205" s="212" t="s">
        <v>661</v>
      </c>
      <c r="D205" s="213">
        <v>120</v>
      </c>
      <c r="E205" s="222">
        <v>125000</v>
      </c>
      <c r="F205" s="213" t="s">
        <v>391</v>
      </c>
      <c r="G205" s="490"/>
      <c r="H205" s="490"/>
      <c r="I205" s="490"/>
      <c r="J205" s="499"/>
      <c r="K205" s="500"/>
      <c r="L205" s="499"/>
      <c r="M205" s="500"/>
      <c r="N205" s="499"/>
      <c r="O205" s="500"/>
    </row>
    <row r="206" spans="2:15">
      <c r="B206" s="510"/>
      <c r="C206" s="212" t="s">
        <v>662</v>
      </c>
      <c r="D206" s="213">
        <v>130</v>
      </c>
      <c r="E206" s="229">
        <v>150000</v>
      </c>
      <c r="F206" s="213" t="s">
        <v>391</v>
      </c>
      <c r="G206" s="490"/>
      <c r="H206" s="490"/>
      <c r="I206" s="490"/>
      <c r="J206" s="499"/>
      <c r="K206" s="500"/>
      <c r="L206" s="499"/>
      <c r="M206" s="500"/>
      <c r="N206" s="499"/>
      <c r="O206" s="500"/>
    </row>
    <row r="207" spans="2:15">
      <c r="B207" s="510"/>
      <c r="C207" s="212" t="s">
        <v>663</v>
      </c>
      <c r="D207" s="213">
        <v>140</v>
      </c>
      <c r="E207" s="229">
        <v>175000</v>
      </c>
      <c r="F207" s="213" t="s">
        <v>391</v>
      </c>
      <c r="G207" s="490"/>
      <c r="H207" s="490"/>
      <c r="I207" s="490"/>
      <c r="J207" s="499"/>
      <c r="K207" s="500"/>
      <c r="L207" s="499"/>
      <c r="M207" s="500"/>
      <c r="N207" s="499"/>
      <c r="O207" s="500"/>
    </row>
    <row r="208" spans="2:15">
      <c r="B208" s="510"/>
      <c r="C208" s="212" t="s">
        <v>664</v>
      </c>
      <c r="D208" s="213">
        <v>150</v>
      </c>
      <c r="E208" s="229">
        <v>200000</v>
      </c>
      <c r="F208" s="213" t="s">
        <v>391</v>
      </c>
      <c r="G208" s="490"/>
      <c r="H208" s="490"/>
      <c r="I208" s="490"/>
      <c r="J208" s="499"/>
      <c r="K208" s="500"/>
      <c r="L208" s="499"/>
      <c r="M208" s="500"/>
      <c r="N208" s="499"/>
      <c r="O208" s="500"/>
    </row>
    <row r="209" spans="2:15">
      <c r="B209" s="510"/>
      <c r="C209" s="212" t="s">
        <v>665</v>
      </c>
      <c r="D209" s="213">
        <v>160</v>
      </c>
      <c r="E209" s="229">
        <v>225000</v>
      </c>
      <c r="F209" s="213" t="s">
        <v>391</v>
      </c>
      <c r="G209" s="490"/>
      <c r="H209" s="490"/>
      <c r="I209" s="490"/>
      <c r="J209" s="499"/>
      <c r="K209" s="500"/>
      <c r="L209" s="499"/>
      <c r="M209" s="500"/>
      <c r="N209" s="499"/>
      <c r="O209" s="500"/>
    </row>
    <row r="210" spans="2:15">
      <c r="B210" s="510"/>
      <c r="C210" s="212" t="s">
        <v>666</v>
      </c>
      <c r="D210" s="213">
        <v>170</v>
      </c>
      <c r="E210" s="229">
        <v>250000</v>
      </c>
      <c r="F210" s="213" t="s">
        <v>391</v>
      </c>
      <c r="G210" s="490"/>
      <c r="H210" s="490"/>
      <c r="I210" s="490"/>
      <c r="J210" s="499"/>
      <c r="K210" s="500"/>
      <c r="L210" s="499"/>
      <c r="M210" s="500"/>
      <c r="N210" s="499"/>
      <c r="O210" s="500"/>
    </row>
    <row r="211" spans="2:15">
      <c r="B211" s="510"/>
      <c r="C211" s="212" t="s">
        <v>667</v>
      </c>
      <c r="D211" s="213">
        <v>180</v>
      </c>
      <c r="E211" s="229">
        <v>275000</v>
      </c>
      <c r="F211" s="213" t="s">
        <v>391</v>
      </c>
      <c r="G211" s="490"/>
      <c r="H211" s="490"/>
      <c r="I211" s="490"/>
      <c r="J211" s="499"/>
      <c r="K211" s="500"/>
      <c r="L211" s="499"/>
      <c r="M211" s="500"/>
      <c r="N211" s="499"/>
      <c r="O211" s="500"/>
    </row>
    <row r="212" spans="2:15">
      <c r="B212" s="510"/>
      <c r="C212" s="212" t="s">
        <v>668</v>
      </c>
      <c r="D212" s="213">
        <v>190</v>
      </c>
      <c r="E212" s="229">
        <v>300000</v>
      </c>
      <c r="F212" s="213" t="s">
        <v>391</v>
      </c>
      <c r="G212" s="490"/>
      <c r="H212" s="490"/>
      <c r="I212" s="490"/>
      <c r="J212" s="499"/>
      <c r="K212" s="500"/>
      <c r="L212" s="499"/>
      <c r="M212" s="500"/>
      <c r="N212" s="499"/>
      <c r="O212" s="500"/>
    </row>
    <row r="213" spans="2:15">
      <c r="B213" s="510"/>
      <c r="C213" s="212" t="s">
        <v>669</v>
      </c>
      <c r="D213" s="213">
        <v>200</v>
      </c>
      <c r="E213" s="229">
        <v>325000</v>
      </c>
      <c r="F213" s="213" t="s">
        <v>391</v>
      </c>
      <c r="G213" s="490"/>
      <c r="H213" s="490"/>
      <c r="I213" s="490"/>
      <c r="J213" s="499"/>
      <c r="K213" s="500"/>
      <c r="L213" s="499"/>
      <c r="M213" s="500"/>
      <c r="N213" s="499"/>
      <c r="O213" s="500"/>
    </row>
    <row r="214" spans="2:15">
      <c r="B214" s="510"/>
      <c r="C214" s="215" t="s">
        <v>670</v>
      </c>
      <c r="D214" s="216">
        <v>5</v>
      </c>
      <c r="E214" s="216">
        <v>50</v>
      </c>
      <c r="F214" s="216" t="s">
        <v>393</v>
      </c>
      <c r="G214" s="491">
        <f>SUM(E214:E230)</f>
        <v>850</v>
      </c>
      <c r="H214" s="491">
        <f>SUM(E214:E232)</f>
        <v>950</v>
      </c>
      <c r="I214" s="491">
        <f>SUM(E214:E253)</f>
        <v>2000</v>
      </c>
      <c r="J214" s="499"/>
      <c r="K214" s="500"/>
      <c r="L214" s="499"/>
      <c r="M214" s="500"/>
      <c r="N214" s="499"/>
      <c r="O214" s="500"/>
    </row>
    <row r="215" spans="2:15">
      <c r="B215" s="510"/>
      <c r="C215" s="215" t="s">
        <v>671</v>
      </c>
      <c r="D215" s="216">
        <v>10</v>
      </c>
      <c r="E215" s="217">
        <v>50</v>
      </c>
      <c r="F215" s="216" t="s">
        <v>393</v>
      </c>
      <c r="G215" s="491"/>
      <c r="H215" s="491"/>
      <c r="I215" s="491"/>
      <c r="J215" s="499"/>
      <c r="K215" s="500"/>
      <c r="L215" s="499"/>
      <c r="M215" s="500"/>
      <c r="N215" s="499"/>
      <c r="O215" s="500"/>
    </row>
    <row r="216" spans="2:15">
      <c r="B216" s="510"/>
      <c r="C216" s="215" t="s">
        <v>672</v>
      </c>
      <c r="D216" s="216">
        <v>15</v>
      </c>
      <c r="E216" s="217">
        <v>50</v>
      </c>
      <c r="F216" s="216" t="s">
        <v>393</v>
      </c>
      <c r="G216" s="491"/>
      <c r="H216" s="491"/>
      <c r="I216" s="491"/>
      <c r="J216" s="499"/>
      <c r="K216" s="500"/>
      <c r="L216" s="499"/>
      <c r="M216" s="500"/>
      <c r="N216" s="499"/>
      <c r="O216" s="500"/>
    </row>
    <row r="217" spans="2:15">
      <c r="B217" s="510"/>
      <c r="C217" s="215" t="s">
        <v>673</v>
      </c>
      <c r="D217" s="216">
        <v>20</v>
      </c>
      <c r="E217" s="217">
        <v>50</v>
      </c>
      <c r="F217" s="216" t="s">
        <v>393</v>
      </c>
      <c r="G217" s="491"/>
      <c r="H217" s="491"/>
      <c r="I217" s="491"/>
      <c r="J217" s="499"/>
      <c r="K217" s="500"/>
      <c r="L217" s="499"/>
      <c r="M217" s="500"/>
      <c r="N217" s="499"/>
      <c r="O217" s="500"/>
    </row>
    <row r="218" spans="2:15">
      <c r="B218" s="510"/>
      <c r="C218" s="215" t="s">
        <v>674</v>
      </c>
      <c r="D218" s="216">
        <v>25</v>
      </c>
      <c r="E218" s="217">
        <v>50</v>
      </c>
      <c r="F218" s="216" t="s">
        <v>393</v>
      </c>
      <c r="G218" s="491"/>
      <c r="H218" s="491"/>
      <c r="I218" s="491"/>
      <c r="J218" s="499"/>
      <c r="K218" s="500"/>
      <c r="L218" s="499"/>
      <c r="M218" s="500"/>
      <c r="N218" s="499"/>
      <c r="O218" s="500"/>
    </row>
    <row r="219" spans="2:15">
      <c r="B219" s="510"/>
      <c r="C219" s="215" t="s">
        <v>675</v>
      </c>
      <c r="D219" s="216">
        <v>30</v>
      </c>
      <c r="E219" s="217">
        <v>50</v>
      </c>
      <c r="F219" s="216" t="s">
        <v>393</v>
      </c>
      <c r="G219" s="491"/>
      <c r="H219" s="491"/>
      <c r="I219" s="491"/>
      <c r="J219" s="499"/>
      <c r="K219" s="500"/>
      <c r="L219" s="499"/>
      <c r="M219" s="500"/>
      <c r="N219" s="499"/>
      <c r="O219" s="500"/>
    </row>
    <row r="220" spans="2:15">
      <c r="B220" s="510"/>
      <c r="C220" s="215" t="s">
        <v>676</v>
      </c>
      <c r="D220" s="216">
        <v>35</v>
      </c>
      <c r="E220" s="217">
        <v>50</v>
      </c>
      <c r="F220" s="216" t="s">
        <v>393</v>
      </c>
      <c r="G220" s="491"/>
      <c r="H220" s="491"/>
      <c r="I220" s="491"/>
      <c r="J220" s="499"/>
      <c r="K220" s="500"/>
      <c r="L220" s="499"/>
      <c r="M220" s="500"/>
      <c r="N220" s="499"/>
      <c r="O220" s="500"/>
    </row>
    <row r="221" spans="2:15">
      <c r="B221" s="510"/>
      <c r="C221" s="215" t="s">
        <v>677</v>
      </c>
      <c r="D221" s="216">
        <v>40</v>
      </c>
      <c r="E221" s="217">
        <v>50</v>
      </c>
      <c r="F221" s="216" t="s">
        <v>393</v>
      </c>
      <c r="G221" s="491"/>
      <c r="H221" s="491"/>
      <c r="I221" s="491"/>
      <c r="J221" s="499"/>
      <c r="K221" s="500"/>
      <c r="L221" s="499"/>
      <c r="M221" s="500"/>
      <c r="N221" s="499"/>
      <c r="O221" s="500"/>
    </row>
    <row r="222" spans="2:15">
      <c r="B222" s="510"/>
      <c r="C222" s="215" t="s">
        <v>678</v>
      </c>
      <c r="D222" s="216">
        <v>45</v>
      </c>
      <c r="E222" s="217">
        <v>50</v>
      </c>
      <c r="F222" s="216" t="s">
        <v>393</v>
      </c>
      <c r="G222" s="491"/>
      <c r="H222" s="491"/>
      <c r="I222" s="491"/>
      <c r="J222" s="499"/>
      <c r="K222" s="500"/>
      <c r="L222" s="499"/>
      <c r="M222" s="500"/>
      <c r="N222" s="499"/>
      <c r="O222" s="500"/>
    </row>
    <row r="223" spans="2:15">
      <c r="B223" s="510"/>
      <c r="C223" s="215" t="s">
        <v>679</v>
      </c>
      <c r="D223" s="216">
        <v>50</v>
      </c>
      <c r="E223" s="217">
        <v>50</v>
      </c>
      <c r="F223" s="216" t="s">
        <v>393</v>
      </c>
      <c r="G223" s="491"/>
      <c r="H223" s="491"/>
      <c r="I223" s="491"/>
      <c r="J223" s="499"/>
      <c r="K223" s="500"/>
      <c r="L223" s="499"/>
      <c r="M223" s="500"/>
      <c r="N223" s="499"/>
      <c r="O223" s="500"/>
    </row>
    <row r="224" spans="2:15">
      <c r="B224" s="510"/>
      <c r="C224" s="215" t="s">
        <v>680</v>
      </c>
      <c r="D224" s="216">
        <v>55</v>
      </c>
      <c r="E224" s="217">
        <v>50</v>
      </c>
      <c r="F224" s="216" t="s">
        <v>393</v>
      </c>
      <c r="G224" s="491"/>
      <c r="H224" s="491"/>
      <c r="I224" s="491"/>
      <c r="J224" s="499"/>
      <c r="K224" s="500"/>
      <c r="L224" s="499"/>
      <c r="M224" s="500"/>
      <c r="N224" s="499"/>
      <c r="O224" s="500"/>
    </row>
    <row r="225" spans="2:15">
      <c r="B225" s="510"/>
      <c r="C225" s="215" t="s">
        <v>681</v>
      </c>
      <c r="D225" s="216">
        <v>60</v>
      </c>
      <c r="E225" s="217">
        <v>50</v>
      </c>
      <c r="F225" s="216" t="s">
        <v>393</v>
      </c>
      <c r="G225" s="491"/>
      <c r="H225" s="491"/>
      <c r="I225" s="491"/>
      <c r="J225" s="499"/>
      <c r="K225" s="500"/>
      <c r="L225" s="499"/>
      <c r="M225" s="500"/>
      <c r="N225" s="499"/>
      <c r="O225" s="500"/>
    </row>
    <row r="226" spans="2:15">
      <c r="B226" s="510"/>
      <c r="C226" s="215" t="s">
        <v>682</v>
      </c>
      <c r="D226" s="216">
        <v>65</v>
      </c>
      <c r="E226" s="217">
        <v>50</v>
      </c>
      <c r="F226" s="216" t="s">
        <v>393</v>
      </c>
      <c r="G226" s="491"/>
      <c r="H226" s="491"/>
      <c r="I226" s="491"/>
      <c r="J226" s="499"/>
      <c r="K226" s="500"/>
      <c r="L226" s="499"/>
      <c r="M226" s="500"/>
      <c r="N226" s="499"/>
      <c r="O226" s="500"/>
    </row>
    <row r="227" spans="2:15">
      <c r="B227" s="510"/>
      <c r="C227" s="215" t="s">
        <v>683</v>
      </c>
      <c r="D227" s="216">
        <v>70</v>
      </c>
      <c r="E227" s="217">
        <v>50</v>
      </c>
      <c r="F227" s="216" t="s">
        <v>393</v>
      </c>
      <c r="G227" s="491"/>
      <c r="H227" s="491"/>
      <c r="I227" s="491"/>
      <c r="J227" s="499"/>
      <c r="K227" s="500"/>
      <c r="L227" s="499"/>
      <c r="M227" s="500"/>
      <c r="N227" s="499"/>
      <c r="O227" s="500"/>
    </row>
    <row r="228" spans="2:15">
      <c r="B228" s="510"/>
      <c r="C228" s="215" t="s">
        <v>684</v>
      </c>
      <c r="D228" s="216">
        <v>75</v>
      </c>
      <c r="E228" s="217">
        <v>50</v>
      </c>
      <c r="F228" s="216" t="s">
        <v>393</v>
      </c>
      <c r="G228" s="491"/>
      <c r="H228" s="491"/>
      <c r="I228" s="491"/>
      <c r="J228" s="499"/>
      <c r="K228" s="500"/>
      <c r="L228" s="499"/>
      <c r="M228" s="500"/>
      <c r="N228" s="499"/>
      <c r="O228" s="500"/>
    </row>
    <row r="229" spans="2:15">
      <c r="B229" s="510"/>
      <c r="C229" s="215" t="s">
        <v>685</v>
      </c>
      <c r="D229" s="216">
        <v>80</v>
      </c>
      <c r="E229" s="217">
        <v>50</v>
      </c>
      <c r="F229" s="216" t="s">
        <v>393</v>
      </c>
      <c r="G229" s="491"/>
      <c r="H229" s="491"/>
      <c r="I229" s="491"/>
      <c r="J229" s="499"/>
      <c r="K229" s="500"/>
      <c r="L229" s="499"/>
      <c r="M229" s="500"/>
      <c r="N229" s="499"/>
      <c r="O229" s="500"/>
    </row>
    <row r="230" spans="2:15">
      <c r="B230" s="510"/>
      <c r="C230" s="215" t="s">
        <v>686</v>
      </c>
      <c r="D230" s="216">
        <v>85</v>
      </c>
      <c r="E230" s="217">
        <v>50</v>
      </c>
      <c r="F230" s="216" t="s">
        <v>393</v>
      </c>
      <c r="G230" s="491"/>
      <c r="H230" s="491"/>
      <c r="I230" s="491"/>
      <c r="J230" s="499"/>
      <c r="K230" s="500"/>
      <c r="L230" s="499"/>
      <c r="M230" s="500"/>
      <c r="N230" s="499"/>
      <c r="O230" s="500"/>
    </row>
    <row r="231" spans="2:15">
      <c r="B231" s="510"/>
      <c r="C231" s="215" t="s">
        <v>687</v>
      </c>
      <c r="D231" s="216">
        <v>90</v>
      </c>
      <c r="E231" s="228">
        <v>50</v>
      </c>
      <c r="F231" s="216" t="s">
        <v>393</v>
      </c>
      <c r="G231" s="491"/>
      <c r="H231" s="491"/>
      <c r="I231" s="491"/>
      <c r="J231" s="499"/>
      <c r="K231" s="500"/>
      <c r="L231" s="499"/>
      <c r="M231" s="500"/>
      <c r="N231" s="499"/>
      <c r="O231" s="500"/>
    </row>
    <row r="232" spans="2:15">
      <c r="B232" s="510"/>
      <c r="C232" s="215" t="s">
        <v>688</v>
      </c>
      <c r="D232" s="216">
        <v>95</v>
      </c>
      <c r="E232" s="228">
        <v>50</v>
      </c>
      <c r="F232" s="216" t="s">
        <v>393</v>
      </c>
      <c r="G232" s="491"/>
      <c r="H232" s="491"/>
      <c r="I232" s="491"/>
      <c r="J232" s="499"/>
      <c r="K232" s="500"/>
      <c r="L232" s="499"/>
      <c r="M232" s="500"/>
      <c r="N232" s="499"/>
      <c r="O232" s="500"/>
    </row>
    <row r="233" spans="2:15">
      <c r="B233" s="510"/>
      <c r="C233" s="215" t="s">
        <v>689</v>
      </c>
      <c r="D233" s="216">
        <v>100</v>
      </c>
      <c r="E233" s="222">
        <v>50</v>
      </c>
      <c r="F233" s="216" t="s">
        <v>393</v>
      </c>
      <c r="G233" s="491"/>
      <c r="H233" s="491"/>
      <c r="I233" s="491"/>
      <c r="J233" s="499"/>
      <c r="K233" s="500"/>
      <c r="L233" s="499"/>
      <c r="M233" s="500"/>
      <c r="N233" s="499"/>
      <c r="O233" s="500"/>
    </row>
    <row r="234" spans="2:15">
      <c r="B234" s="510"/>
      <c r="C234" s="215" t="s">
        <v>690</v>
      </c>
      <c r="D234" s="216">
        <v>105</v>
      </c>
      <c r="E234" s="222">
        <v>50</v>
      </c>
      <c r="F234" s="216" t="s">
        <v>393</v>
      </c>
      <c r="G234" s="491"/>
      <c r="H234" s="491"/>
      <c r="I234" s="491"/>
      <c r="J234" s="499"/>
      <c r="K234" s="500"/>
      <c r="L234" s="499"/>
      <c r="M234" s="500"/>
      <c r="N234" s="499"/>
      <c r="O234" s="500"/>
    </row>
    <row r="235" spans="2:15">
      <c r="B235" s="510"/>
      <c r="C235" s="215" t="s">
        <v>691</v>
      </c>
      <c r="D235" s="216">
        <v>110</v>
      </c>
      <c r="E235" s="222">
        <v>50</v>
      </c>
      <c r="F235" s="216" t="s">
        <v>393</v>
      </c>
      <c r="G235" s="491"/>
      <c r="H235" s="491"/>
      <c r="I235" s="491"/>
      <c r="J235" s="499"/>
      <c r="K235" s="500"/>
      <c r="L235" s="499"/>
      <c r="M235" s="500"/>
      <c r="N235" s="499"/>
      <c r="O235" s="500"/>
    </row>
    <row r="236" spans="2:15">
      <c r="B236" s="510"/>
      <c r="C236" s="215" t="s">
        <v>692</v>
      </c>
      <c r="D236" s="216">
        <v>115</v>
      </c>
      <c r="E236" s="222">
        <v>50</v>
      </c>
      <c r="F236" s="216" t="s">
        <v>393</v>
      </c>
      <c r="G236" s="491"/>
      <c r="H236" s="491"/>
      <c r="I236" s="491"/>
      <c r="J236" s="499"/>
      <c r="K236" s="500"/>
      <c r="L236" s="499"/>
      <c r="M236" s="500"/>
      <c r="N236" s="499"/>
      <c r="O236" s="500"/>
    </row>
    <row r="237" spans="2:15">
      <c r="B237" s="510"/>
      <c r="C237" s="215" t="s">
        <v>693</v>
      </c>
      <c r="D237" s="216">
        <v>120</v>
      </c>
      <c r="E237" s="222">
        <v>50</v>
      </c>
      <c r="F237" s="216" t="s">
        <v>393</v>
      </c>
      <c r="G237" s="491"/>
      <c r="H237" s="491"/>
      <c r="I237" s="491"/>
      <c r="J237" s="499"/>
      <c r="K237" s="500"/>
      <c r="L237" s="499"/>
      <c r="M237" s="500"/>
      <c r="N237" s="499"/>
      <c r="O237" s="500"/>
    </row>
    <row r="238" spans="2:15">
      <c r="B238" s="510"/>
      <c r="C238" s="215" t="s">
        <v>694</v>
      </c>
      <c r="D238" s="216">
        <v>125</v>
      </c>
      <c r="E238" s="222">
        <v>50</v>
      </c>
      <c r="F238" s="216" t="s">
        <v>393</v>
      </c>
      <c r="G238" s="491"/>
      <c r="H238" s="491"/>
      <c r="I238" s="491"/>
      <c r="J238" s="499"/>
      <c r="K238" s="500"/>
      <c r="L238" s="499"/>
      <c r="M238" s="500"/>
      <c r="N238" s="499"/>
      <c r="O238" s="500"/>
    </row>
    <row r="239" spans="2:15">
      <c r="B239" s="510"/>
      <c r="C239" s="215" t="s">
        <v>695</v>
      </c>
      <c r="D239" s="216">
        <v>130</v>
      </c>
      <c r="E239" s="222">
        <v>50</v>
      </c>
      <c r="F239" s="216" t="s">
        <v>393</v>
      </c>
      <c r="G239" s="491"/>
      <c r="H239" s="491"/>
      <c r="I239" s="491"/>
      <c r="J239" s="499"/>
      <c r="K239" s="500"/>
      <c r="L239" s="499"/>
      <c r="M239" s="500"/>
      <c r="N239" s="499"/>
      <c r="O239" s="500"/>
    </row>
    <row r="240" spans="2:15">
      <c r="B240" s="510"/>
      <c r="C240" s="215" t="s">
        <v>696</v>
      </c>
      <c r="D240" s="216">
        <v>135</v>
      </c>
      <c r="E240" s="222">
        <v>50</v>
      </c>
      <c r="F240" s="216" t="s">
        <v>393</v>
      </c>
      <c r="G240" s="491"/>
      <c r="H240" s="491"/>
      <c r="I240" s="491"/>
      <c r="J240" s="499"/>
      <c r="K240" s="500"/>
      <c r="L240" s="499"/>
      <c r="M240" s="500"/>
      <c r="N240" s="499"/>
      <c r="O240" s="500"/>
    </row>
    <row r="241" spans="2:15">
      <c r="B241" s="510"/>
      <c r="C241" s="215" t="s">
        <v>697</v>
      </c>
      <c r="D241" s="216">
        <v>140</v>
      </c>
      <c r="E241" s="222">
        <v>50</v>
      </c>
      <c r="F241" s="216" t="s">
        <v>393</v>
      </c>
      <c r="G241" s="491"/>
      <c r="H241" s="491"/>
      <c r="I241" s="491"/>
      <c r="J241" s="499"/>
      <c r="K241" s="500"/>
      <c r="L241" s="499"/>
      <c r="M241" s="500"/>
      <c r="N241" s="499"/>
      <c r="O241" s="500"/>
    </row>
    <row r="242" spans="2:15">
      <c r="B242" s="510"/>
      <c r="C242" s="215" t="s">
        <v>698</v>
      </c>
      <c r="D242" s="216">
        <v>145</v>
      </c>
      <c r="E242" s="222">
        <v>50</v>
      </c>
      <c r="F242" s="216" t="s">
        <v>393</v>
      </c>
      <c r="G242" s="491"/>
      <c r="H242" s="491"/>
      <c r="I242" s="491"/>
      <c r="J242" s="499"/>
      <c r="K242" s="500"/>
      <c r="L242" s="499"/>
      <c r="M242" s="500"/>
      <c r="N242" s="499"/>
      <c r="O242" s="500"/>
    </row>
    <row r="243" spans="2:15">
      <c r="B243" s="510"/>
      <c r="C243" s="215" t="s">
        <v>699</v>
      </c>
      <c r="D243" s="216">
        <v>150</v>
      </c>
      <c r="E243" s="222">
        <v>50</v>
      </c>
      <c r="F243" s="216" t="s">
        <v>393</v>
      </c>
      <c r="G243" s="491"/>
      <c r="H243" s="491"/>
      <c r="I243" s="491"/>
      <c r="J243" s="499"/>
      <c r="K243" s="500"/>
      <c r="L243" s="499"/>
      <c r="M243" s="500"/>
      <c r="N243" s="499"/>
      <c r="O243" s="500"/>
    </row>
    <row r="244" spans="2:15">
      <c r="B244" s="510"/>
      <c r="C244" s="215" t="s">
        <v>700</v>
      </c>
      <c r="D244" s="216">
        <v>155</v>
      </c>
      <c r="E244" s="222">
        <v>50</v>
      </c>
      <c r="F244" s="216" t="s">
        <v>393</v>
      </c>
      <c r="G244" s="491"/>
      <c r="H244" s="491"/>
      <c r="I244" s="491"/>
      <c r="J244" s="499"/>
      <c r="K244" s="500"/>
      <c r="L244" s="499"/>
      <c r="M244" s="500"/>
      <c r="N244" s="499"/>
      <c r="O244" s="500"/>
    </row>
    <row r="245" spans="2:15">
      <c r="B245" s="510"/>
      <c r="C245" s="215" t="s">
        <v>701</v>
      </c>
      <c r="D245" s="216">
        <v>160</v>
      </c>
      <c r="E245" s="222">
        <v>50</v>
      </c>
      <c r="F245" s="216" t="s">
        <v>393</v>
      </c>
      <c r="G245" s="491"/>
      <c r="H245" s="491"/>
      <c r="I245" s="491"/>
      <c r="J245" s="499"/>
      <c r="K245" s="500"/>
      <c r="L245" s="499"/>
      <c r="M245" s="500"/>
      <c r="N245" s="499"/>
      <c r="O245" s="500"/>
    </row>
    <row r="246" spans="2:15">
      <c r="B246" s="510"/>
      <c r="C246" s="215" t="s">
        <v>702</v>
      </c>
      <c r="D246" s="216">
        <v>165</v>
      </c>
      <c r="E246" s="222">
        <v>50</v>
      </c>
      <c r="F246" s="216" t="s">
        <v>393</v>
      </c>
      <c r="G246" s="491"/>
      <c r="H246" s="491"/>
      <c r="I246" s="491"/>
      <c r="J246" s="499"/>
      <c r="K246" s="500"/>
      <c r="L246" s="499"/>
      <c r="M246" s="500"/>
      <c r="N246" s="499"/>
      <c r="O246" s="500"/>
    </row>
    <row r="247" spans="2:15">
      <c r="B247" s="510"/>
      <c r="C247" s="215" t="s">
        <v>703</v>
      </c>
      <c r="D247" s="216">
        <v>170</v>
      </c>
      <c r="E247" s="222">
        <v>50</v>
      </c>
      <c r="F247" s="216" t="s">
        <v>393</v>
      </c>
      <c r="G247" s="491"/>
      <c r="H247" s="491"/>
      <c r="I247" s="491"/>
      <c r="J247" s="499"/>
      <c r="K247" s="500"/>
      <c r="L247" s="499"/>
      <c r="M247" s="500"/>
      <c r="N247" s="499"/>
      <c r="O247" s="500"/>
    </row>
    <row r="248" spans="2:15">
      <c r="B248" s="510"/>
      <c r="C248" s="215" t="s">
        <v>704</v>
      </c>
      <c r="D248" s="216">
        <v>175</v>
      </c>
      <c r="E248" s="222">
        <v>50</v>
      </c>
      <c r="F248" s="216" t="s">
        <v>393</v>
      </c>
      <c r="G248" s="491"/>
      <c r="H248" s="491"/>
      <c r="I248" s="491"/>
      <c r="J248" s="499"/>
      <c r="K248" s="500"/>
      <c r="L248" s="499"/>
      <c r="M248" s="500"/>
      <c r="N248" s="499"/>
      <c r="O248" s="500"/>
    </row>
    <row r="249" spans="2:15">
      <c r="B249" s="510"/>
      <c r="C249" s="215" t="s">
        <v>705</v>
      </c>
      <c r="D249" s="216">
        <v>180</v>
      </c>
      <c r="E249" s="222">
        <v>50</v>
      </c>
      <c r="F249" s="216" t="s">
        <v>393</v>
      </c>
      <c r="G249" s="491"/>
      <c r="H249" s="491"/>
      <c r="I249" s="491"/>
      <c r="J249" s="499"/>
      <c r="K249" s="500"/>
      <c r="L249" s="499"/>
      <c r="M249" s="500"/>
      <c r="N249" s="499"/>
      <c r="O249" s="500"/>
    </row>
    <row r="250" spans="2:15">
      <c r="B250" s="510"/>
      <c r="C250" s="215" t="s">
        <v>706</v>
      </c>
      <c r="D250" s="216">
        <v>185</v>
      </c>
      <c r="E250" s="222">
        <v>50</v>
      </c>
      <c r="F250" s="216" t="s">
        <v>393</v>
      </c>
      <c r="G250" s="491"/>
      <c r="H250" s="491"/>
      <c r="I250" s="491"/>
      <c r="J250" s="499"/>
      <c r="K250" s="500"/>
      <c r="L250" s="499"/>
      <c r="M250" s="500"/>
      <c r="N250" s="499"/>
      <c r="O250" s="500"/>
    </row>
    <row r="251" spans="2:15">
      <c r="B251" s="510"/>
      <c r="C251" s="215" t="s">
        <v>707</v>
      </c>
      <c r="D251" s="216">
        <v>190</v>
      </c>
      <c r="E251" s="222">
        <v>50</v>
      </c>
      <c r="F251" s="216" t="s">
        <v>393</v>
      </c>
      <c r="G251" s="491"/>
      <c r="H251" s="491"/>
      <c r="I251" s="491"/>
      <c r="J251" s="499"/>
      <c r="K251" s="500"/>
      <c r="L251" s="499"/>
      <c r="M251" s="500"/>
      <c r="N251" s="499"/>
      <c r="O251" s="500"/>
    </row>
    <row r="252" spans="2:15">
      <c r="B252" s="510"/>
      <c r="C252" s="215" t="s">
        <v>708</v>
      </c>
      <c r="D252" s="216">
        <v>195</v>
      </c>
      <c r="E252" s="222">
        <v>50</v>
      </c>
      <c r="F252" s="216" t="s">
        <v>393</v>
      </c>
      <c r="G252" s="491"/>
      <c r="H252" s="491"/>
      <c r="I252" s="491"/>
      <c r="J252" s="499"/>
      <c r="K252" s="500"/>
      <c r="L252" s="499"/>
      <c r="M252" s="500"/>
      <c r="N252" s="499"/>
      <c r="O252" s="500"/>
    </row>
    <row r="253" spans="2:15">
      <c r="B253" s="510"/>
      <c r="C253" s="215" t="s">
        <v>709</v>
      </c>
      <c r="D253" s="216">
        <v>200</v>
      </c>
      <c r="E253" s="222">
        <v>50</v>
      </c>
      <c r="F253" s="216" t="s">
        <v>393</v>
      </c>
      <c r="G253" s="491"/>
      <c r="H253" s="491"/>
      <c r="I253" s="491"/>
      <c r="J253" s="499"/>
      <c r="K253" s="500"/>
      <c r="L253" s="499"/>
      <c r="M253" s="500"/>
      <c r="N253" s="499"/>
      <c r="O253" s="500"/>
    </row>
    <row r="254" spans="2:15">
      <c r="B254" s="510"/>
      <c r="C254" s="212" t="s">
        <v>710</v>
      </c>
      <c r="D254" s="213">
        <v>1</v>
      </c>
      <c r="E254" s="319">
        <v>10</v>
      </c>
      <c r="F254" s="213" t="s">
        <v>393</v>
      </c>
      <c r="G254" s="490">
        <f>SUM(E254:E268)</f>
        <v>1200</v>
      </c>
      <c r="H254" s="490">
        <f>SUM(E254:E275)</f>
        <v>2530</v>
      </c>
      <c r="I254" s="490">
        <f>SUM(E254:E279)</f>
        <v>3510</v>
      </c>
      <c r="J254" s="499"/>
      <c r="K254" s="500"/>
      <c r="L254" s="499"/>
      <c r="M254" s="500"/>
      <c r="N254" s="499"/>
      <c r="O254" s="500"/>
    </row>
    <row r="255" spans="2:15">
      <c r="B255" s="510"/>
      <c r="C255" s="212" t="s">
        <v>711</v>
      </c>
      <c r="D255" s="213">
        <v>2</v>
      </c>
      <c r="E255" s="319">
        <v>20</v>
      </c>
      <c r="F255" s="213" t="s">
        <v>393</v>
      </c>
      <c r="G255" s="490"/>
      <c r="H255" s="490"/>
      <c r="I255" s="490"/>
      <c r="J255" s="499"/>
      <c r="K255" s="500"/>
      <c r="L255" s="499"/>
      <c r="M255" s="500"/>
      <c r="N255" s="499"/>
      <c r="O255" s="500"/>
    </row>
    <row r="256" spans="2:15">
      <c r="B256" s="510"/>
      <c r="C256" s="212" t="s">
        <v>712</v>
      </c>
      <c r="D256" s="213">
        <v>3</v>
      </c>
      <c r="E256" s="319">
        <v>30</v>
      </c>
      <c r="F256" s="213" t="s">
        <v>393</v>
      </c>
      <c r="G256" s="490"/>
      <c r="H256" s="490"/>
      <c r="I256" s="490"/>
      <c r="J256" s="499"/>
      <c r="K256" s="500"/>
      <c r="L256" s="499"/>
      <c r="M256" s="500"/>
      <c r="N256" s="499"/>
      <c r="O256" s="500"/>
    </row>
    <row r="257" spans="2:15">
      <c r="B257" s="510"/>
      <c r="C257" s="212" t="s">
        <v>713</v>
      </c>
      <c r="D257" s="213">
        <v>4</v>
      </c>
      <c r="E257" s="319">
        <v>40</v>
      </c>
      <c r="F257" s="213" t="s">
        <v>393</v>
      </c>
      <c r="G257" s="490"/>
      <c r="H257" s="490"/>
      <c r="I257" s="490"/>
      <c r="J257" s="499"/>
      <c r="K257" s="500"/>
      <c r="L257" s="499"/>
      <c r="M257" s="500"/>
      <c r="N257" s="499"/>
      <c r="O257" s="500"/>
    </row>
    <row r="258" spans="2:15">
      <c r="B258" s="510"/>
      <c r="C258" s="212" t="s">
        <v>714</v>
      </c>
      <c r="D258" s="213">
        <v>5</v>
      </c>
      <c r="E258" s="319">
        <v>50</v>
      </c>
      <c r="F258" s="213" t="s">
        <v>393</v>
      </c>
      <c r="G258" s="490"/>
      <c r="H258" s="490"/>
      <c r="I258" s="490"/>
      <c r="J258" s="499"/>
      <c r="K258" s="500"/>
      <c r="L258" s="499"/>
      <c r="M258" s="500"/>
      <c r="N258" s="499"/>
      <c r="O258" s="500"/>
    </row>
    <row r="259" spans="2:15">
      <c r="B259" s="510"/>
      <c r="C259" s="212" t="s">
        <v>715</v>
      </c>
      <c r="D259" s="213">
        <v>6</v>
      </c>
      <c r="E259" s="319">
        <v>60</v>
      </c>
      <c r="F259" s="213" t="s">
        <v>393</v>
      </c>
      <c r="G259" s="490"/>
      <c r="H259" s="490"/>
      <c r="I259" s="490"/>
      <c r="J259" s="499"/>
      <c r="K259" s="500"/>
      <c r="L259" s="499"/>
      <c r="M259" s="500"/>
      <c r="N259" s="499"/>
      <c r="O259" s="500"/>
    </row>
    <row r="260" spans="2:15">
      <c r="B260" s="510"/>
      <c r="C260" s="212" t="s">
        <v>716</v>
      </c>
      <c r="D260" s="213">
        <v>7</v>
      </c>
      <c r="E260" s="319">
        <v>70</v>
      </c>
      <c r="F260" s="213" t="s">
        <v>393</v>
      </c>
      <c r="G260" s="490"/>
      <c r="H260" s="490"/>
      <c r="I260" s="490"/>
      <c r="J260" s="499"/>
      <c r="K260" s="500"/>
      <c r="L260" s="499"/>
      <c r="M260" s="500"/>
      <c r="N260" s="499"/>
      <c r="O260" s="500"/>
    </row>
    <row r="261" spans="2:15">
      <c r="B261" s="510"/>
      <c r="C261" s="212" t="s">
        <v>717</v>
      </c>
      <c r="D261" s="213">
        <v>8</v>
      </c>
      <c r="E261" s="319">
        <v>80</v>
      </c>
      <c r="F261" s="213" t="s">
        <v>393</v>
      </c>
      <c r="G261" s="490"/>
      <c r="H261" s="490"/>
      <c r="I261" s="490"/>
      <c r="J261" s="499"/>
      <c r="K261" s="500"/>
      <c r="L261" s="499"/>
      <c r="M261" s="500"/>
      <c r="N261" s="499"/>
      <c r="O261" s="500"/>
    </row>
    <row r="262" spans="2:15">
      <c r="B262" s="510"/>
      <c r="C262" s="212" t="s">
        <v>718</v>
      </c>
      <c r="D262" s="213">
        <v>9</v>
      </c>
      <c r="E262" s="319">
        <v>90</v>
      </c>
      <c r="F262" s="213" t="s">
        <v>393</v>
      </c>
      <c r="G262" s="490"/>
      <c r="H262" s="490"/>
      <c r="I262" s="490"/>
      <c r="J262" s="499"/>
      <c r="K262" s="500"/>
      <c r="L262" s="499"/>
      <c r="M262" s="500"/>
      <c r="N262" s="499"/>
      <c r="O262" s="500"/>
    </row>
    <row r="263" spans="2:15">
      <c r="B263" s="510"/>
      <c r="C263" s="212" t="s">
        <v>719</v>
      </c>
      <c r="D263" s="213">
        <v>10</v>
      </c>
      <c r="E263" s="319">
        <v>100</v>
      </c>
      <c r="F263" s="213" t="s">
        <v>393</v>
      </c>
      <c r="G263" s="490"/>
      <c r="H263" s="490"/>
      <c r="I263" s="490"/>
      <c r="J263" s="499"/>
      <c r="K263" s="500"/>
      <c r="L263" s="499"/>
      <c r="M263" s="500"/>
      <c r="N263" s="499"/>
      <c r="O263" s="500"/>
    </row>
    <row r="264" spans="2:15">
      <c r="B264" s="510"/>
      <c r="C264" s="212" t="s">
        <v>720</v>
      </c>
      <c r="D264" s="213">
        <v>11</v>
      </c>
      <c r="E264" s="319">
        <v>110</v>
      </c>
      <c r="F264" s="213" t="s">
        <v>393</v>
      </c>
      <c r="G264" s="490"/>
      <c r="H264" s="490"/>
      <c r="I264" s="490"/>
      <c r="J264" s="499"/>
      <c r="K264" s="500"/>
      <c r="L264" s="499"/>
      <c r="M264" s="500"/>
      <c r="N264" s="499"/>
      <c r="O264" s="500"/>
    </row>
    <row r="265" spans="2:15">
      <c r="B265" s="510"/>
      <c r="C265" s="212" t="s">
        <v>721</v>
      </c>
      <c r="D265" s="213">
        <v>12</v>
      </c>
      <c r="E265" s="319">
        <v>120</v>
      </c>
      <c r="F265" s="213" t="s">
        <v>393</v>
      </c>
      <c r="G265" s="490"/>
      <c r="H265" s="490"/>
      <c r="I265" s="490"/>
      <c r="J265" s="499"/>
      <c r="K265" s="500"/>
      <c r="L265" s="499"/>
      <c r="M265" s="500"/>
      <c r="N265" s="499"/>
      <c r="O265" s="500"/>
    </row>
    <row r="266" spans="2:15">
      <c r="B266" s="510"/>
      <c r="C266" s="212" t="s">
        <v>722</v>
      </c>
      <c r="D266" s="213">
        <v>13</v>
      </c>
      <c r="E266" s="319">
        <v>130</v>
      </c>
      <c r="F266" s="213" t="s">
        <v>393</v>
      </c>
      <c r="G266" s="490"/>
      <c r="H266" s="490"/>
      <c r="I266" s="490"/>
      <c r="J266" s="499"/>
      <c r="K266" s="500"/>
      <c r="L266" s="499"/>
      <c r="M266" s="500"/>
      <c r="N266" s="499"/>
      <c r="O266" s="500"/>
    </row>
    <row r="267" spans="2:15">
      <c r="B267" s="510"/>
      <c r="C267" s="212" t="s">
        <v>723</v>
      </c>
      <c r="D267" s="213">
        <v>14</v>
      </c>
      <c r="E267" s="319">
        <v>140</v>
      </c>
      <c r="F267" s="213" t="s">
        <v>393</v>
      </c>
      <c r="G267" s="490"/>
      <c r="H267" s="490"/>
      <c r="I267" s="490"/>
      <c r="J267" s="499"/>
      <c r="K267" s="500"/>
      <c r="L267" s="499"/>
      <c r="M267" s="500"/>
      <c r="N267" s="499"/>
      <c r="O267" s="500"/>
    </row>
    <row r="268" spans="2:15">
      <c r="B268" s="510"/>
      <c r="C268" s="212" t="s">
        <v>724</v>
      </c>
      <c r="D268" s="213">
        <v>15</v>
      </c>
      <c r="E268" s="319">
        <v>150</v>
      </c>
      <c r="F268" s="213" t="s">
        <v>393</v>
      </c>
      <c r="G268" s="490"/>
      <c r="H268" s="490"/>
      <c r="I268" s="490"/>
      <c r="J268" s="499"/>
      <c r="K268" s="500"/>
      <c r="L268" s="499"/>
      <c r="M268" s="500"/>
      <c r="N268" s="499"/>
      <c r="O268" s="500"/>
    </row>
    <row r="269" spans="2:15">
      <c r="B269" s="510"/>
      <c r="C269" s="212" t="s">
        <v>725</v>
      </c>
      <c r="D269" s="213">
        <v>16</v>
      </c>
      <c r="E269" s="228">
        <v>160</v>
      </c>
      <c r="F269" s="213" t="s">
        <v>393</v>
      </c>
      <c r="G269" s="490"/>
      <c r="H269" s="490"/>
      <c r="I269" s="490"/>
      <c r="J269" s="499"/>
      <c r="K269" s="500"/>
      <c r="L269" s="499"/>
      <c r="M269" s="500"/>
      <c r="N269" s="499"/>
      <c r="O269" s="500"/>
    </row>
    <row r="270" spans="2:15">
      <c r="B270" s="510"/>
      <c r="C270" s="212" t="s">
        <v>726</v>
      </c>
      <c r="D270" s="213">
        <v>17</v>
      </c>
      <c r="E270" s="228">
        <v>170</v>
      </c>
      <c r="F270" s="213" t="s">
        <v>393</v>
      </c>
      <c r="G270" s="490"/>
      <c r="H270" s="490"/>
      <c r="I270" s="490"/>
      <c r="J270" s="499"/>
      <c r="K270" s="500"/>
      <c r="L270" s="499"/>
      <c r="M270" s="500"/>
      <c r="N270" s="499"/>
      <c r="O270" s="500"/>
    </row>
    <row r="271" spans="2:15">
      <c r="B271" s="510"/>
      <c r="C271" s="212" t="s">
        <v>727</v>
      </c>
      <c r="D271" s="213">
        <v>18</v>
      </c>
      <c r="E271" s="228">
        <v>180</v>
      </c>
      <c r="F271" s="213" t="s">
        <v>393</v>
      </c>
      <c r="G271" s="490"/>
      <c r="H271" s="490"/>
      <c r="I271" s="490"/>
      <c r="J271" s="499"/>
      <c r="K271" s="500"/>
      <c r="L271" s="499"/>
      <c r="M271" s="500"/>
      <c r="N271" s="499"/>
      <c r="O271" s="500"/>
    </row>
    <row r="272" spans="2:15">
      <c r="B272" s="510"/>
      <c r="C272" s="212" t="s">
        <v>728</v>
      </c>
      <c r="D272" s="213">
        <v>19</v>
      </c>
      <c r="E272" s="228">
        <v>190</v>
      </c>
      <c r="F272" s="213" t="s">
        <v>393</v>
      </c>
      <c r="G272" s="490"/>
      <c r="H272" s="490"/>
      <c r="I272" s="490"/>
      <c r="J272" s="499"/>
      <c r="K272" s="500"/>
      <c r="L272" s="499"/>
      <c r="M272" s="500"/>
      <c r="N272" s="499"/>
      <c r="O272" s="500"/>
    </row>
    <row r="273" spans="2:15">
      <c r="B273" s="510"/>
      <c r="C273" s="212" t="s">
        <v>729</v>
      </c>
      <c r="D273" s="213">
        <v>20</v>
      </c>
      <c r="E273" s="228">
        <v>200</v>
      </c>
      <c r="F273" s="213" t="s">
        <v>393</v>
      </c>
      <c r="G273" s="490"/>
      <c r="H273" s="490"/>
      <c r="I273" s="490"/>
      <c r="J273" s="499"/>
      <c r="K273" s="500"/>
      <c r="L273" s="499"/>
      <c r="M273" s="500"/>
      <c r="N273" s="499"/>
      <c r="O273" s="500"/>
    </row>
    <row r="274" spans="2:15">
      <c r="B274" s="510"/>
      <c r="C274" s="212" t="s">
        <v>730</v>
      </c>
      <c r="D274" s="213">
        <v>25</v>
      </c>
      <c r="E274" s="228">
        <v>210</v>
      </c>
      <c r="F274" s="213" t="s">
        <v>393</v>
      </c>
      <c r="G274" s="490"/>
      <c r="H274" s="490"/>
      <c r="I274" s="490"/>
      <c r="J274" s="499"/>
      <c r="K274" s="500"/>
      <c r="L274" s="499"/>
      <c r="M274" s="500"/>
      <c r="N274" s="499"/>
      <c r="O274" s="500"/>
    </row>
    <row r="275" spans="2:15">
      <c r="B275" s="510"/>
      <c r="C275" s="212" t="s">
        <v>731</v>
      </c>
      <c r="D275" s="213">
        <v>30</v>
      </c>
      <c r="E275" s="228">
        <v>220</v>
      </c>
      <c r="F275" s="213" t="s">
        <v>393</v>
      </c>
      <c r="G275" s="490"/>
      <c r="H275" s="490"/>
      <c r="I275" s="490"/>
      <c r="J275" s="499"/>
      <c r="K275" s="500"/>
      <c r="L275" s="499"/>
      <c r="M275" s="500"/>
      <c r="N275" s="499"/>
      <c r="O275" s="500"/>
    </row>
    <row r="276" spans="2:15">
      <c r="B276" s="510"/>
      <c r="C276" s="212" t="s">
        <v>732</v>
      </c>
      <c r="D276" s="213">
        <v>35</v>
      </c>
      <c r="E276" s="222">
        <v>230</v>
      </c>
      <c r="F276" s="213" t="s">
        <v>393</v>
      </c>
      <c r="G276" s="490"/>
      <c r="H276" s="490"/>
      <c r="I276" s="490"/>
      <c r="J276" s="499"/>
      <c r="K276" s="500"/>
      <c r="L276" s="499"/>
      <c r="M276" s="500"/>
      <c r="N276" s="499"/>
      <c r="O276" s="500"/>
    </row>
    <row r="277" spans="2:15">
      <c r="B277" s="510"/>
      <c r="C277" s="212" t="s">
        <v>733</v>
      </c>
      <c r="D277" s="213">
        <v>40</v>
      </c>
      <c r="E277" s="222">
        <v>240</v>
      </c>
      <c r="F277" s="213" t="s">
        <v>393</v>
      </c>
      <c r="G277" s="490"/>
      <c r="H277" s="490"/>
      <c r="I277" s="490"/>
      <c r="J277" s="499"/>
      <c r="K277" s="500"/>
      <c r="L277" s="499"/>
      <c r="M277" s="500"/>
      <c r="N277" s="499"/>
      <c r="O277" s="500"/>
    </row>
    <row r="278" spans="2:15">
      <c r="B278" s="510"/>
      <c r="C278" s="212" t="s">
        <v>734</v>
      </c>
      <c r="D278" s="213">
        <v>45</v>
      </c>
      <c r="E278" s="222">
        <v>250</v>
      </c>
      <c r="F278" s="213" t="s">
        <v>393</v>
      </c>
      <c r="G278" s="490"/>
      <c r="H278" s="490"/>
      <c r="I278" s="490"/>
      <c r="J278" s="499"/>
      <c r="K278" s="500"/>
      <c r="L278" s="499"/>
      <c r="M278" s="500"/>
      <c r="N278" s="499"/>
      <c r="O278" s="500"/>
    </row>
    <row r="279" spans="2:15">
      <c r="B279" s="510"/>
      <c r="C279" s="212" t="s">
        <v>735</v>
      </c>
      <c r="D279" s="213">
        <v>50</v>
      </c>
      <c r="E279" s="222">
        <v>260</v>
      </c>
      <c r="F279" s="213" t="s">
        <v>393</v>
      </c>
      <c r="G279" s="490"/>
      <c r="H279" s="490"/>
      <c r="I279" s="490"/>
      <c r="J279" s="499"/>
      <c r="K279" s="500"/>
      <c r="L279" s="499"/>
      <c r="M279" s="500"/>
      <c r="N279" s="499"/>
      <c r="O279" s="500"/>
    </row>
    <row r="280" spans="2:15">
      <c r="B280" s="510"/>
      <c r="C280" s="212" t="s">
        <v>950</v>
      </c>
      <c r="D280" s="213">
        <v>60</v>
      </c>
      <c r="E280" s="229">
        <v>270</v>
      </c>
      <c r="F280" s="213" t="s">
        <v>393</v>
      </c>
      <c r="G280" s="490"/>
      <c r="H280" s="490"/>
      <c r="I280" s="490"/>
      <c r="J280" s="499"/>
      <c r="K280" s="500"/>
      <c r="L280" s="499"/>
      <c r="M280" s="500"/>
      <c r="N280" s="499"/>
      <c r="O280" s="500"/>
    </row>
    <row r="281" spans="2:15">
      <c r="B281" s="510"/>
      <c r="C281" s="212" t="s">
        <v>951</v>
      </c>
      <c r="D281" s="213">
        <v>70</v>
      </c>
      <c r="E281" s="229">
        <v>280</v>
      </c>
      <c r="F281" s="213" t="s">
        <v>393</v>
      </c>
      <c r="G281" s="490"/>
      <c r="H281" s="490"/>
      <c r="I281" s="490"/>
      <c r="J281" s="499"/>
      <c r="K281" s="500"/>
      <c r="L281" s="499"/>
      <c r="M281" s="500"/>
      <c r="N281" s="499"/>
      <c r="O281" s="500"/>
    </row>
    <row r="282" spans="2:15">
      <c r="B282" s="510"/>
      <c r="C282" s="212" t="s">
        <v>952</v>
      </c>
      <c r="D282" s="213">
        <v>80</v>
      </c>
      <c r="E282" s="229">
        <v>290</v>
      </c>
      <c r="F282" s="213" t="s">
        <v>393</v>
      </c>
      <c r="G282" s="490"/>
      <c r="H282" s="490"/>
      <c r="I282" s="490"/>
      <c r="J282" s="499"/>
      <c r="K282" s="500"/>
      <c r="L282" s="499"/>
      <c r="M282" s="500"/>
      <c r="N282" s="499"/>
      <c r="O282" s="500"/>
    </row>
    <row r="283" spans="2:15">
      <c r="B283" s="510"/>
      <c r="C283" s="212" t="s">
        <v>953</v>
      </c>
      <c r="D283" s="213">
        <v>90</v>
      </c>
      <c r="E283" s="229">
        <v>300</v>
      </c>
      <c r="F283" s="213" t="s">
        <v>393</v>
      </c>
      <c r="G283" s="490"/>
      <c r="H283" s="490"/>
      <c r="I283" s="490"/>
      <c r="J283" s="499"/>
      <c r="K283" s="500"/>
      <c r="L283" s="499"/>
      <c r="M283" s="500"/>
      <c r="N283" s="499"/>
      <c r="O283" s="500"/>
    </row>
    <row r="284" spans="2:15">
      <c r="B284" s="510"/>
      <c r="C284" s="212" t="s">
        <v>954</v>
      </c>
      <c r="D284" s="213">
        <v>100</v>
      </c>
      <c r="E284" s="229">
        <v>310</v>
      </c>
      <c r="F284" s="213" t="s">
        <v>393</v>
      </c>
      <c r="G284" s="490"/>
      <c r="H284" s="490"/>
      <c r="I284" s="490"/>
      <c r="J284" s="499"/>
      <c r="K284" s="500"/>
      <c r="L284" s="499"/>
      <c r="M284" s="500"/>
      <c r="N284" s="499"/>
      <c r="O284" s="500"/>
    </row>
    <row r="285" spans="2:15">
      <c r="B285" s="510"/>
      <c r="C285" s="323" t="s">
        <v>1519</v>
      </c>
      <c r="D285" s="322">
        <v>15</v>
      </c>
      <c r="E285" s="228">
        <v>100</v>
      </c>
      <c r="F285" s="229" t="s">
        <v>393</v>
      </c>
      <c r="G285" s="504"/>
      <c r="H285" s="504"/>
      <c r="I285" s="504"/>
      <c r="J285" s="499"/>
      <c r="K285" s="500"/>
      <c r="L285" s="499"/>
      <c r="M285" s="500"/>
      <c r="N285" s="499"/>
      <c r="O285" s="500"/>
    </row>
    <row r="286" spans="2:15">
      <c r="B286" s="510"/>
      <c r="C286" s="323" t="s">
        <v>1520</v>
      </c>
      <c r="D286" s="322">
        <v>12</v>
      </c>
      <c r="E286" s="228">
        <v>250</v>
      </c>
      <c r="F286" s="229" t="s">
        <v>393</v>
      </c>
      <c r="G286" s="504"/>
      <c r="H286" s="504"/>
      <c r="I286" s="504"/>
      <c r="J286" s="499"/>
      <c r="K286" s="500"/>
      <c r="L286" s="499"/>
      <c r="M286" s="500"/>
      <c r="N286" s="499"/>
      <c r="O286" s="500"/>
    </row>
    <row r="287" spans="2:15">
      <c r="B287" s="510"/>
      <c r="C287" s="323" t="s">
        <v>1521</v>
      </c>
      <c r="D287" s="322">
        <v>9</v>
      </c>
      <c r="E287" s="228">
        <v>500</v>
      </c>
      <c r="F287" s="229" t="s">
        <v>393</v>
      </c>
      <c r="G287" s="504"/>
      <c r="H287" s="504"/>
      <c r="I287" s="504"/>
      <c r="J287" s="499"/>
      <c r="K287" s="500"/>
      <c r="L287" s="499"/>
      <c r="M287" s="500"/>
      <c r="N287" s="499"/>
      <c r="O287" s="500"/>
    </row>
    <row r="288" spans="2:15">
      <c r="B288" s="510"/>
      <c r="C288" s="323" t="s">
        <v>1522</v>
      </c>
      <c r="D288" s="322">
        <v>6</v>
      </c>
      <c r="E288" s="228">
        <v>750</v>
      </c>
      <c r="F288" s="229" t="s">
        <v>393</v>
      </c>
      <c r="G288" s="504"/>
      <c r="H288" s="504"/>
      <c r="I288" s="504"/>
      <c r="J288" s="499"/>
      <c r="K288" s="500"/>
      <c r="L288" s="499"/>
      <c r="M288" s="500"/>
      <c r="N288" s="499"/>
      <c r="O288" s="500"/>
    </row>
    <row r="289" spans="2:15">
      <c r="B289" s="510"/>
      <c r="C289" s="323" t="s">
        <v>1523</v>
      </c>
      <c r="D289" s="322">
        <v>3</v>
      </c>
      <c r="E289" s="222">
        <v>1000</v>
      </c>
      <c r="F289" s="229" t="s">
        <v>393</v>
      </c>
      <c r="G289" s="504"/>
      <c r="H289" s="504"/>
      <c r="I289" s="504"/>
      <c r="J289" s="499"/>
      <c r="K289" s="500"/>
      <c r="L289" s="499"/>
      <c r="M289" s="500"/>
      <c r="N289" s="499"/>
      <c r="O289" s="500"/>
    </row>
    <row r="290" spans="2:15">
      <c r="B290" s="510"/>
      <c r="C290" s="323" t="s">
        <v>1524</v>
      </c>
      <c r="D290" s="322">
        <v>1</v>
      </c>
      <c r="E290" s="222">
        <v>1500</v>
      </c>
      <c r="F290" s="229" t="s">
        <v>393</v>
      </c>
      <c r="G290" s="504"/>
      <c r="H290" s="504"/>
      <c r="I290" s="504"/>
      <c r="J290" s="499"/>
      <c r="K290" s="500"/>
      <c r="L290" s="499"/>
      <c r="M290" s="500"/>
      <c r="N290" s="499"/>
      <c r="O290" s="500"/>
    </row>
    <row r="291" spans="2:15">
      <c r="B291" s="510"/>
      <c r="C291" s="212" t="s">
        <v>736</v>
      </c>
      <c r="D291" s="213">
        <v>1</v>
      </c>
      <c r="E291" s="228">
        <v>2000</v>
      </c>
      <c r="F291" s="213" t="s">
        <v>391</v>
      </c>
      <c r="G291" s="490"/>
      <c r="H291" s="490">
        <f>SUM(E291:E296)</f>
        <v>59500</v>
      </c>
      <c r="I291" s="490">
        <f>SUM(E291:E304)</f>
        <v>594500</v>
      </c>
      <c r="J291" s="499"/>
      <c r="K291" s="500"/>
      <c r="L291" s="499"/>
      <c r="M291" s="500"/>
      <c r="N291" s="499"/>
      <c r="O291" s="500"/>
    </row>
    <row r="292" spans="2:15">
      <c r="B292" s="510"/>
      <c r="C292" s="212" t="s">
        <v>737</v>
      </c>
      <c r="D292" s="213">
        <v>10</v>
      </c>
      <c r="E292" s="228">
        <v>5000</v>
      </c>
      <c r="F292" s="213" t="s">
        <v>391</v>
      </c>
      <c r="G292" s="490"/>
      <c r="H292" s="490"/>
      <c r="I292" s="490"/>
      <c r="J292" s="499"/>
      <c r="K292" s="500"/>
      <c r="L292" s="499"/>
      <c r="M292" s="500"/>
      <c r="N292" s="499"/>
      <c r="O292" s="500"/>
    </row>
    <row r="293" spans="2:15">
      <c r="B293" s="510"/>
      <c r="C293" s="212" t="s">
        <v>738</v>
      </c>
      <c r="D293" s="213">
        <v>20</v>
      </c>
      <c r="E293" s="228">
        <v>7500</v>
      </c>
      <c r="F293" s="213" t="s">
        <v>391</v>
      </c>
      <c r="G293" s="490"/>
      <c r="H293" s="490"/>
      <c r="I293" s="490"/>
      <c r="J293" s="499"/>
      <c r="K293" s="500"/>
      <c r="L293" s="499"/>
      <c r="M293" s="500"/>
      <c r="N293" s="499"/>
      <c r="O293" s="500"/>
    </row>
    <row r="294" spans="2:15">
      <c r="B294" s="510"/>
      <c r="C294" s="212" t="s">
        <v>739</v>
      </c>
      <c r="D294" s="213">
        <v>30</v>
      </c>
      <c r="E294" s="228">
        <v>10000</v>
      </c>
      <c r="F294" s="213" t="s">
        <v>391</v>
      </c>
      <c r="G294" s="490"/>
      <c r="H294" s="490"/>
      <c r="I294" s="490"/>
      <c r="J294" s="499"/>
      <c r="K294" s="500"/>
      <c r="L294" s="499"/>
      <c r="M294" s="500"/>
      <c r="N294" s="499"/>
      <c r="O294" s="500"/>
    </row>
    <row r="295" spans="2:15">
      <c r="B295" s="510"/>
      <c r="C295" s="212" t="s">
        <v>740</v>
      </c>
      <c r="D295" s="213">
        <v>50</v>
      </c>
      <c r="E295" s="228">
        <v>15000</v>
      </c>
      <c r="F295" s="213" t="s">
        <v>391</v>
      </c>
      <c r="G295" s="490"/>
      <c r="H295" s="490"/>
      <c r="I295" s="490"/>
      <c r="J295" s="499"/>
      <c r="K295" s="500"/>
      <c r="L295" s="499"/>
      <c r="M295" s="500"/>
      <c r="N295" s="499"/>
      <c r="O295" s="500"/>
    </row>
    <row r="296" spans="2:15">
      <c r="B296" s="510"/>
      <c r="C296" s="212" t="s">
        <v>741</v>
      </c>
      <c r="D296" s="213">
        <v>100</v>
      </c>
      <c r="E296" s="228">
        <v>20000</v>
      </c>
      <c r="F296" s="213" t="s">
        <v>391</v>
      </c>
      <c r="G296" s="490"/>
      <c r="H296" s="490"/>
      <c r="I296" s="490"/>
      <c r="J296" s="499"/>
      <c r="K296" s="500"/>
      <c r="L296" s="499"/>
      <c r="M296" s="500"/>
      <c r="N296" s="499"/>
      <c r="O296" s="500"/>
    </row>
    <row r="297" spans="2:15">
      <c r="B297" s="510"/>
      <c r="C297" s="212" t="s">
        <v>742</v>
      </c>
      <c r="D297" s="213">
        <v>150</v>
      </c>
      <c r="E297" s="222">
        <v>25000</v>
      </c>
      <c r="F297" s="213" t="s">
        <v>391</v>
      </c>
      <c r="G297" s="490"/>
      <c r="H297" s="490"/>
      <c r="I297" s="490"/>
      <c r="J297" s="499"/>
      <c r="K297" s="500"/>
      <c r="L297" s="499"/>
      <c r="M297" s="500"/>
      <c r="N297" s="499"/>
      <c r="O297" s="500"/>
    </row>
    <row r="298" spans="2:15">
      <c r="B298" s="510"/>
      <c r="C298" s="212" t="s">
        <v>743</v>
      </c>
      <c r="D298" s="213">
        <v>200</v>
      </c>
      <c r="E298" s="222">
        <v>30000</v>
      </c>
      <c r="F298" s="213" t="s">
        <v>391</v>
      </c>
      <c r="G298" s="490"/>
      <c r="H298" s="490"/>
      <c r="I298" s="490"/>
      <c r="J298" s="499"/>
      <c r="K298" s="500"/>
      <c r="L298" s="499"/>
      <c r="M298" s="500"/>
      <c r="N298" s="499"/>
      <c r="O298" s="500"/>
    </row>
    <row r="299" spans="2:15">
      <c r="B299" s="510"/>
      <c r="C299" s="212" t="s">
        <v>744</v>
      </c>
      <c r="D299" s="213">
        <v>250</v>
      </c>
      <c r="E299" s="222">
        <v>40000</v>
      </c>
      <c r="F299" s="213" t="s">
        <v>391</v>
      </c>
      <c r="G299" s="490"/>
      <c r="H299" s="490"/>
      <c r="I299" s="490"/>
      <c r="J299" s="499"/>
      <c r="K299" s="500"/>
      <c r="L299" s="499"/>
      <c r="M299" s="500"/>
      <c r="N299" s="499"/>
      <c r="O299" s="500"/>
    </row>
    <row r="300" spans="2:15">
      <c r="B300" s="510"/>
      <c r="C300" s="212" t="s">
        <v>745</v>
      </c>
      <c r="D300" s="213">
        <v>300</v>
      </c>
      <c r="E300" s="222">
        <v>50000</v>
      </c>
      <c r="F300" s="213" t="s">
        <v>391</v>
      </c>
      <c r="G300" s="490"/>
      <c r="H300" s="490"/>
      <c r="I300" s="490"/>
      <c r="J300" s="499"/>
      <c r="K300" s="500"/>
      <c r="L300" s="499"/>
      <c r="M300" s="500"/>
      <c r="N300" s="499"/>
      <c r="O300" s="500"/>
    </row>
    <row r="301" spans="2:15">
      <c r="B301" s="510"/>
      <c r="C301" s="212" t="s">
        <v>746</v>
      </c>
      <c r="D301" s="213">
        <v>350</v>
      </c>
      <c r="E301" s="229">
        <v>60000</v>
      </c>
      <c r="F301" s="213" t="s">
        <v>391</v>
      </c>
      <c r="G301" s="490"/>
      <c r="H301" s="490"/>
      <c r="I301" s="490"/>
      <c r="J301" s="499"/>
      <c r="K301" s="500"/>
      <c r="L301" s="499"/>
      <c r="M301" s="500"/>
      <c r="N301" s="499"/>
      <c r="O301" s="500"/>
    </row>
    <row r="302" spans="2:15">
      <c r="B302" s="510"/>
      <c r="C302" s="212" t="s">
        <v>747</v>
      </c>
      <c r="D302" s="213">
        <v>400</v>
      </c>
      <c r="E302" s="229">
        <v>80000</v>
      </c>
      <c r="F302" s="213" t="s">
        <v>391</v>
      </c>
      <c r="G302" s="490"/>
      <c r="H302" s="490"/>
      <c r="I302" s="490"/>
      <c r="J302" s="499"/>
      <c r="K302" s="500"/>
      <c r="L302" s="499"/>
      <c r="M302" s="500"/>
      <c r="N302" s="499"/>
      <c r="O302" s="500"/>
    </row>
    <row r="303" spans="2:15">
      <c r="B303" s="510"/>
      <c r="C303" s="212" t="s">
        <v>748</v>
      </c>
      <c r="D303" s="213">
        <v>450</v>
      </c>
      <c r="E303" s="229">
        <v>100000</v>
      </c>
      <c r="F303" s="213" t="s">
        <v>391</v>
      </c>
      <c r="G303" s="490"/>
      <c r="H303" s="490"/>
      <c r="I303" s="490"/>
      <c r="J303" s="499"/>
      <c r="K303" s="500"/>
      <c r="L303" s="499"/>
      <c r="M303" s="500"/>
      <c r="N303" s="499"/>
      <c r="O303" s="500"/>
    </row>
    <row r="304" spans="2:15">
      <c r="B304" s="510"/>
      <c r="C304" s="212" t="s">
        <v>749</v>
      </c>
      <c r="D304" s="213">
        <v>500</v>
      </c>
      <c r="E304" s="229">
        <v>150000</v>
      </c>
      <c r="F304" s="213" t="s">
        <v>391</v>
      </c>
      <c r="G304" s="490"/>
      <c r="H304" s="490"/>
      <c r="I304" s="490"/>
      <c r="J304" s="499"/>
      <c r="K304" s="500"/>
      <c r="L304" s="499"/>
      <c r="M304" s="500"/>
      <c r="N304" s="499"/>
      <c r="O304" s="500"/>
    </row>
    <row r="305" spans="2:15">
      <c r="B305" s="510"/>
      <c r="C305" s="215" t="s">
        <v>750</v>
      </c>
      <c r="D305" s="216">
        <v>1</v>
      </c>
      <c r="E305" s="228">
        <v>10</v>
      </c>
      <c r="F305" s="216" t="s">
        <v>393</v>
      </c>
      <c r="G305" s="491"/>
      <c r="H305" s="505">
        <f>SUM(E305:E310)</f>
        <v>385</v>
      </c>
      <c r="I305" s="505">
        <f>SUM(E305:E318)</f>
        <v>2710</v>
      </c>
      <c r="J305" s="499"/>
      <c r="K305" s="500"/>
      <c r="L305" s="499"/>
      <c r="M305" s="500"/>
      <c r="N305" s="499"/>
      <c r="O305" s="500"/>
    </row>
    <row r="306" spans="2:15">
      <c r="B306" s="510"/>
      <c r="C306" s="215" t="s">
        <v>751</v>
      </c>
      <c r="D306" s="216">
        <v>10</v>
      </c>
      <c r="E306" s="228">
        <v>25</v>
      </c>
      <c r="F306" s="216" t="s">
        <v>393</v>
      </c>
      <c r="G306" s="491"/>
      <c r="H306" s="506"/>
      <c r="I306" s="506"/>
      <c r="J306" s="499"/>
      <c r="K306" s="500"/>
      <c r="L306" s="499"/>
      <c r="M306" s="500"/>
      <c r="N306" s="499"/>
      <c r="O306" s="500"/>
    </row>
    <row r="307" spans="2:15">
      <c r="B307" s="510"/>
      <c r="C307" s="215" t="s">
        <v>752</v>
      </c>
      <c r="D307" s="216">
        <v>20</v>
      </c>
      <c r="E307" s="228">
        <v>50</v>
      </c>
      <c r="F307" s="216" t="s">
        <v>393</v>
      </c>
      <c r="G307" s="491"/>
      <c r="H307" s="506"/>
      <c r="I307" s="506"/>
      <c r="J307" s="499"/>
      <c r="K307" s="500"/>
      <c r="L307" s="499"/>
      <c r="M307" s="500"/>
      <c r="N307" s="499"/>
      <c r="O307" s="500"/>
    </row>
    <row r="308" spans="2:15">
      <c r="B308" s="510"/>
      <c r="C308" s="215" t="s">
        <v>753</v>
      </c>
      <c r="D308" s="216">
        <v>30</v>
      </c>
      <c r="E308" s="228">
        <v>75</v>
      </c>
      <c r="F308" s="216" t="s">
        <v>393</v>
      </c>
      <c r="G308" s="491"/>
      <c r="H308" s="506"/>
      <c r="I308" s="506"/>
      <c r="J308" s="499"/>
      <c r="K308" s="500"/>
      <c r="L308" s="499"/>
      <c r="M308" s="500"/>
      <c r="N308" s="499"/>
      <c r="O308" s="500"/>
    </row>
    <row r="309" spans="2:15">
      <c r="B309" s="510"/>
      <c r="C309" s="215" t="s">
        <v>754</v>
      </c>
      <c r="D309" s="216">
        <v>50</v>
      </c>
      <c r="E309" s="228">
        <v>100</v>
      </c>
      <c r="F309" s="216" t="s">
        <v>393</v>
      </c>
      <c r="G309" s="491"/>
      <c r="H309" s="506"/>
      <c r="I309" s="506"/>
      <c r="J309" s="499"/>
      <c r="K309" s="500"/>
      <c r="L309" s="499"/>
      <c r="M309" s="500"/>
      <c r="N309" s="499"/>
      <c r="O309" s="500"/>
    </row>
    <row r="310" spans="2:15">
      <c r="B310" s="510"/>
      <c r="C310" s="215" t="s">
        <v>755</v>
      </c>
      <c r="D310" s="216">
        <v>100</v>
      </c>
      <c r="E310" s="228">
        <v>125</v>
      </c>
      <c r="F310" s="216" t="s">
        <v>393</v>
      </c>
      <c r="G310" s="491"/>
      <c r="H310" s="506"/>
      <c r="I310" s="506"/>
      <c r="J310" s="499"/>
      <c r="K310" s="500"/>
      <c r="L310" s="499"/>
      <c r="M310" s="500"/>
      <c r="N310" s="499"/>
      <c r="O310" s="500"/>
    </row>
    <row r="311" spans="2:15">
      <c r="B311" s="510"/>
      <c r="C311" s="215" t="s">
        <v>756</v>
      </c>
      <c r="D311" s="216">
        <v>150</v>
      </c>
      <c r="E311" s="222">
        <v>150</v>
      </c>
      <c r="F311" s="216" t="s">
        <v>393</v>
      </c>
      <c r="G311" s="491"/>
      <c r="H311" s="506"/>
      <c r="I311" s="506"/>
      <c r="J311" s="499"/>
      <c r="K311" s="500"/>
      <c r="L311" s="499"/>
      <c r="M311" s="500"/>
      <c r="N311" s="499"/>
      <c r="O311" s="500"/>
    </row>
    <row r="312" spans="2:15">
      <c r="B312" s="510"/>
      <c r="C312" s="215" t="s">
        <v>757</v>
      </c>
      <c r="D312" s="216">
        <v>200</v>
      </c>
      <c r="E312" s="222">
        <v>175</v>
      </c>
      <c r="F312" s="216" t="s">
        <v>393</v>
      </c>
      <c r="G312" s="491"/>
      <c r="H312" s="506"/>
      <c r="I312" s="506"/>
      <c r="J312" s="499"/>
      <c r="K312" s="500"/>
      <c r="L312" s="499"/>
      <c r="M312" s="500"/>
      <c r="N312" s="499"/>
      <c r="O312" s="500"/>
    </row>
    <row r="313" spans="2:15">
      <c r="B313" s="510"/>
      <c r="C313" s="215" t="s">
        <v>758</v>
      </c>
      <c r="D313" s="216">
        <v>250</v>
      </c>
      <c r="E313" s="222">
        <v>200</v>
      </c>
      <c r="F313" s="216" t="s">
        <v>393</v>
      </c>
      <c r="G313" s="491"/>
      <c r="H313" s="506"/>
      <c r="I313" s="506"/>
      <c r="J313" s="499"/>
      <c r="K313" s="500"/>
      <c r="L313" s="499"/>
      <c r="M313" s="500"/>
      <c r="N313" s="499"/>
      <c r="O313" s="500"/>
    </row>
    <row r="314" spans="2:15">
      <c r="B314" s="510"/>
      <c r="C314" s="215" t="s">
        <v>759</v>
      </c>
      <c r="D314" s="216">
        <v>300</v>
      </c>
      <c r="E314" s="222">
        <v>250</v>
      </c>
      <c r="F314" s="216" t="s">
        <v>393</v>
      </c>
      <c r="G314" s="491"/>
      <c r="H314" s="506"/>
      <c r="I314" s="506"/>
      <c r="J314" s="499"/>
      <c r="K314" s="500"/>
      <c r="L314" s="499"/>
      <c r="M314" s="500"/>
      <c r="N314" s="499"/>
      <c r="O314" s="500"/>
    </row>
    <row r="315" spans="2:15">
      <c r="B315" s="510"/>
      <c r="C315" s="215" t="s">
        <v>760</v>
      </c>
      <c r="D315" s="216">
        <v>350</v>
      </c>
      <c r="E315" s="222">
        <v>300</v>
      </c>
      <c r="F315" s="216" t="s">
        <v>393</v>
      </c>
      <c r="G315" s="491"/>
      <c r="H315" s="506"/>
      <c r="I315" s="506"/>
      <c r="J315" s="499"/>
      <c r="K315" s="500"/>
      <c r="L315" s="499"/>
      <c r="M315" s="500"/>
      <c r="N315" s="499"/>
      <c r="O315" s="500"/>
    </row>
    <row r="316" spans="2:15">
      <c r="B316" s="510"/>
      <c r="C316" s="215" t="s">
        <v>761</v>
      </c>
      <c r="D316" s="216">
        <v>400</v>
      </c>
      <c r="E316" s="222">
        <v>350</v>
      </c>
      <c r="F316" s="216" t="s">
        <v>393</v>
      </c>
      <c r="G316" s="491"/>
      <c r="H316" s="506"/>
      <c r="I316" s="506"/>
      <c r="J316" s="499"/>
      <c r="K316" s="500"/>
      <c r="L316" s="499"/>
      <c r="M316" s="500"/>
      <c r="N316" s="499"/>
      <c r="O316" s="500"/>
    </row>
    <row r="317" spans="2:15">
      <c r="B317" s="510"/>
      <c r="C317" s="215" t="s">
        <v>762</v>
      </c>
      <c r="D317" s="216">
        <v>450</v>
      </c>
      <c r="E317" s="222">
        <v>400</v>
      </c>
      <c r="F317" s="216" t="s">
        <v>393</v>
      </c>
      <c r="G317" s="491"/>
      <c r="H317" s="506"/>
      <c r="I317" s="506"/>
      <c r="J317" s="499"/>
      <c r="K317" s="500"/>
      <c r="L317" s="499"/>
      <c r="M317" s="500"/>
      <c r="N317" s="499"/>
      <c r="O317" s="500"/>
    </row>
    <row r="318" spans="2:15">
      <c r="B318" s="510"/>
      <c r="C318" s="215" t="s">
        <v>763</v>
      </c>
      <c r="D318" s="216">
        <v>500</v>
      </c>
      <c r="E318" s="222">
        <v>500</v>
      </c>
      <c r="F318" s="216" t="s">
        <v>393</v>
      </c>
      <c r="G318" s="491"/>
      <c r="H318" s="507"/>
      <c r="I318" s="507"/>
      <c r="J318" s="499"/>
      <c r="K318" s="500"/>
      <c r="L318" s="499"/>
      <c r="M318" s="500"/>
      <c r="N318" s="499"/>
      <c r="O318" s="500"/>
    </row>
    <row r="319" spans="2:15">
      <c r="B319" s="510"/>
      <c r="C319" s="212" t="s">
        <v>891</v>
      </c>
      <c r="D319" s="319">
        <v>5</v>
      </c>
      <c r="E319" s="319">
        <v>1000</v>
      </c>
      <c r="F319" s="213" t="s">
        <v>391</v>
      </c>
      <c r="G319" s="501">
        <f>SUM(E319:E330)</f>
        <v>136000</v>
      </c>
      <c r="H319" s="490">
        <f>SUM(E319:E334)</f>
        <v>286000</v>
      </c>
      <c r="I319" s="490">
        <f>SUM(E319:E337)</f>
        <v>466000</v>
      </c>
      <c r="J319" s="499"/>
      <c r="K319" s="500"/>
      <c r="L319" s="499"/>
      <c r="M319" s="500"/>
      <c r="N319" s="499"/>
      <c r="O319" s="500"/>
    </row>
    <row r="320" spans="2:15">
      <c r="B320" s="510"/>
      <c r="C320" s="212" t="s">
        <v>892</v>
      </c>
      <c r="D320" s="319">
        <f>D319+5</f>
        <v>10</v>
      </c>
      <c r="E320" s="319">
        <v>2000</v>
      </c>
      <c r="F320" s="213" t="s">
        <v>391</v>
      </c>
      <c r="G320" s="502"/>
      <c r="H320" s="490"/>
      <c r="I320" s="490"/>
      <c r="J320" s="499"/>
      <c r="K320" s="500"/>
      <c r="L320" s="499"/>
      <c r="M320" s="500"/>
      <c r="N320" s="499"/>
      <c r="O320" s="500"/>
    </row>
    <row r="321" spans="2:15">
      <c r="B321" s="510"/>
      <c r="C321" s="212" t="s">
        <v>893</v>
      </c>
      <c r="D321" s="319">
        <f t="shared" ref="D321:D322" si="0">D320+5</f>
        <v>15</v>
      </c>
      <c r="E321" s="319">
        <v>4000</v>
      </c>
      <c r="F321" s="213" t="s">
        <v>391</v>
      </c>
      <c r="G321" s="502"/>
      <c r="H321" s="490"/>
      <c r="I321" s="490"/>
      <c r="J321" s="499"/>
      <c r="K321" s="500"/>
      <c r="L321" s="499"/>
      <c r="M321" s="500"/>
      <c r="N321" s="499"/>
      <c r="O321" s="500"/>
    </row>
    <row r="322" spans="2:15">
      <c r="B322" s="510"/>
      <c r="C322" s="212" t="s">
        <v>894</v>
      </c>
      <c r="D322" s="319">
        <f t="shared" si="0"/>
        <v>20</v>
      </c>
      <c r="E322" s="319">
        <v>6000</v>
      </c>
      <c r="F322" s="213" t="s">
        <v>391</v>
      </c>
      <c r="G322" s="502"/>
      <c r="H322" s="490"/>
      <c r="I322" s="490"/>
      <c r="J322" s="499"/>
      <c r="K322" s="500"/>
      <c r="L322" s="499"/>
      <c r="M322" s="500"/>
      <c r="N322" s="499"/>
      <c r="O322" s="500"/>
    </row>
    <row r="323" spans="2:15">
      <c r="B323" s="510"/>
      <c r="C323" s="212" t="s">
        <v>895</v>
      </c>
      <c r="D323" s="319">
        <f>D322+10</f>
        <v>30</v>
      </c>
      <c r="E323" s="319">
        <v>8000</v>
      </c>
      <c r="F323" s="213" t="s">
        <v>391</v>
      </c>
      <c r="G323" s="502"/>
      <c r="H323" s="490"/>
      <c r="I323" s="490"/>
      <c r="J323" s="499"/>
      <c r="K323" s="500"/>
      <c r="L323" s="499"/>
      <c r="M323" s="500"/>
      <c r="N323" s="499"/>
      <c r="O323" s="500"/>
    </row>
    <row r="324" spans="2:15">
      <c r="B324" s="510"/>
      <c r="C324" s="212" t="s">
        <v>896</v>
      </c>
      <c r="D324" s="319">
        <f t="shared" ref="D324:D330" si="1">D323+10</f>
        <v>40</v>
      </c>
      <c r="E324" s="319">
        <v>10000</v>
      </c>
      <c r="F324" s="213" t="s">
        <v>391</v>
      </c>
      <c r="G324" s="502"/>
      <c r="H324" s="490"/>
      <c r="I324" s="490"/>
      <c r="J324" s="499"/>
      <c r="K324" s="500"/>
      <c r="L324" s="499"/>
      <c r="M324" s="500"/>
      <c r="N324" s="499"/>
      <c r="O324" s="500"/>
    </row>
    <row r="325" spans="2:15">
      <c r="B325" s="510"/>
      <c r="C325" s="212" t="s">
        <v>897</v>
      </c>
      <c r="D325" s="319">
        <f t="shared" si="1"/>
        <v>50</v>
      </c>
      <c r="E325" s="319">
        <v>12000</v>
      </c>
      <c r="F325" s="213" t="s">
        <v>391</v>
      </c>
      <c r="G325" s="502"/>
      <c r="H325" s="490"/>
      <c r="I325" s="490"/>
      <c r="J325" s="499"/>
      <c r="K325" s="500"/>
      <c r="L325" s="499"/>
      <c r="M325" s="500"/>
      <c r="N325" s="499"/>
      <c r="O325" s="500"/>
    </row>
    <row r="326" spans="2:15">
      <c r="B326" s="510"/>
      <c r="C326" s="212" t="s">
        <v>898</v>
      </c>
      <c r="D326" s="319">
        <f t="shared" si="1"/>
        <v>60</v>
      </c>
      <c r="E326" s="319">
        <v>14000</v>
      </c>
      <c r="F326" s="213" t="s">
        <v>391</v>
      </c>
      <c r="G326" s="502"/>
      <c r="H326" s="490"/>
      <c r="I326" s="490"/>
      <c r="J326" s="499"/>
      <c r="K326" s="500"/>
      <c r="L326" s="499"/>
      <c r="M326" s="500"/>
      <c r="N326" s="499"/>
      <c r="O326" s="500"/>
    </row>
    <row r="327" spans="2:15">
      <c r="B327" s="510"/>
      <c r="C327" s="212" t="s">
        <v>899</v>
      </c>
      <c r="D327" s="319">
        <f t="shared" si="1"/>
        <v>70</v>
      </c>
      <c r="E327" s="319">
        <v>16000</v>
      </c>
      <c r="F327" s="213" t="s">
        <v>391</v>
      </c>
      <c r="G327" s="502"/>
      <c r="H327" s="490"/>
      <c r="I327" s="490"/>
      <c r="J327" s="499"/>
      <c r="K327" s="500"/>
      <c r="L327" s="499"/>
      <c r="M327" s="500"/>
      <c r="N327" s="499"/>
      <c r="O327" s="500"/>
    </row>
    <row r="328" spans="2:15">
      <c r="B328" s="510"/>
      <c r="C328" s="212" t="s">
        <v>900</v>
      </c>
      <c r="D328" s="319">
        <f t="shared" si="1"/>
        <v>80</v>
      </c>
      <c r="E328" s="319">
        <v>18000</v>
      </c>
      <c r="F328" s="213" t="s">
        <v>391</v>
      </c>
      <c r="G328" s="502"/>
      <c r="H328" s="490"/>
      <c r="I328" s="490"/>
      <c r="J328" s="499"/>
      <c r="K328" s="500"/>
      <c r="L328" s="499"/>
      <c r="M328" s="500"/>
      <c r="N328" s="499"/>
      <c r="O328" s="500"/>
    </row>
    <row r="329" spans="2:15">
      <c r="B329" s="510"/>
      <c r="C329" s="212" t="s">
        <v>901</v>
      </c>
      <c r="D329" s="319">
        <f t="shared" si="1"/>
        <v>90</v>
      </c>
      <c r="E329" s="319">
        <v>20000</v>
      </c>
      <c r="F329" s="213" t="s">
        <v>391</v>
      </c>
      <c r="G329" s="502"/>
      <c r="H329" s="490"/>
      <c r="I329" s="490"/>
      <c r="J329" s="499"/>
      <c r="K329" s="500"/>
      <c r="L329" s="499"/>
      <c r="M329" s="500"/>
      <c r="N329" s="499"/>
      <c r="O329" s="500"/>
    </row>
    <row r="330" spans="2:15">
      <c r="B330" s="510"/>
      <c r="C330" s="212" t="s">
        <v>902</v>
      </c>
      <c r="D330" s="319">
        <f t="shared" si="1"/>
        <v>100</v>
      </c>
      <c r="E330" s="319">
        <v>25000</v>
      </c>
      <c r="F330" s="213" t="s">
        <v>391</v>
      </c>
      <c r="G330" s="502"/>
      <c r="H330" s="490"/>
      <c r="I330" s="490"/>
      <c r="J330" s="499"/>
      <c r="K330" s="500"/>
      <c r="L330" s="499"/>
      <c r="M330" s="500"/>
      <c r="N330" s="499"/>
      <c r="O330" s="500"/>
    </row>
    <row r="331" spans="2:15">
      <c r="B331" s="510"/>
      <c r="C331" s="212" t="s">
        <v>903</v>
      </c>
      <c r="D331" s="319">
        <f t="shared" ref="D331:D334" si="2">D330+50</f>
        <v>150</v>
      </c>
      <c r="E331" s="320">
        <v>30000</v>
      </c>
      <c r="F331" s="213" t="s">
        <v>391</v>
      </c>
      <c r="G331" s="502"/>
      <c r="H331" s="490"/>
      <c r="I331" s="490"/>
      <c r="J331" s="499"/>
      <c r="K331" s="500"/>
      <c r="L331" s="499"/>
      <c r="M331" s="500"/>
      <c r="N331" s="499"/>
      <c r="O331" s="500"/>
    </row>
    <row r="332" spans="2:15">
      <c r="B332" s="510"/>
      <c r="C332" s="212" t="s">
        <v>904</v>
      </c>
      <c r="D332" s="319">
        <f t="shared" si="2"/>
        <v>200</v>
      </c>
      <c r="E332" s="320">
        <v>35000</v>
      </c>
      <c r="F332" s="213" t="s">
        <v>391</v>
      </c>
      <c r="G332" s="502"/>
      <c r="H332" s="490"/>
      <c r="I332" s="490"/>
      <c r="J332" s="499"/>
      <c r="K332" s="500"/>
      <c r="L332" s="499"/>
      <c r="M332" s="500"/>
      <c r="N332" s="499"/>
      <c r="O332" s="500"/>
    </row>
    <row r="333" spans="2:15">
      <c r="B333" s="510"/>
      <c r="C333" s="212" t="s">
        <v>905</v>
      </c>
      <c r="D333" s="319">
        <f t="shared" si="2"/>
        <v>250</v>
      </c>
      <c r="E333" s="320">
        <v>40000</v>
      </c>
      <c r="F333" s="213" t="s">
        <v>391</v>
      </c>
      <c r="G333" s="502"/>
      <c r="H333" s="490"/>
      <c r="I333" s="490"/>
      <c r="J333" s="499"/>
      <c r="K333" s="500"/>
      <c r="L333" s="499"/>
      <c r="M333" s="500"/>
      <c r="N333" s="499"/>
      <c r="O333" s="500"/>
    </row>
    <row r="334" spans="2:15">
      <c r="B334" s="510"/>
      <c r="C334" s="212" t="s">
        <v>906</v>
      </c>
      <c r="D334" s="319">
        <f t="shared" si="2"/>
        <v>300</v>
      </c>
      <c r="E334" s="320">
        <v>45000</v>
      </c>
      <c r="F334" s="213" t="s">
        <v>391</v>
      </c>
      <c r="G334" s="502"/>
      <c r="H334" s="490"/>
      <c r="I334" s="490"/>
      <c r="J334" s="499"/>
      <c r="K334" s="500"/>
      <c r="L334" s="499"/>
      <c r="M334" s="500"/>
      <c r="N334" s="499"/>
      <c r="O334" s="500"/>
    </row>
    <row r="335" spans="2:15">
      <c r="B335" s="510"/>
      <c r="C335" s="212" t="s">
        <v>907</v>
      </c>
      <c r="D335" s="319">
        <f t="shared" ref="D335:D338" si="3">D334+100</f>
        <v>400</v>
      </c>
      <c r="E335" s="321">
        <v>50000</v>
      </c>
      <c r="F335" s="213" t="s">
        <v>391</v>
      </c>
      <c r="G335" s="502"/>
      <c r="H335" s="490"/>
      <c r="I335" s="490"/>
      <c r="J335" s="499"/>
      <c r="K335" s="500"/>
      <c r="L335" s="499"/>
      <c r="M335" s="500"/>
      <c r="N335" s="499"/>
      <c r="O335" s="500"/>
    </row>
    <row r="336" spans="2:15">
      <c r="B336" s="510"/>
      <c r="C336" s="212" t="s">
        <v>908</v>
      </c>
      <c r="D336" s="319">
        <f t="shared" si="3"/>
        <v>500</v>
      </c>
      <c r="E336" s="321">
        <v>60000</v>
      </c>
      <c r="F336" s="213" t="s">
        <v>391</v>
      </c>
      <c r="G336" s="502"/>
      <c r="H336" s="490"/>
      <c r="I336" s="490"/>
      <c r="J336" s="499"/>
      <c r="K336" s="500"/>
      <c r="L336" s="499"/>
      <c r="M336" s="500"/>
      <c r="N336" s="499"/>
      <c r="O336" s="500"/>
    </row>
    <row r="337" spans="2:15">
      <c r="B337" s="510"/>
      <c r="C337" s="212" t="s">
        <v>1514</v>
      </c>
      <c r="D337" s="319">
        <f t="shared" si="3"/>
        <v>600</v>
      </c>
      <c r="E337" s="321">
        <v>70000</v>
      </c>
      <c r="F337" s="213" t="s">
        <v>391</v>
      </c>
      <c r="G337" s="502"/>
      <c r="H337" s="490"/>
      <c r="I337" s="490"/>
      <c r="J337" s="499"/>
      <c r="K337" s="500"/>
      <c r="L337" s="499"/>
      <c r="M337" s="500"/>
      <c r="N337" s="499"/>
      <c r="O337" s="500"/>
    </row>
    <row r="338" spans="2:15">
      <c r="B338" s="510"/>
      <c r="C338" s="212" t="s">
        <v>1515</v>
      </c>
      <c r="D338" s="319">
        <f t="shared" si="3"/>
        <v>700</v>
      </c>
      <c r="E338" s="322">
        <v>80000</v>
      </c>
      <c r="F338" s="213" t="s">
        <v>391</v>
      </c>
      <c r="G338" s="502"/>
      <c r="H338" s="490"/>
      <c r="I338" s="490"/>
      <c r="J338" s="499"/>
      <c r="K338" s="500"/>
      <c r="L338" s="499"/>
      <c r="M338" s="500"/>
      <c r="N338" s="499"/>
      <c r="O338" s="500"/>
    </row>
    <row r="339" spans="2:15">
      <c r="B339" s="510"/>
      <c r="C339" s="212" t="s">
        <v>1516</v>
      </c>
      <c r="D339" s="319">
        <f>D338+100</f>
        <v>800</v>
      </c>
      <c r="E339" s="322">
        <v>100000</v>
      </c>
      <c r="F339" s="213" t="s">
        <v>391</v>
      </c>
      <c r="G339" s="502"/>
      <c r="H339" s="490"/>
      <c r="I339" s="490"/>
      <c r="J339" s="499"/>
      <c r="K339" s="500"/>
      <c r="L339" s="499"/>
      <c r="M339" s="500"/>
      <c r="N339" s="499"/>
      <c r="O339" s="500"/>
    </row>
    <row r="340" spans="2:15">
      <c r="B340" s="510"/>
      <c r="C340" s="212" t="s">
        <v>1517</v>
      </c>
      <c r="D340" s="319">
        <f t="shared" ref="D340:D341" si="4">D339+100</f>
        <v>900</v>
      </c>
      <c r="E340" s="322">
        <v>120000</v>
      </c>
      <c r="F340" s="213" t="s">
        <v>391</v>
      </c>
      <c r="G340" s="502"/>
      <c r="H340" s="490"/>
      <c r="I340" s="490"/>
      <c r="J340" s="499"/>
      <c r="K340" s="500"/>
      <c r="L340" s="499"/>
      <c r="M340" s="500"/>
      <c r="N340" s="499"/>
      <c r="O340" s="500"/>
    </row>
    <row r="341" spans="2:15">
      <c r="B341" s="510"/>
      <c r="C341" s="212" t="s">
        <v>1518</v>
      </c>
      <c r="D341" s="319">
        <f t="shared" si="4"/>
        <v>1000</v>
      </c>
      <c r="E341" s="322">
        <v>140000</v>
      </c>
      <c r="F341" s="213" t="s">
        <v>391</v>
      </c>
      <c r="G341" s="503"/>
      <c r="H341" s="490"/>
      <c r="I341" s="490"/>
      <c r="J341" s="499"/>
      <c r="K341" s="500"/>
      <c r="L341" s="499"/>
      <c r="M341" s="500"/>
      <c r="N341" s="499"/>
      <c r="O341" s="500"/>
    </row>
    <row r="342" spans="2:15">
      <c r="B342" s="510"/>
      <c r="C342" s="215" t="s">
        <v>764</v>
      </c>
      <c r="D342" s="216">
        <v>1</v>
      </c>
      <c r="E342" s="216">
        <v>5000</v>
      </c>
      <c r="F342" s="216" t="s">
        <v>391</v>
      </c>
      <c r="G342" s="491">
        <f>SUM(E342:E343)</f>
        <v>15000</v>
      </c>
      <c r="H342" s="491">
        <f>SUM(E342:E345)</f>
        <v>40000</v>
      </c>
      <c r="I342" s="491">
        <f>SUM(E342:E349)</f>
        <v>155000</v>
      </c>
      <c r="J342" s="499"/>
      <c r="K342" s="500"/>
      <c r="L342" s="499"/>
      <c r="M342" s="500"/>
      <c r="N342" s="499"/>
      <c r="O342" s="500"/>
    </row>
    <row r="343" spans="2:15">
      <c r="B343" s="510"/>
      <c r="C343" s="215" t="s">
        <v>765</v>
      </c>
      <c r="D343" s="216">
        <v>10</v>
      </c>
      <c r="E343" s="217">
        <v>10000</v>
      </c>
      <c r="F343" s="216" t="s">
        <v>391</v>
      </c>
      <c r="G343" s="491"/>
      <c r="H343" s="491"/>
      <c r="I343" s="491"/>
      <c r="J343" s="499"/>
      <c r="K343" s="500"/>
      <c r="L343" s="499"/>
      <c r="M343" s="500"/>
      <c r="N343" s="499"/>
      <c r="O343" s="500"/>
    </row>
    <row r="344" spans="2:15">
      <c r="B344" s="510"/>
      <c r="C344" s="215" t="s">
        <v>766</v>
      </c>
      <c r="D344" s="216">
        <v>20</v>
      </c>
      <c r="E344" s="228">
        <v>10000</v>
      </c>
      <c r="F344" s="216" t="s">
        <v>391</v>
      </c>
      <c r="G344" s="491"/>
      <c r="H344" s="491"/>
      <c r="I344" s="491"/>
      <c r="J344" s="499"/>
      <c r="K344" s="500"/>
      <c r="L344" s="499"/>
      <c r="M344" s="500"/>
      <c r="N344" s="499"/>
      <c r="O344" s="500"/>
    </row>
    <row r="345" spans="2:15">
      <c r="B345" s="510"/>
      <c r="C345" s="215" t="s">
        <v>767</v>
      </c>
      <c r="D345" s="216">
        <v>30</v>
      </c>
      <c r="E345" s="228">
        <v>15000</v>
      </c>
      <c r="F345" s="216" t="s">
        <v>391</v>
      </c>
      <c r="G345" s="491"/>
      <c r="H345" s="491"/>
      <c r="I345" s="491"/>
      <c r="J345" s="499"/>
      <c r="K345" s="500"/>
      <c r="L345" s="499"/>
      <c r="M345" s="500"/>
      <c r="N345" s="499"/>
      <c r="O345" s="500"/>
    </row>
    <row r="346" spans="2:15">
      <c r="B346" s="510"/>
      <c r="C346" s="215" t="s">
        <v>768</v>
      </c>
      <c r="D346" s="216">
        <v>50</v>
      </c>
      <c r="E346" s="221">
        <v>20000</v>
      </c>
      <c r="F346" s="216" t="s">
        <v>391</v>
      </c>
      <c r="G346" s="491"/>
      <c r="H346" s="491"/>
      <c r="I346" s="491"/>
      <c r="J346" s="499"/>
      <c r="K346" s="500"/>
      <c r="L346" s="499"/>
      <c r="M346" s="500"/>
      <c r="N346" s="499"/>
      <c r="O346" s="500"/>
    </row>
    <row r="347" spans="2:15">
      <c r="B347" s="510"/>
      <c r="C347" s="215" t="s">
        <v>769</v>
      </c>
      <c r="D347" s="216">
        <v>100</v>
      </c>
      <c r="E347" s="221">
        <v>25000</v>
      </c>
      <c r="F347" s="216" t="s">
        <v>391</v>
      </c>
      <c r="G347" s="491"/>
      <c r="H347" s="491"/>
      <c r="I347" s="491"/>
      <c r="J347" s="499"/>
      <c r="K347" s="500"/>
      <c r="L347" s="499"/>
      <c r="M347" s="500"/>
      <c r="N347" s="499"/>
      <c r="O347" s="500"/>
    </row>
    <row r="348" spans="2:15">
      <c r="B348" s="510"/>
      <c r="C348" s="215" t="s">
        <v>770</v>
      </c>
      <c r="D348" s="216">
        <v>150</v>
      </c>
      <c r="E348" s="221">
        <v>30000</v>
      </c>
      <c r="F348" s="216" t="s">
        <v>391</v>
      </c>
      <c r="G348" s="491"/>
      <c r="H348" s="491"/>
      <c r="I348" s="491"/>
      <c r="J348" s="499"/>
      <c r="K348" s="500"/>
      <c r="L348" s="499"/>
      <c r="M348" s="500"/>
      <c r="N348" s="499"/>
      <c r="O348" s="500"/>
    </row>
    <row r="349" spans="2:15">
      <c r="B349" s="510"/>
      <c r="C349" s="215" t="s">
        <v>771</v>
      </c>
      <c r="D349" s="216">
        <v>200</v>
      </c>
      <c r="E349" s="221">
        <v>40000</v>
      </c>
      <c r="F349" s="216" t="s">
        <v>391</v>
      </c>
      <c r="G349" s="491"/>
      <c r="H349" s="491"/>
      <c r="I349" s="491"/>
      <c r="J349" s="499"/>
      <c r="K349" s="500"/>
      <c r="L349" s="499"/>
      <c r="M349" s="500"/>
      <c r="N349" s="499"/>
      <c r="O349" s="500"/>
    </row>
    <row r="350" spans="2:15">
      <c r="B350" s="510"/>
      <c r="C350" s="215" t="s">
        <v>772</v>
      </c>
      <c r="D350" s="216">
        <v>250</v>
      </c>
      <c r="E350" s="229">
        <v>50000</v>
      </c>
      <c r="F350" s="216" t="s">
        <v>391</v>
      </c>
      <c r="G350" s="491"/>
      <c r="H350" s="491"/>
      <c r="I350" s="491"/>
      <c r="J350" s="499"/>
      <c r="K350" s="500"/>
      <c r="L350" s="499"/>
      <c r="M350" s="500"/>
      <c r="N350" s="499"/>
      <c r="O350" s="500"/>
    </row>
    <row r="351" spans="2:15">
      <c r="B351" s="510"/>
      <c r="C351" s="215" t="s">
        <v>773</v>
      </c>
      <c r="D351" s="216">
        <v>300</v>
      </c>
      <c r="E351" s="229">
        <v>60000</v>
      </c>
      <c r="F351" s="216" t="s">
        <v>391</v>
      </c>
      <c r="G351" s="491"/>
      <c r="H351" s="491"/>
      <c r="I351" s="491"/>
      <c r="J351" s="499"/>
      <c r="K351" s="500"/>
      <c r="L351" s="499"/>
      <c r="M351" s="500"/>
      <c r="N351" s="499"/>
      <c r="O351" s="500"/>
    </row>
    <row r="352" spans="2:15">
      <c r="B352" s="510"/>
      <c r="C352" s="215" t="s">
        <v>774</v>
      </c>
      <c r="D352" s="216">
        <v>350</v>
      </c>
      <c r="E352" s="229">
        <v>80000</v>
      </c>
      <c r="F352" s="216" t="s">
        <v>391</v>
      </c>
      <c r="G352" s="491"/>
      <c r="H352" s="491"/>
      <c r="I352" s="491"/>
      <c r="J352" s="499"/>
      <c r="K352" s="500"/>
      <c r="L352" s="499"/>
      <c r="M352" s="500"/>
      <c r="N352" s="499"/>
      <c r="O352" s="500"/>
    </row>
    <row r="353" spans="2:15">
      <c r="B353" s="510"/>
      <c r="C353" s="215" t="s">
        <v>775</v>
      </c>
      <c r="D353" s="216">
        <v>400</v>
      </c>
      <c r="E353" s="229">
        <v>100000</v>
      </c>
      <c r="F353" s="216" t="s">
        <v>391</v>
      </c>
      <c r="G353" s="491"/>
      <c r="H353" s="491"/>
      <c r="I353" s="491"/>
      <c r="J353" s="499"/>
      <c r="K353" s="500"/>
      <c r="L353" s="499"/>
      <c r="M353" s="500"/>
      <c r="N353" s="499"/>
      <c r="O353" s="500"/>
    </row>
    <row r="354" spans="2:15">
      <c r="B354" s="510"/>
      <c r="C354" s="215" t="s">
        <v>776</v>
      </c>
      <c r="D354" s="216">
        <v>450</v>
      </c>
      <c r="E354" s="229">
        <v>120000</v>
      </c>
      <c r="F354" s="216" t="s">
        <v>391</v>
      </c>
      <c r="G354" s="491"/>
      <c r="H354" s="491"/>
      <c r="I354" s="491"/>
      <c r="J354" s="499"/>
      <c r="K354" s="500"/>
      <c r="L354" s="499"/>
      <c r="M354" s="500"/>
      <c r="N354" s="499"/>
      <c r="O354" s="500"/>
    </row>
    <row r="355" spans="2:15">
      <c r="B355" s="510"/>
      <c r="C355" s="215" t="s">
        <v>777</v>
      </c>
      <c r="D355" s="216">
        <v>500</v>
      </c>
      <c r="E355" s="229">
        <v>150000</v>
      </c>
      <c r="F355" s="216" t="s">
        <v>391</v>
      </c>
      <c r="G355" s="491"/>
      <c r="H355" s="491"/>
      <c r="I355" s="491"/>
      <c r="J355" s="499"/>
      <c r="K355" s="500"/>
      <c r="L355" s="499"/>
      <c r="M355" s="500"/>
      <c r="N355" s="499"/>
      <c r="O355" s="500"/>
    </row>
    <row r="356" spans="2:15">
      <c r="B356" s="510"/>
      <c r="C356" s="220" t="s">
        <v>778</v>
      </c>
      <c r="D356" s="214">
        <v>1</v>
      </c>
      <c r="E356" s="214">
        <v>10000</v>
      </c>
      <c r="F356" s="214" t="s">
        <v>391</v>
      </c>
      <c r="G356" s="490">
        <f>SUM(E356)</f>
        <v>10000</v>
      </c>
      <c r="H356" s="490">
        <f>SUM(E356:E358)</f>
        <v>70000</v>
      </c>
      <c r="I356" s="490">
        <f>SUM(E356:E361)</f>
        <v>225000</v>
      </c>
      <c r="J356" s="499"/>
      <c r="K356" s="500"/>
      <c r="L356" s="499"/>
      <c r="M356" s="500"/>
      <c r="N356" s="499"/>
      <c r="O356" s="500"/>
    </row>
    <row r="357" spans="2:15">
      <c r="B357" s="510"/>
      <c r="C357" s="220" t="s">
        <v>779</v>
      </c>
      <c r="D357" s="214">
        <v>10</v>
      </c>
      <c r="E357" s="228">
        <v>20000</v>
      </c>
      <c r="F357" s="214" t="s">
        <v>391</v>
      </c>
      <c r="G357" s="490"/>
      <c r="H357" s="490"/>
      <c r="I357" s="490"/>
      <c r="J357" s="499"/>
      <c r="K357" s="500"/>
      <c r="L357" s="499"/>
      <c r="M357" s="500"/>
      <c r="N357" s="499"/>
      <c r="O357" s="500"/>
    </row>
    <row r="358" spans="2:15">
      <c r="B358" s="510"/>
      <c r="C358" s="220" t="s">
        <v>780</v>
      </c>
      <c r="D358" s="214">
        <v>20</v>
      </c>
      <c r="E358" s="228">
        <v>40000</v>
      </c>
      <c r="F358" s="214" t="s">
        <v>391</v>
      </c>
      <c r="G358" s="490"/>
      <c r="H358" s="490"/>
      <c r="I358" s="490"/>
      <c r="J358" s="499"/>
      <c r="K358" s="500"/>
      <c r="L358" s="499"/>
      <c r="M358" s="500"/>
      <c r="N358" s="499"/>
      <c r="O358" s="500"/>
    </row>
    <row r="359" spans="2:15">
      <c r="B359" s="510"/>
      <c r="C359" s="220" t="s">
        <v>781</v>
      </c>
      <c r="D359" s="214">
        <v>30</v>
      </c>
      <c r="E359" s="221">
        <v>30000</v>
      </c>
      <c r="F359" s="214" t="s">
        <v>391</v>
      </c>
      <c r="G359" s="490"/>
      <c r="H359" s="490"/>
      <c r="I359" s="490"/>
      <c r="J359" s="499"/>
      <c r="K359" s="500"/>
      <c r="L359" s="499"/>
      <c r="M359" s="500"/>
      <c r="N359" s="499"/>
      <c r="O359" s="500"/>
    </row>
    <row r="360" spans="2:15">
      <c r="B360" s="510"/>
      <c r="C360" s="220" t="s">
        <v>782</v>
      </c>
      <c r="D360" s="214">
        <v>50</v>
      </c>
      <c r="E360" s="221">
        <v>50000</v>
      </c>
      <c r="F360" s="214" t="s">
        <v>391</v>
      </c>
      <c r="G360" s="490"/>
      <c r="H360" s="490"/>
      <c r="I360" s="490"/>
      <c r="J360" s="499"/>
      <c r="K360" s="500"/>
      <c r="L360" s="499"/>
      <c r="M360" s="500"/>
      <c r="N360" s="499"/>
      <c r="O360" s="500"/>
    </row>
    <row r="361" spans="2:15">
      <c r="B361" s="510"/>
      <c r="C361" s="220" t="s">
        <v>783</v>
      </c>
      <c r="D361" s="214">
        <v>100</v>
      </c>
      <c r="E361" s="221">
        <v>75000</v>
      </c>
      <c r="F361" s="214" t="s">
        <v>391</v>
      </c>
      <c r="G361" s="490"/>
      <c r="H361" s="490"/>
      <c r="I361" s="490"/>
      <c r="J361" s="499"/>
      <c r="K361" s="500"/>
      <c r="L361" s="499"/>
      <c r="M361" s="500"/>
      <c r="N361" s="499"/>
      <c r="O361" s="500"/>
    </row>
    <row r="362" spans="2:15">
      <c r="B362" s="510"/>
      <c r="C362" s="220" t="s">
        <v>784</v>
      </c>
      <c r="D362" s="214">
        <v>150</v>
      </c>
      <c r="E362" s="229">
        <v>100000</v>
      </c>
      <c r="F362" s="214" t="s">
        <v>391</v>
      </c>
      <c r="G362" s="490"/>
      <c r="H362" s="490"/>
      <c r="I362" s="490"/>
      <c r="J362" s="499"/>
      <c r="K362" s="500"/>
      <c r="L362" s="499"/>
      <c r="M362" s="500"/>
      <c r="N362" s="499"/>
      <c r="O362" s="500"/>
    </row>
    <row r="363" spans="2:15">
      <c r="B363" s="510"/>
      <c r="C363" s="220" t="s">
        <v>785</v>
      </c>
      <c r="D363" s="214">
        <v>200</v>
      </c>
      <c r="E363" s="229">
        <v>125000</v>
      </c>
      <c r="F363" s="214" t="s">
        <v>391</v>
      </c>
      <c r="G363" s="490"/>
      <c r="H363" s="490"/>
      <c r="I363" s="490"/>
      <c r="J363" s="499"/>
      <c r="K363" s="500"/>
      <c r="L363" s="499"/>
      <c r="M363" s="500"/>
      <c r="N363" s="499"/>
      <c r="O363" s="500"/>
    </row>
    <row r="364" spans="2:15">
      <c r="B364" s="510"/>
      <c r="C364" s="220" t="s">
        <v>786</v>
      </c>
      <c r="D364" s="214">
        <v>250</v>
      </c>
      <c r="E364" s="229">
        <v>150000</v>
      </c>
      <c r="F364" s="214" t="s">
        <v>391</v>
      </c>
      <c r="G364" s="490"/>
      <c r="H364" s="490"/>
      <c r="I364" s="490"/>
      <c r="J364" s="499"/>
      <c r="K364" s="500"/>
      <c r="L364" s="499"/>
      <c r="M364" s="500"/>
      <c r="N364" s="499"/>
      <c r="O364" s="500"/>
    </row>
    <row r="365" spans="2:15">
      <c r="B365" s="510"/>
      <c r="C365" s="220" t="s">
        <v>787</v>
      </c>
      <c r="D365" s="214">
        <v>300</v>
      </c>
      <c r="E365" s="229">
        <v>180000</v>
      </c>
      <c r="F365" s="214" t="s">
        <v>391</v>
      </c>
      <c r="G365" s="490"/>
      <c r="H365" s="490"/>
      <c r="I365" s="490"/>
      <c r="J365" s="499"/>
      <c r="K365" s="500"/>
      <c r="L365" s="499"/>
      <c r="M365" s="500"/>
      <c r="N365" s="499"/>
      <c r="O365" s="500"/>
    </row>
    <row r="366" spans="2:15">
      <c r="B366" s="510"/>
      <c r="C366" s="220" t="s">
        <v>788</v>
      </c>
      <c r="D366" s="214">
        <v>350</v>
      </c>
      <c r="E366" s="229">
        <v>210000</v>
      </c>
      <c r="F366" s="214" t="s">
        <v>391</v>
      </c>
      <c r="G366" s="490"/>
      <c r="H366" s="490"/>
      <c r="I366" s="490"/>
      <c r="J366" s="499"/>
      <c r="K366" s="500"/>
      <c r="L366" s="499"/>
      <c r="M366" s="500"/>
      <c r="N366" s="499"/>
      <c r="O366" s="500"/>
    </row>
    <row r="367" spans="2:15">
      <c r="B367" s="510"/>
      <c r="C367" s="220" t="s">
        <v>789</v>
      </c>
      <c r="D367" s="214">
        <v>400</v>
      </c>
      <c r="E367" s="229">
        <v>240000</v>
      </c>
      <c r="F367" s="214" t="s">
        <v>391</v>
      </c>
      <c r="G367" s="490"/>
      <c r="H367" s="490"/>
      <c r="I367" s="490"/>
      <c r="J367" s="499"/>
      <c r="K367" s="500"/>
      <c r="L367" s="499"/>
      <c r="M367" s="500"/>
      <c r="N367" s="499"/>
      <c r="O367" s="500"/>
    </row>
    <row r="368" spans="2:15">
      <c r="B368" s="510"/>
      <c r="C368" s="220" t="s">
        <v>790</v>
      </c>
      <c r="D368" s="214">
        <v>450</v>
      </c>
      <c r="E368" s="229">
        <v>270000</v>
      </c>
      <c r="F368" s="214" t="s">
        <v>391</v>
      </c>
      <c r="G368" s="490"/>
      <c r="H368" s="490"/>
      <c r="I368" s="490"/>
      <c r="J368" s="499"/>
      <c r="K368" s="500"/>
      <c r="L368" s="499"/>
      <c r="M368" s="500"/>
      <c r="N368" s="499"/>
      <c r="O368" s="500"/>
    </row>
    <row r="369" spans="2:15">
      <c r="B369" s="510"/>
      <c r="C369" s="220" t="s">
        <v>791</v>
      </c>
      <c r="D369" s="214">
        <v>500</v>
      </c>
      <c r="E369" s="229">
        <v>300000</v>
      </c>
      <c r="F369" s="214" t="s">
        <v>391</v>
      </c>
      <c r="G369" s="490"/>
      <c r="H369" s="490"/>
      <c r="I369" s="490"/>
      <c r="J369" s="499"/>
      <c r="K369" s="500"/>
      <c r="L369" s="499"/>
      <c r="M369" s="500"/>
      <c r="N369" s="499"/>
      <c r="O369" s="500"/>
    </row>
    <row r="370" spans="2:15">
      <c r="B370" s="510"/>
      <c r="C370" s="215" t="s">
        <v>792</v>
      </c>
      <c r="D370" s="216">
        <v>1</v>
      </c>
      <c r="E370" s="216">
        <v>20000</v>
      </c>
      <c r="F370" s="216" t="s">
        <v>391</v>
      </c>
      <c r="G370" s="491">
        <f>SUM(E370)</f>
        <v>20000</v>
      </c>
      <c r="H370" s="491">
        <f>SUM(E370:E371)</f>
        <v>60000</v>
      </c>
      <c r="I370" s="491">
        <f>SUM(E370:E374)</f>
        <v>290000</v>
      </c>
      <c r="J370" s="499"/>
      <c r="K370" s="500"/>
      <c r="L370" s="499"/>
      <c r="M370" s="500"/>
      <c r="N370" s="499"/>
      <c r="O370" s="500"/>
    </row>
    <row r="371" spans="2:15">
      <c r="B371" s="510"/>
      <c r="C371" s="215" t="s">
        <v>793</v>
      </c>
      <c r="D371" s="216">
        <v>10</v>
      </c>
      <c r="E371" s="228">
        <v>40000</v>
      </c>
      <c r="F371" s="216" t="s">
        <v>391</v>
      </c>
      <c r="G371" s="491"/>
      <c r="H371" s="491"/>
      <c r="I371" s="491"/>
      <c r="J371" s="499"/>
      <c r="K371" s="500"/>
      <c r="L371" s="499"/>
      <c r="M371" s="500"/>
      <c r="N371" s="499"/>
      <c r="O371" s="500"/>
    </row>
    <row r="372" spans="2:15">
      <c r="B372" s="510"/>
      <c r="C372" s="215" t="s">
        <v>794</v>
      </c>
      <c r="D372" s="216">
        <v>20</v>
      </c>
      <c r="E372" s="221">
        <v>80000</v>
      </c>
      <c r="F372" s="216" t="s">
        <v>391</v>
      </c>
      <c r="G372" s="491"/>
      <c r="H372" s="491"/>
      <c r="I372" s="491"/>
      <c r="J372" s="499"/>
      <c r="K372" s="500"/>
      <c r="L372" s="499"/>
      <c r="M372" s="500"/>
      <c r="N372" s="499"/>
      <c r="O372" s="500"/>
    </row>
    <row r="373" spans="2:15">
      <c r="B373" s="510"/>
      <c r="C373" s="215" t="s">
        <v>795</v>
      </c>
      <c r="D373" s="216">
        <v>30</v>
      </c>
      <c r="E373" s="221">
        <v>60000</v>
      </c>
      <c r="F373" s="216" t="s">
        <v>391</v>
      </c>
      <c r="G373" s="491"/>
      <c r="H373" s="491"/>
      <c r="I373" s="491"/>
      <c r="J373" s="499"/>
      <c r="K373" s="500"/>
      <c r="L373" s="499"/>
      <c r="M373" s="500"/>
      <c r="N373" s="499"/>
      <c r="O373" s="500"/>
    </row>
    <row r="374" spans="2:15">
      <c r="B374" s="510"/>
      <c r="C374" s="215" t="s">
        <v>796</v>
      </c>
      <c r="D374" s="216">
        <v>50</v>
      </c>
      <c r="E374" s="221">
        <v>90000</v>
      </c>
      <c r="F374" s="216" t="s">
        <v>391</v>
      </c>
      <c r="G374" s="491"/>
      <c r="H374" s="491"/>
      <c r="I374" s="491"/>
      <c r="J374" s="499"/>
      <c r="K374" s="500"/>
      <c r="L374" s="499"/>
      <c r="M374" s="500"/>
      <c r="N374" s="499"/>
      <c r="O374" s="500"/>
    </row>
    <row r="375" spans="2:15">
      <c r="B375" s="510"/>
      <c r="C375" s="215" t="s">
        <v>797</v>
      </c>
      <c r="D375" s="216">
        <v>100</v>
      </c>
      <c r="E375" s="229">
        <v>120000</v>
      </c>
      <c r="F375" s="216" t="s">
        <v>391</v>
      </c>
      <c r="G375" s="491"/>
      <c r="H375" s="491"/>
      <c r="I375" s="491"/>
      <c r="J375" s="499"/>
      <c r="K375" s="500"/>
      <c r="L375" s="499"/>
      <c r="M375" s="500"/>
      <c r="N375" s="499"/>
      <c r="O375" s="500"/>
    </row>
    <row r="376" spans="2:15">
      <c r="B376" s="510"/>
      <c r="C376" s="215" t="s">
        <v>798</v>
      </c>
      <c r="D376" s="216">
        <v>150</v>
      </c>
      <c r="E376" s="229">
        <v>150000</v>
      </c>
      <c r="F376" s="216" t="s">
        <v>391</v>
      </c>
      <c r="G376" s="491"/>
      <c r="H376" s="491"/>
      <c r="I376" s="491"/>
      <c r="J376" s="499"/>
      <c r="K376" s="500"/>
      <c r="L376" s="499"/>
      <c r="M376" s="500"/>
      <c r="N376" s="499"/>
      <c r="O376" s="500"/>
    </row>
    <row r="377" spans="2:15">
      <c r="B377" s="510"/>
      <c r="C377" s="215" t="s">
        <v>799</v>
      </c>
      <c r="D377" s="216">
        <v>200</v>
      </c>
      <c r="E377" s="229">
        <v>180000</v>
      </c>
      <c r="F377" s="216" t="s">
        <v>391</v>
      </c>
      <c r="G377" s="491"/>
      <c r="H377" s="491"/>
      <c r="I377" s="491"/>
      <c r="J377" s="499"/>
      <c r="K377" s="500"/>
      <c r="L377" s="499"/>
      <c r="M377" s="500"/>
      <c r="N377" s="499"/>
      <c r="O377" s="500"/>
    </row>
    <row r="378" spans="2:15">
      <c r="B378" s="510"/>
      <c r="C378" s="215" t="s">
        <v>800</v>
      </c>
      <c r="D378" s="216">
        <v>250</v>
      </c>
      <c r="E378" s="229">
        <v>220000</v>
      </c>
      <c r="F378" s="216" t="s">
        <v>391</v>
      </c>
      <c r="G378" s="491"/>
      <c r="H378" s="491"/>
      <c r="I378" s="491"/>
      <c r="J378" s="499"/>
      <c r="K378" s="500"/>
      <c r="L378" s="499"/>
      <c r="M378" s="500"/>
      <c r="N378" s="499"/>
      <c r="O378" s="500"/>
    </row>
    <row r="379" spans="2:15">
      <c r="B379" s="510"/>
      <c r="C379" s="215" t="s">
        <v>801</v>
      </c>
      <c r="D379" s="216">
        <v>300</v>
      </c>
      <c r="E379" s="229">
        <v>260000</v>
      </c>
      <c r="F379" s="216" t="s">
        <v>391</v>
      </c>
      <c r="G379" s="491"/>
      <c r="H379" s="491"/>
      <c r="I379" s="491"/>
      <c r="J379" s="499"/>
      <c r="K379" s="500"/>
      <c r="L379" s="499"/>
      <c r="M379" s="500"/>
      <c r="N379" s="499"/>
      <c r="O379" s="500"/>
    </row>
    <row r="380" spans="2:15">
      <c r="B380" s="510"/>
      <c r="C380" s="215" t="s">
        <v>802</v>
      </c>
      <c r="D380" s="216">
        <v>350</v>
      </c>
      <c r="E380" s="229">
        <v>300000</v>
      </c>
      <c r="F380" s="216" t="s">
        <v>391</v>
      </c>
      <c r="G380" s="491"/>
      <c r="H380" s="491"/>
      <c r="I380" s="491"/>
      <c r="J380" s="499"/>
      <c r="K380" s="500"/>
      <c r="L380" s="499"/>
      <c r="M380" s="500"/>
      <c r="N380" s="499"/>
      <c r="O380" s="500"/>
    </row>
    <row r="381" spans="2:15">
      <c r="B381" s="510"/>
      <c r="C381" s="215" t="s">
        <v>803</v>
      </c>
      <c r="D381" s="216">
        <v>400</v>
      </c>
      <c r="E381" s="229">
        <v>350000</v>
      </c>
      <c r="F381" s="216" t="s">
        <v>391</v>
      </c>
      <c r="G381" s="491"/>
      <c r="H381" s="491"/>
      <c r="I381" s="491"/>
      <c r="J381" s="499"/>
      <c r="K381" s="500"/>
      <c r="L381" s="499"/>
      <c r="M381" s="500"/>
      <c r="N381" s="499"/>
      <c r="O381" s="500"/>
    </row>
    <row r="382" spans="2:15">
      <c r="B382" s="510"/>
      <c r="C382" s="215" t="s">
        <v>804</v>
      </c>
      <c r="D382" s="216">
        <v>450</v>
      </c>
      <c r="E382" s="229">
        <v>400000</v>
      </c>
      <c r="F382" s="216" t="s">
        <v>391</v>
      </c>
      <c r="G382" s="491"/>
      <c r="H382" s="491"/>
      <c r="I382" s="491"/>
      <c r="J382" s="499"/>
      <c r="K382" s="500"/>
      <c r="L382" s="499"/>
      <c r="M382" s="500"/>
      <c r="N382" s="499"/>
      <c r="O382" s="500"/>
    </row>
    <row r="383" spans="2:15">
      <c r="B383" s="510"/>
      <c r="C383" s="215" t="s">
        <v>805</v>
      </c>
      <c r="D383" s="216">
        <v>500</v>
      </c>
      <c r="E383" s="229">
        <v>450000</v>
      </c>
      <c r="F383" s="216" t="s">
        <v>391</v>
      </c>
      <c r="G383" s="491"/>
      <c r="H383" s="491"/>
      <c r="I383" s="491"/>
      <c r="J383" s="499"/>
      <c r="K383" s="500"/>
      <c r="L383" s="499"/>
      <c r="M383" s="500"/>
      <c r="N383" s="499"/>
      <c r="O383" s="500"/>
    </row>
    <row r="384" spans="2:15">
      <c r="B384" s="510"/>
      <c r="C384" s="212" t="s">
        <v>909</v>
      </c>
      <c r="D384" s="214">
        <v>1</v>
      </c>
      <c r="E384" s="214">
        <v>3000</v>
      </c>
      <c r="F384" s="213" t="s">
        <v>391</v>
      </c>
      <c r="G384" s="490">
        <f>SUM(E384:E387)</f>
        <v>30000</v>
      </c>
      <c r="H384" s="490">
        <f>SUM(E384:E394)</f>
        <v>220000</v>
      </c>
      <c r="I384" s="490">
        <f>SUM(E384:E399)</f>
        <v>500000</v>
      </c>
      <c r="J384" s="499"/>
      <c r="K384" s="500"/>
      <c r="L384" s="499"/>
      <c r="M384" s="500"/>
      <c r="N384" s="499"/>
      <c r="O384" s="500"/>
    </row>
    <row r="385" spans="2:15">
      <c r="B385" s="510"/>
      <c r="C385" s="212" t="s">
        <v>910</v>
      </c>
      <c r="D385" s="214">
        <v>5</v>
      </c>
      <c r="E385" s="214">
        <v>6000</v>
      </c>
      <c r="F385" s="213" t="s">
        <v>391</v>
      </c>
      <c r="G385" s="490"/>
      <c r="H385" s="490"/>
      <c r="I385" s="490"/>
      <c r="J385" s="499"/>
      <c r="K385" s="500"/>
      <c r="L385" s="499"/>
      <c r="M385" s="500"/>
      <c r="N385" s="499"/>
      <c r="O385" s="500"/>
    </row>
    <row r="386" spans="2:15">
      <c r="B386" s="510"/>
      <c r="C386" s="212" t="s">
        <v>911</v>
      </c>
      <c r="D386" s="214">
        <v>10</v>
      </c>
      <c r="E386" s="214">
        <v>9000</v>
      </c>
      <c r="F386" s="213" t="s">
        <v>391</v>
      </c>
      <c r="G386" s="490"/>
      <c r="H386" s="490"/>
      <c r="I386" s="490"/>
      <c r="J386" s="499"/>
      <c r="K386" s="500"/>
      <c r="L386" s="499"/>
      <c r="M386" s="500"/>
      <c r="N386" s="499"/>
      <c r="O386" s="500"/>
    </row>
    <row r="387" spans="2:15">
      <c r="B387" s="510"/>
      <c r="C387" s="212" t="s">
        <v>912</v>
      </c>
      <c r="D387" s="214">
        <v>15</v>
      </c>
      <c r="E387" s="214">
        <v>12000</v>
      </c>
      <c r="F387" s="213" t="s">
        <v>391</v>
      </c>
      <c r="G387" s="490"/>
      <c r="H387" s="490"/>
      <c r="I387" s="490"/>
      <c r="J387" s="499"/>
      <c r="K387" s="500"/>
      <c r="L387" s="499"/>
      <c r="M387" s="500"/>
      <c r="N387" s="499"/>
      <c r="O387" s="500"/>
    </row>
    <row r="388" spans="2:15">
      <c r="B388" s="510"/>
      <c r="C388" s="212" t="s">
        <v>913</v>
      </c>
      <c r="D388" s="214">
        <v>20</v>
      </c>
      <c r="E388" s="228">
        <v>15000</v>
      </c>
      <c r="F388" s="213" t="s">
        <v>391</v>
      </c>
      <c r="G388" s="490"/>
      <c r="H388" s="490"/>
      <c r="I388" s="490"/>
      <c r="J388" s="499"/>
      <c r="K388" s="500"/>
      <c r="L388" s="499"/>
      <c r="M388" s="500"/>
      <c r="N388" s="499"/>
      <c r="O388" s="500"/>
    </row>
    <row r="389" spans="2:15">
      <c r="B389" s="510"/>
      <c r="C389" s="212" t="s">
        <v>914</v>
      </c>
      <c r="D389" s="214">
        <v>25</v>
      </c>
      <c r="E389" s="228">
        <v>19000</v>
      </c>
      <c r="F389" s="213" t="s">
        <v>391</v>
      </c>
      <c r="G389" s="490"/>
      <c r="H389" s="490"/>
      <c r="I389" s="490"/>
      <c r="J389" s="499"/>
      <c r="K389" s="500"/>
      <c r="L389" s="499"/>
      <c r="M389" s="500"/>
      <c r="N389" s="499"/>
      <c r="O389" s="500"/>
    </row>
    <row r="390" spans="2:15">
      <c r="B390" s="510"/>
      <c r="C390" s="212" t="s">
        <v>915</v>
      </c>
      <c r="D390" s="214">
        <v>30</v>
      </c>
      <c r="E390" s="228">
        <v>23000</v>
      </c>
      <c r="F390" s="213" t="s">
        <v>391</v>
      </c>
      <c r="G390" s="490"/>
      <c r="H390" s="490"/>
      <c r="I390" s="490"/>
      <c r="J390" s="499"/>
      <c r="K390" s="500"/>
      <c r="L390" s="499"/>
      <c r="M390" s="500"/>
      <c r="N390" s="499"/>
      <c r="O390" s="500"/>
    </row>
    <row r="391" spans="2:15">
      <c r="B391" s="510"/>
      <c r="C391" s="212" t="s">
        <v>916</v>
      </c>
      <c r="D391" s="214">
        <v>35</v>
      </c>
      <c r="E391" s="228">
        <v>27000</v>
      </c>
      <c r="F391" s="213" t="s">
        <v>391</v>
      </c>
      <c r="G391" s="490"/>
      <c r="H391" s="490"/>
      <c r="I391" s="490"/>
      <c r="J391" s="499"/>
      <c r="K391" s="500"/>
      <c r="L391" s="499"/>
      <c r="M391" s="500"/>
      <c r="N391" s="499"/>
      <c r="O391" s="500"/>
    </row>
    <row r="392" spans="2:15">
      <c r="B392" s="510"/>
      <c r="C392" s="212" t="s">
        <v>917</v>
      </c>
      <c r="D392" s="214">
        <v>40</v>
      </c>
      <c r="E392" s="228">
        <v>31000</v>
      </c>
      <c r="F392" s="213" t="s">
        <v>391</v>
      </c>
      <c r="G392" s="490"/>
      <c r="H392" s="490"/>
      <c r="I392" s="490"/>
      <c r="J392" s="499"/>
      <c r="K392" s="500"/>
      <c r="L392" s="499"/>
      <c r="M392" s="500"/>
      <c r="N392" s="499"/>
      <c r="O392" s="500"/>
    </row>
    <row r="393" spans="2:15">
      <c r="B393" s="510"/>
      <c r="C393" s="212" t="s">
        <v>918</v>
      </c>
      <c r="D393" s="214">
        <v>45</v>
      </c>
      <c r="E393" s="228">
        <v>35000</v>
      </c>
      <c r="F393" s="213" t="s">
        <v>391</v>
      </c>
      <c r="G393" s="490"/>
      <c r="H393" s="490"/>
      <c r="I393" s="490"/>
      <c r="J393" s="499"/>
      <c r="K393" s="500"/>
      <c r="L393" s="499"/>
      <c r="M393" s="500"/>
      <c r="N393" s="499"/>
      <c r="O393" s="500"/>
    </row>
    <row r="394" spans="2:15">
      <c r="B394" s="510"/>
      <c r="C394" s="212" t="s">
        <v>919</v>
      </c>
      <c r="D394" s="214">
        <v>50</v>
      </c>
      <c r="E394" s="228">
        <v>40000</v>
      </c>
      <c r="F394" s="213" t="s">
        <v>391</v>
      </c>
      <c r="G394" s="490"/>
      <c r="H394" s="490"/>
      <c r="I394" s="490"/>
      <c r="J394" s="499"/>
      <c r="K394" s="500"/>
      <c r="L394" s="499"/>
      <c r="M394" s="500"/>
      <c r="N394" s="499"/>
      <c r="O394" s="500"/>
    </row>
    <row r="395" spans="2:15">
      <c r="B395" s="510"/>
      <c r="C395" s="212" t="s">
        <v>920</v>
      </c>
      <c r="D395" s="214">
        <v>60</v>
      </c>
      <c r="E395" s="221">
        <v>45000</v>
      </c>
      <c r="F395" s="213" t="s">
        <v>391</v>
      </c>
      <c r="G395" s="490"/>
      <c r="H395" s="490"/>
      <c r="I395" s="490"/>
      <c r="J395" s="499"/>
      <c r="K395" s="500"/>
      <c r="L395" s="499"/>
      <c r="M395" s="500"/>
      <c r="N395" s="499"/>
      <c r="O395" s="500"/>
    </row>
    <row r="396" spans="2:15">
      <c r="B396" s="510"/>
      <c r="C396" s="212" t="s">
        <v>921</v>
      </c>
      <c r="D396" s="214">
        <v>70</v>
      </c>
      <c r="E396" s="221">
        <v>50000</v>
      </c>
      <c r="F396" s="213" t="s">
        <v>391</v>
      </c>
      <c r="G396" s="490"/>
      <c r="H396" s="490"/>
      <c r="I396" s="490"/>
      <c r="J396" s="499"/>
      <c r="K396" s="500"/>
      <c r="L396" s="499"/>
      <c r="M396" s="500"/>
      <c r="N396" s="499"/>
      <c r="O396" s="500"/>
    </row>
    <row r="397" spans="2:15">
      <c r="B397" s="510"/>
      <c r="C397" s="212" t="s">
        <v>922</v>
      </c>
      <c r="D397" s="214">
        <v>80</v>
      </c>
      <c r="E397" s="221">
        <v>55000</v>
      </c>
      <c r="F397" s="213" t="s">
        <v>391</v>
      </c>
      <c r="G397" s="490"/>
      <c r="H397" s="490"/>
      <c r="I397" s="490"/>
      <c r="J397" s="499"/>
      <c r="K397" s="500"/>
      <c r="L397" s="499"/>
      <c r="M397" s="500"/>
      <c r="N397" s="499"/>
      <c r="O397" s="500"/>
    </row>
    <row r="398" spans="2:15">
      <c r="B398" s="510"/>
      <c r="C398" s="212" t="s">
        <v>923</v>
      </c>
      <c r="D398" s="214">
        <v>90</v>
      </c>
      <c r="E398" s="221">
        <v>60000</v>
      </c>
      <c r="F398" s="213" t="s">
        <v>391</v>
      </c>
      <c r="G398" s="490"/>
      <c r="H398" s="490"/>
      <c r="I398" s="490"/>
      <c r="J398" s="499"/>
      <c r="K398" s="500"/>
      <c r="L398" s="499"/>
      <c r="M398" s="500"/>
      <c r="N398" s="499"/>
      <c r="O398" s="500"/>
    </row>
    <row r="399" spans="2:15">
      <c r="B399" s="510"/>
      <c r="C399" s="212" t="s">
        <v>924</v>
      </c>
      <c r="D399" s="214">
        <v>100</v>
      </c>
      <c r="E399" s="221">
        <v>70000</v>
      </c>
      <c r="F399" s="213" t="s">
        <v>391</v>
      </c>
      <c r="G399" s="490"/>
      <c r="H399" s="490"/>
      <c r="I399" s="490"/>
      <c r="J399" s="499"/>
      <c r="K399" s="500"/>
      <c r="L399" s="499"/>
      <c r="M399" s="500"/>
      <c r="N399" s="499"/>
      <c r="O399" s="500"/>
    </row>
    <row r="400" spans="2:15">
      <c r="B400" s="510"/>
      <c r="C400" s="212" t="s">
        <v>925</v>
      </c>
      <c r="D400" s="214">
        <v>150</v>
      </c>
      <c r="E400" s="229">
        <v>80000</v>
      </c>
      <c r="F400" s="213" t="s">
        <v>391</v>
      </c>
      <c r="G400" s="490"/>
      <c r="H400" s="490"/>
      <c r="I400" s="490"/>
      <c r="J400" s="499"/>
      <c r="K400" s="500"/>
      <c r="L400" s="499"/>
      <c r="M400" s="500"/>
      <c r="N400" s="499"/>
      <c r="O400" s="500"/>
    </row>
    <row r="401" spans="2:15">
      <c r="B401" s="510"/>
      <c r="C401" s="212" t="s">
        <v>926</v>
      </c>
      <c r="D401" s="214">
        <v>200</v>
      </c>
      <c r="E401" s="229">
        <v>90000</v>
      </c>
      <c r="F401" s="213" t="s">
        <v>391</v>
      </c>
      <c r="G401" s="490"/>
      <c r="H401" s="490"/>
      <c r="I401" s="490"/>
      <c r="J401" s="499"/>
      <c r="K401" s="500"/>
      <c r="L401" s="499"/>
      <c r="M401" s="500"/>
      <c r="N401" s="499"/>
      <c r="O401" s="500"/>
    </row>
    <row r="402" spans="2:15">
      <c r="B402" s="510"/>
      <c r="C402" s="212" t="s">
        <v>927</v>
      </c>
      <c r="D402" s="214">
        <v>250</v>
      </c>
      <c r="E402" s="229">
        <v>100000</v>
      </c>
      <c r="F402" s="213" t="s">
        <v>391</v>
      </c>
      <c r="G402" s="490"/>
      <c r="H402" s="490"/>
      <c r="I402" s="490"/>
      <c r="J402" s="499"/>
      <c r="K402" s="500"/>
      <c r="L402" s="499"/>
      <c r="M402" s="500"/>
      <c r="N402" s="499"/>
      <c r="O402" s="500"/>
    </row>
    <row r="403" spans="2:15">
      <c r="B403" s="510"/>
      <c r="C403" s="212" t="s">
        <v>928</v>
      </c>
      <c r="D403" s="214">
        <v>300</v>
      </c>
      <c r="E403" s="229">
        <v>120000</v>
      </c>
      <c r="F403" s="213" t="s">
        <v>391</v>
      </c>
      <c r="G403" s="490"/>
      <c r="H403" s="490"/>
      <c r="I403" s="490"/>
      <c r="J403" s="499"/>
      <c r="K403" s="500"/>
      <c r="L403" s="499"/>
      <c r="M403" s="500"/>
      <c r="N403" s="499"/>
      <c r="O403" s="500"/>
    </row>
    <row r="404" spans="2:15">
      <c r="B404" s="510"/>
      <c r="C404" s="212" t="s">
        <v>929</v>
      </c>
      <c r="D404" s="214">
        <v>350</v>
      </c>
      <c r="E404" s="229">
        <v>150000</v>
      </c>
      <c r="F404" s="213" t="s">
        <v>391</v>
      </c>
      <c r="G404" s="490"/>
      <c r="H404" s="490"/>
      <c r="I404" s="490"/>
      <c r="J404" s="499"/>
      <c r="K404" s="500"/>
      <c r="L404" s="499"/>
      <c r="M404" s="500"/>
      <c r="N404" s="499"/>
      <c r="O404" s="500"/>
    </row>
    <row r="405" spans="2:15">
      <c r="B405" s="510"/>
      <c r="C405" s="212" t="s">
        <v>930</v>
      </c>
      <c r="D405" s="214">
        <v>400</v>
      </c>
      <c r="E405" s="229">
        <v>190000</v>
      </c>
      <c r="F405" s="213" t="s">
        <v>391</v>
      </c>
      <c r="G405" s="490"/>
      <c r="H405" s="490"/>
      <c r="I405" s="490"/>
      <c r="J405" s="499"/>
      <c r="K405" s="500"/>
      <c r="L405" s="499"/>
      <c r="M405" s="500"/>
      <c r="N405" s="499"/>
      <c r="O405" s="500"/>
    </row>
    <row r="406" spans="2:15">
      <c r="B406" s="510"/>
      <c r="C406" s="212" t="s">
        <v>931</v>
      </c>
      <c r="D406" s="214">
        <v>450</v>
      </c>
      <c r="E406" s="229">
        <v>240000</v>
      </c>
      <c r="F406" s="213" t="s">
        <v>391</v>
      </c>
      <c r="G406" s="490"/>
      <c r="H406" s="490"/>
      <c r="I406" s="490"/>
      <c r="J406" s="499"/>
      <c r="K406" s="500"/>
      <c r="L406" s="499"/>
      <c r="M406" s="500"/>
      <c r="N406" s="499"/>
      <c r="O406" s="500"/>
    </row>
    <row r="407" spans="2:15">
      <c r="B407" s="510"/>
      <c r="C407" s="212" t="s">
        <v>932</v>
      </c>
      <c r="D407" s="214">
        <v>500</v>
      </c>
      <c r="E407" s="229">
        <v>300000</v>
      </c>
      <c r="F407" s="213" t="s">
        <v>391</v>
      </c>
      <c r="G407" s="490"/>
      <c r="H407" s="490"/>
      <c r="I407" s="490"/>
      <c r="J407" s="499"/>
      <c r="K407" s="500"/>
      <c r="L407" s="499"/>
      <c r="M407" s="500"/>
      <c r="N407" s="499"/>
      <c r="O407" s="500"/>
    </row>
    <row r="408" spans="2:15">
      <c r="B408" s="510"/>
      <c r="C408" s="215" t="s">
        <v>933</v>
      </c>
      <c r="D408" s="217">
        <v>1</v>
      </c>
      <c r="E408" s="217">
        <v>5000</v>
      </c>
      <c r="F408" s="216" t="s">
        <v>391</v>
      </c>
      <c r="G408" s="491">
        <f>SUM(E408)</f>
        <v>5000</v>
      </c>
      <c r="H408" s="491">
        <f>SUM(E408:E410)</f>
        <v>30000</v>
      </c>
      <c r="I408" s="491">
        <f>SUM(E408:E412)</f>
        <v>80000</v>
      </c>
      <c r="J408" s="499"/>
      <c r="K408" s="500"/>
      <c r="L408" s="499"/>
      <c r="M408" s="500"/>
      <c r="N408" s="499"/>
      <c r="O408" s="500"/>
    </row>
    <row r="409" spans="2:15">
      <c r="B409" s="510"/>
      <c r="C409" s="215" t="s">
        <v>934</v>
      </c>
      <c r="D409" s="217">
        <v>5</v>
      </c>
      <c r="E409" s="228">
        <v>10000</v>
      </c>
      <c r="F409" s="216" t="s">
        <v>391</v>
      </c>
      <c r="G409" s="491"/>
      <c r="H409" s="491"/>
      <c r="I409" s="491"/>
      <c r="J409" s="499"/>
      <c r="K409" s="500"/>
      <c r="L409" s="499"/>
      <c r="M409" s="500"/>
      <c r="N409" s="499"/>
      <c r="O409" s="500"/>
    </row>
    <row r="410" spans="2:15">
      <c r="B410" s="510"/>
      <c r="C410" s="215" t="s">
        <v>935</v>
      </c>
      <c r="D410" s="217">
        <v>10</v>
      </c>
      <c r="E410" s="228">
        <v>15000</v>
      </c>
      <c r="F410" s="216" t="s">
        <v>391</v>
      </c>
      <c r="G410" s="491"/>
      <c r="H410" s="491"/>
      <c r="I410" s="491"/>
      <c r="J410" s="499"/>
      <c r="K410" s="500"/>
      <c r="L410" s="499"/>
      <c r="M410" s="500"/>
      <c r="N410" s="499"/>
      <c r="O410" s="500"/>
    </row>
    <row r="411" spans="2:15">
      <c r="B411" s="510"/>
      <c r="C411" s="215" t="s">
        <v>936</v>
      </c>
      <c r="D411" s="217">
        <v>15</v>
      </c>
      <c r="E411" s="221">
        <v>20000</v>
      </c>
      <c r="F411" s="216" t="s">
        <v>391</v>
      </c>
      <c r="G411" s="491"/>
      <c r="H411" s="491"/>
      <c r="I411" s="491"/>
      <c r="J411" s="499"/>
      <c r="K411" s="500"/>
      <c r="L411" s="499"/>
      <c r="M411" s="500"/>
      <c r="N411" s="499"/>
      <c r="O411" s="500"/>
    </row>
    <row r="412" spans="2:15">
      <c r="B412" s="510"/>
      <c r="C412" s="215" t="s">
        <v>937</v>
      </c>
      <c r="D412" s="217">
        <v>20</v>
      </c>
      <c r="E412" s="221">
        <v>30000</v>
      </c>
      <c r="F412" s="216" t="s">
        <v>391</v>
      </c>
      <c r="G412" s="491"/>
      <c r="H412" s="491"/>
      <c r="I412" s="491"/>
      <c r="J412" s="499"/>
      <c r="K412" s="500"/>
      <c r="L412" s="499"/>
      <c r="M412" s="500"/>
      <c r="N412" s="499"/>
      <c r="O412" s="500"/>
    </row>
    <row r="413" spans="2:15">
      <c r="B413" s="510"/>
      <c r="C413" s="215" t="s">
        <v>938</v>
      </c>
      <c r="D413" s="217">
        <v>25</v>
      </c>
      <c r="E413" s="229">
        <v>40000</v>
      </c>
      <c r="F413" s="216" t="s">
        <v>391</v>
      </c>
      <c r="G413" s="491"/>
      <c r="H413" s="491"/>
      <c r="I413" s="491"/>
      <c r="J413" s="499"/>
      <c r="K413" s="500"/>
      <c r="L413" s="499"/>
      <c r="M413" s="500"/>
      <c r="N413" s="499"/>
      <c r="O413" s="500"/>
    </row>
    <row r="414" spans="2:15">
      <c r="B414" s="510"/>
      <c r="C414" s="215" t="s">
        <v>939</v>
      </c>
      <c r="D414" s="217">
        <v>30</v>
      </c>
      <c r="E414" s="229">
        <v>50000</v>
      </c>
      <c r="F414" s="216" t="s">
        <v>391</v>
      </c>
      <c r="G414" s="491"/>
      <c r="H414" s="491"/>
      <c r="I414" s="491"/>
      <c r="J414" s="499"/>
      <c r="K414" s="500"/>
      <c r="L414" s="499"/>
      <c r="M414" s="500"/>
      <c r="N414" s="499"/>
      <c r="O414" s="500"/>
    </row>
    <row r="415" spans="2:15">
      <c r="B415" s="510"/>
      <c r="C415" s="215" t="s">
        <v>940</v>
      </c>
      <c r="D415" s="217">
        <v>35</v>
      </c>
      <c r="E415" s="229">
        <v>75000</v>
      </c>
      <c r="F415" s="216" t="s">
        <v>391</v>
      </c>
      <c r="G415" s="491"/>
      <c r="H415" s="491"/>
      <c r="I415" s="491"/>
      <c r="J415" s="499"/>
      <c r="K415" s="500"/>
      <c r="L415" s="499"/>
      <c r="M415" s="500"/>
      <c r="N415" s="499"/>
      <c r="O415" s="500"/>
    </row>
    <row r="416" spans="2:15">
      <c r="B416" s="510"/>
      <c r="C416" s="215" t="s">
        <v>941</v>
      </c>
      <c r="D416" s="217">
        <v>40</v>
      </c>
      <c r="E416" s="229">
        <v>100000</v>
      </c>
      <c r="F416" s="216" t="s">
        <v>391</v>
      </c>
      <c r="G416" s="491"/>
      <c r="H416" s="491"/>
      <c r="I416" s="491"/>
      <c r="J416" s="499"/>
      <c r="K416" s="500"/>
      <c r="L416" s="499"/>
      <c r="M416" s="500"/>
      <c r="N416" s="499"/>
      <c r="O416" s="500"/>
    </row>
    <row r="417" spans="2:15">
      <c r="B417" s="510"/>
      <c r="C417" s="215" t="s">
        <v>942</v>
      </c>
      <c r="D417" s="217">
        <v>45</v>
      </c>
      <c r="E417" s="229">
        <v>125000</v>
      </c>
      <c r="F417" s="216" t="s">
        <v>391</v>
      </c>
      <c r="G417" s="491"/>
      <c r="H417" s="491"/>
      <c r="I417" s="491"/>
      <c r="J417" s="499"/>
      <c r="K417" s="500"/>
      <c r="L417" s="499"/>
      <c r="M417" s="500"/>
      <c r="N417" s="499"/>
      <c r="O417" s="500"/>
    </row>
    <row r="418" spans="2:15">
      <c r="B418" s="510"/>
      <c r="C418" s="215" t="s">
        <v>943</v>
      </c>
      <c r="D418" s="217">
        <v>50</v>
      </c>
      <c r="E418" s="229">
        <v>150000</v>
      </c>
      <c r="F418" s="216" t="s">
        <v>391</v>
      </c>
      <c r="G418" s="491"/>
      <c r="H418" s="491"/>
      <c r="I418" s="491"/>
      <c r="J418" s="499"/>
      <c r="K418" s="500"/>
      <c r="L418" s="499"/>
      <c r="M418" s="500"/>
      <c r="N418" s="499"/>
      <c r="O418" s="500"/>
    </row>
    <row r="419" spans="2:15">
      <c r="B419" s="510"/>
      <c r="C419" s="215" t="s">
        <v>944</v>
      </c>
      <c r="D419" s="217">
        <v>60</v>
      </c>
      <c r="E419" s="229">
        <v>175000</v>
      </c>
      <c r="F419" s="216" t="s">
        <v>391</v>
      </c>
      <c r="G419" s="491"/>
      <c r="H419" s="491"/>
      <c r="I419" s="491"/>
      <c r="J419" s="499"/>
      <c r="K419" s="500"/>
      <c r="L419" s="499"/>
      <c r="M419" s="500"/>
      <c r="N419" s="499"/>
      <c r="O419" s="500"/>
    </row>
    <row r="420" spans="2:15">
      <c r="B420" s="510"/>
      <c r="C420" s="215" t="s">
        <v>945</v>
      </c>
      <c r="D420" s="217">
        <v>70</v>
      </c>
      <c r="E420" s="229">
        <v>200000</v>
      </c>
      <c r="F420" s="216" t="s">
        <v>391</v>
      </c>
      <c r="G420" s="491"/>
      <c r="H420" s="491"/>
      <c r="I420" s="491"/>
      <c r="J420" s="499"/>
      <c r="K420" s="500"/>
      <c r="L420" s="499"/>
      <c r="M420" s="500"/>
      <c r="N420" s="499"/>
      <c r="O420" s="500"/>
    </row>
    <row r="421" spans="2:15">
      <c r="B421" s="510"/>
      <c r="C421" s="215" t="s">
        <v>946</v>
      </c>
      <c r="D421" s="217">
        <v>80</v>
      </c>
      <c r="E421" s="229">
        <v>240000</v>
      </c>
      <c r="F421" s="216" t="s">
        <v>391</v>
      </c>
      <c r="G421" s="491"/>
      <c r="H421" s="491"/>
      <c r="I421" s="491"/>
      <c r="J421" s="499"/>
      <c r="K421" s="500"/>
      <c r="L421" s="499"/>
      <c r="M421" s="500"/>
      <c r="N421" s="499"/>
      <c r="O421" s="500"/>
    </row>
    <row r="422" spans="2:15">
      <c r="B422" s="510"/>
      <c r="C422" s="215" t="s">
        <v>947</v>
      </c>
      <c r="D422" s="217">
        <v>90</v>
      </c>
      <c r="E422" s="229">
        <v>280000</v>
      </c>
      <c r="F422" s="216" t="s">
        <v>391</v>
      </c>
      <c r="G422" s="491"/>
      <c r="H422" s="491"/>
      <c r="I422" s="491"/>
      <c r="J422" s="499"/>
      <c r="K422" s="500"/>
      <c r="L422" s="499"/>
      <c r="M422" s="500"/>
      <c r="N422" s="499"/>
      <c r="O422" s="500"/>
    </row>
    <row r="423" spans="2:15">
      <c r="B423" s="510"/>
      <c r="C423" s="215" t="s">
        <v>948</v>
      </c>
      <c r="D423" s="217">
        <v>100</v>
      </c>
      <c r="E423" s="229">
        <v>320000</v>
      </c>
      <c r="F423" s="216" t="s">
        <v>391</v>
      </c>
      <c r="G423" s="491"/>
      <c r="H423" s="491"/>
      <c r="I423" s="491"/>
      <c r="J423" s="499"/>
      <c r="K423" s="500"/>
      <c r="L423" s="499"/>
      <c r="M423" s="500"/>
      <c r="N423" s="499"/>
      <c r="O423" s="500"/>
    </row>
    <row r="424" spans="2:15">
      <c r="B424" s="510"/>
      <c r="C424" s="215" t="s">
        <v>949</v>
      </c>
      <c r="D424" s="217">
        <v>150</v>
      </c>
      <c r="E424" s="229">
        <v>360000</v>
      </c>
      <c r="F424" s="216" t="s">
        <v>391</v>
      </c>
      <c r="G424" s="491"/>
      <c r="H424" s="491"/>
      <c r="I424" s="491"/>
      <c r="J424" s="499"/>
      <c r="K424" s="500"/>
      <c r="L424" s="499"/>
      <c r="M424" s="500"/>
      <c r="N424" s="499"/>
      <c r="O424" s="500"/>
    </row>
    <row r="425" spans="2:15">
      <c r="B425" s="510"/>
      <c r="C425" s="212" t="s">
        <v>806</v>
      </c>
      <c r="D425" s="213">
        <v>1</v>
      </c>
      <c r="E425" s="213">
        <v>5000</v>
      </c>
      <c r="F425" s="214" t="s">
        <v>391</v>
      </c>
      <c r="G425" s="490">
        <f>SUM(E425:E427)</f>
        <v>25000</v>
      </c>
      <c r="H425" s="490">
        <f>SUM(E425:E430)</f>
        <v>85000</v>
      </c>
      <c r="I425" s="490">
        <f>SUM(E425:E434)</f>
        <v>265000</v>
      </c>
      <c r="J425" s="499"/>
      <c r="K425" s="500"/>
      <c r="L425" s="499"/>
      <c r="M425" s="500"/>
      <c r="N425" s="499"/>
      <c r="O425" s="500"/>
    </row>
    <row r="426" spans="2:15">
      <c r="B426" s="510"/>
      <c r="C426" s="212" t="s">
        <v>807</v>
      </c>
      <c r="D426" s="213">
        <v>10</v>
      </c>
      <c r="E426" s="214">
        <v>10000</v>
      </c>
      <c r="F426" s="214" t="s">
        <v>391</v>
      </c>
      <c r="G426" s="490"/>
      <c r="H426" s="490"/>
      <c r="I426" s="490"/>
      <c r="J426" s="499"/>
      <c r="K426" s="500"/>
      <c r="L426" s="499"/>
      <c r="M426" s="500"/>
      <c r="N426" s="499"/>
      <c r="O426" s="500"/>
    </row>
    <row r="427" spans="2:15">
      <c r="B427" s="510"/>
      <c r="C427" s="212" t="s">
        <v>808</v>
      </c>
      <c r="D427" s="213">
        <v>20</v>
      </c>
      <c r="E427" s="214">
        <v>10000</v>
      </c>
      <c r="F427" s="214" t="s">
        <v>391</v>
      </c>
      <c r="G427" s="490"/>
      <c r="H427" s="490"/>
      <c r="I427" s="490"/>
      <c r="J427" s="499"/>
      <c r="K427" s="500"/>
      <c r="L427" s="499"/>
      <c r="M427" s="500"/>
      <c r="N427" s="499"/>
      <c r="O427" s="500"/>
    </row>
    <row r="428" spans="2:15">
      <c r="B428" s="510"/>
      <c r="C428" s="212" t="s">
        <v>809</v>
      </c>
      <c r="D428" s="213">
        <v>30</v>
      </c>
      <c r="E428" s="228">
        <v>15000</v>
      </c>
      <c r="F428" s="214" t="s">
        <v>391</v>
      </c>
      <c r="G428" s="490"/>
      <c r="H428" s="490"/>
      <c r="I428" s="490"/>
      <c r="J428" s="499"/>
      <c r="K428" s="500"/>
      <c r="L428" s="499"/>
      <c r="M428" s="500"/>
      <c r="N428" s="499"/>
      <c r="O428" s="500"/>
    </row>
    <row r="429" spans="2:15">
      <c r="B429" s="510"/>
      <c r="C429" s="212" t="s">
        <v>810</v>
      </c>
      <c r="D429" s="213">
        <v>50</v>
      </c>
      <c r="E429" s="228">
        <v>20000</v>
      </c>
      <c r="F429" s="214" t="s">
        <v>391</v>
      </c>
      <c r="G429" s="490"/>
      <c r="H429" s="490"/>
      <c r="I429" s="490"/>
      <c r="J429" s="499"/>
      <c r="K429" s="500"/>
      <c r="L429" s="499"/>
      <c r="M429" s="500"/>
      <c r="N429" s="499"/>
      <c r="O429" s="500"/>
    </row>
    <row r="430" spans="2:15">
      <c r="B430" s="510"/>
      <c r="C430" s="212" t="s">
        <v>811</v>
      </c>
      <c r="D430" s="213">
        <v>100</v>
      </c>
      <c r="E430" s="228">
        <v>25000</v>
      </c>
      <c r="F430" s="214" t="s">
        <v>391</v>
      </c>
      <c r="G430" s="490"/>
      <c r="H430" s="490"/>
      <c r="I430" s="490"/>
      <c r="J430" s="499"/>
      <c r="K430" s="500"/>
      <c r="L430" s="499"/>
      <c r="M430" s="500"/>
      <c r="N430" s="499"/>
      <c r="O430" s="500"/>
    </row>
    <row r="431" spans="2:15">
      <c r="B431" s="510"/>
      <c r="C431" s="212" t="s">
        <v>812</v>
      </c>
      <c r="D431" s="213">
        <v>150</v>
      </c>
      <c r="E431" s="221">
        <v>30000</v>
      </c>
      <c r="F431" s="214" t="s">
        <v>391</v>
      </c>
      <c r="G431" s="490"/>
      <c r="H431" s="490"/>
      <c r="I431" s="490"/>
      <c r="J431" s="499"/>
      <c r="K431" s="500"/>
      <c r="L431" s="499"/>
      <c r="M431" s="500"/>
      <c r="N431" s="499"/>
      <c r="O431" s="500"/>
    </row>
    <row r="432" spans="2:15">
      <c r="B432" s="510"/>
      <c r="C432" s="212" t="s">
        <v>813</v>
      </c>
      <c r="D432" s="213">
        <v>200</v>
      </c>
      <c r="E432" s="221">
        <v>40000</v>
      </c>
      <c r="F432" s="214" t="s">
        <v>391</v>
      </c>
      <c r="G432" s="490"/>
      <c r="H432" s="490"/>
      <c r="I432" s="490"/>
      <c r="J432" s="499"/>
      <c r="K432" s="500"/>
      <c r="L432" s="499"/>
      <c r="M432" s="500"/>
      <c r="N432" s="499"/>
      <c r="O432" s="500"/>
    </row>
    <row r="433" spans="2:15">
      <c r="B433" s="510"/>
      <c r="C433" s="212" t="s">
        <v>814</v>
      </c>
      <c r="D433" s="213">
        <v>250</v>
      </c>
      <c r="E433" s="221">
        <v>50000</v>
      </c>
      <c r="F433" s="214" t="s">
        <v>391</v>
      </c>
      <c r="G433" s="490"/>
      <c r="H433" s="490"/>
      <c r="I433" s="490"/>
      <c r="J433" s="499"/>
      <c r="K433" s="500"/>
      <c r="L433" s="499"/>
      <c r="M433" s="500"/>
      <c r="N433" s="499"/>
      <c r="O433" s="500"/>
    </row>
    <row r="434" spans="2:15">
      <c r="B434" s="510"/>
      <c r="C434" s="212" t="s">
        <v>815</v>
      </c>
      <c r="D434" s="213">
        <v>300</v>
      </c>
      <c r="E434" s="221">
        <v>60000</v>
      </c>
      <c r="F434" s="214" t="s">
        <v>391</v>
      </c>
      <c r="G434" s="490"/>
      <c r="H434" s="490"/>
      <c r="I434" s="490"/>
      <c r="J434" s="499"/>
      <c r="K434" s="500"/>
      <c r="L434" s="499"/>
      <c r="M434" s="500"/>
      <c r="N434" s="499"/>
      <c r="O434" s="500"/>
    </row>
    <row r="435" spans="2:15">
      <c r="B435" s="510"/>
      <c r="C435" s="212" t="s">
        <v>816</v>
      </c>
      <c r="D435" s="213">
        <v>350</v>
      </c>
      <c r="E435" s="229">
        <v>80000</v>
      </c>
      <c r="F435" s="214" t="s">
        <v>391</v>
      </c>
      <c r="G435" s="490"/>
      <c r="H435" s="490"/>
      <c r="I435" s="490"/>
      <c r="J435" s="499"/>
      <c r="K435" s="500"/>
      <c r="L435" s="499"/>
      <c r="M435" s="500"/>
      <c r="N435" s="499"/>
      <c r="O435" s="500"/>
    </row>
    <row r="436" spans="2:15">
      <c r="B436" s="510"/>
      <c r="C436" s="212" t="s">
        <v>817</v>
      </c>
      <c r="D436" s="213">
        <v>400</v>
      </c>
      <c r="E436" s="229">
        <v>100000</v>
      </c>
      <c r="F436" s="214" t="s">
        <v>391</v>
      </c>
      <c r="G436" s="490"/>
      <c r="H436" s="490"/>
      <c r="I436" s="490"/>
      <c r="J436" s="499"/>
      <c r="K436" s="500"/>
      <c r="L436" s="499"/>
      <c r="M436" s="500"/>
      <c r="N436" s="499"/>
      <c r="O436" s="500"/>
    </row>
    <row r="437" spans="2:15">
      <c r="B437" s="510"/>
      <c r="C437" s="212" t="s">
        <v>818</v>
      </c>
      <c r="D437" s="213">
        <v>450</v>
      </c>
      <c r="E437" s="229">
        <v>120000</v>
      </c>
      <c r="F437" s="214" t="s">
        <v>391</v>
      </c>
      <c r="G437" s="490"/>
      <c r="H437" s="490"/>
      <c r="I437" s="490"/>
      <c r="J437" s="499"/>
      <c r="K437" s="500"/>
      <c r="L437" s="499"/>
      <c r="M437" s="500"/>
      <c r="N437" s="499"/>
      <c r="O437" s="500"/>
    </row>
    <row r="438" spans="2:15">
      <c r="B438" s="510"/>
      <c r="C438" s="212" t="s">
        <v>819</v>
      </c>
      <c r="D438" s="213">
        <v>500</v>
      </c>
      <c r="E438" s="229">
        <v>150000</v>
      </c>
      <c r="F438" s="214" t="s">
        <v>391</v>
      </c>
      <c r="G438" s="490"/>
      <c r="H438" s="490"/>
      <c r="I438" s="490"/>
      <c r="J438" s="499"/>
      <c r="K438" s="500"/>
      <c r="L438" s="499"/>
      <c r="M438" s="500"/>
      <c r="N438" s="499"/>
      <c r="O438" s="500"/>
    </row>
    <row r="439" spans="2:15">
      <c r="B439" s="510"/>
      <c r="C439" s="212" t="s">
        <v>820</v>
      </c>
      <c r="D439" s="213">
        <v>550</v>
      </c>
      <c r="E439" s="229">
        <v>180000</v>
      </c>
      <c r="F439" s="214" t="s">
        <v>391</v>
      </c>
      <c r="G439" s="490"/>
      <c r="H439" s="490"/>
      <c r="I439" s="490"/>
      <c r="J439" s="499"/>
      <c r="K439" s="500"/>
      <c r="L439" s="499"/>
      <c r="M439" s="500"/>
      <c r="N439" s="499"/>
      <c r="O439" s="500"/>
    </row>
    <row r="440" spans="2:15">
      <c r="B440" s="510"/>
      <c r="C440" s="212" t="s">
        <v>821</v>
      </c>
      <c r="D440" s="213">
        <v>600</v>
      </c>
      <c r="E440" s="229">
        <v>210000</v>
      </c>
      <c r="F440" s="214" t="s">
        <v>391</v>
      </c>
      <c r="G440" s="490"/>
      <c r="H440" s="490"/>
      <c r="I440" s="490"/>
      <c r="J440" s="499"/>
      <c r="K440" s="500"/>
      <c r="L440" s="499"/>
      <c r="M440" s="500"/>
      <c r="N440" s="499"/>
      <c r="O440" s="500"/>
    </row>
    <row r="441" spans="2:15">
      <c r="B441" s="510"/>
      <c r="C441" s="212" t="s">
        <v>822</v>
      </c>
      <c r="D441" s="213">
        <v>650</v>
      </c>
      <c r="E441" s="229">
        <v>240000</v>
      </c>
      <c r="F441" s="214" t="s">
        <v>391</v>
      </c>
      <c r="G441" s="490"/>
      <c r="H441" s="490"/>
      <c r="I441" s="490"/>
      <c r="J441" s="499"/>
      <c r="K441" s="500"/>
      <c r="L441" s="499"/>
      <c r="M441" s="500"/>
      <c r="N441" s="499"/>
      <c r="O441" s="500"/>
    </row>
    <row r="442" spans="2:15">
      <c r="B442" s="510"/>
      <c r="C442" s="212" t="s">
        <v>823</v>
      </c>
      <c r="D442" s="213">
        <v>700</v>
      </c>
      <c r="E442" s="229">
        <v>270000</v>
      </c>
      <c r="F442" s="214" t="s">
        <v>391</v>
      </c>
      <c r="G442" s="490"/>
      <c r="H442" s="490"/>
      <c r="I442" s="490"/>
      <c r="J442" s="499"/>
      <c r="K442" s="500"/>
      <c r="L442" s="499"/>
      <c r="M442" s="500"/>
      <c r="N442" s="499"/>
      <c r="O442" s="500"/>
    </row>
    <row r="443" spans="2:15">
      <c r="B443" s="510"/>
      <c r="C443" s="212" t="s">
        <v>824</v>
      </c>
      <c r="D443" s="213">
        <v>750</v>
      </c>
      <c r="E443" s="229">
        <v>300000</v>
      </c>
      <c r="F443" s="214" t="s">
        <v>391</v>
      </c>
      <c r="G443" s="490"/>
      <c r="H443" s="490"/>
      <c r="I443" s="490"/>
      <c r="J443" s="499"/>
      <c r="K443" s="500"/>
      <c r="L443" s="499"/>
      <c r="M443" s="500"/>
      <c r="N443" s="499"/>
      <c r="O443" s="500"/>
    </row>
    <row r="444" spans="2:15">
      <c r="B444" s="510"/>
      <c r="C444" s="212" t="s">
        <v>825</v>
      </c>
      <c r="D444" s="213">
        <v>800</v>
      </c>
      <c r="E444" s="229">
        <v>340000</v>
      </c>
      <c r="F444" s="214" t="s">
        <v>391</v>
      </c>
      <c r="G444" s="490"/>
      <c r="H444" s="490"/>
      <c r="I444" s="490"/>
      <c r="J444" s="499"/>
      <c r="K444" s="500"/>
      <c r="L444" s="499"/>
      <c r="M444" s="500"/>
      <c r="N444" s="499"/>
      <c r="O444" s="500"/>
    </row>
    <row r="445" spans="2:15">
      <c r="B445" s="510"/>
      <c r="C445" s="212" t="s">
        <v>826</v>
      </c>
      <c r="D445" s="213">
        <v>850</v>
      </c>
      <c r="E445" s="229">
        <v>380000</v>
      </c>
      <c r="F445" s="214" t="s">
        <v>391</v>
      </c>
      <c r="G445" s="490"/>
      <c r="H445" s="490"/>
      <c r="I445" s="490"/>
      <c r="J445" s="499"/>
      <c r="K445" s="500"/>
      <c r="L445" s="499"/>
      <c r="M445" s="500"/>
      <c r="N445" s="499"/>
      <c r="O445" s="500"/>
    </row>
    <row r="446" spans="2:15">
      <c r="B446" s="510"/>
      <c r="C446" s="212" t="s">
        <v>827</v>
      </c>
      <c r="D446" s="213">
        <v>900</v>
      </c>
      <c r="E446" s="229">
        <v>420000</v>
      </c>
      <c r="F446" s="214" t="s">
        <v>391</v>
      </c>
      <c r="G446" s="490"/>
      <c r="H446" s="490"/>
      <c r="I446" s="490"/>
      <c r="J446" s="499"/>
      <c r="K446" s="500"/>
      <c r="L446" s="499"/>
      <c r="M446" s="500"/>
      <c r="N446" s="499"/>
      <c r="O446" s="500"/>
    </row>
    <row r="447" spans="2:15">
      <c r="B447" s="510"/>
      <c r="C447" s="212" t="s">
        <v>828</v>
      </c>
      <c r="D447" s="213">
        <v>950</v>
      </c>
      <c r="E447" s="229">
        <v>460000</v>
      </c>
      <c r="F447" s="214" t="s">
        <v>391</v>
      </c>
      <c r="G447" s="490"/>
      <c r="H447" s="490"/>
      <c r="I447" s="490"/>
      <c r="J447" s="499"/>
      <c r="K447" s="500"/>
      <c r="L447" s="499"/>
      <c r="M447" s="500"/>
      <c r="N447" s="499"/>
      <c r="O447" s="500"/>
    </row>
    <row r="448" spans="2:15">
      <c r="B448" s="510"/>
      <c r="C448" s="212" t="s">
        <v>829</v>
      </c>
      <c r="D448" s="213">
        <v>1000</v>
      </c>
      <c r="E448" s="229">
        <v>500000</v>
      </c>
      <c r="F448" s="214" t="s">
        <v>391</v>
      </c>
      <c r="G448" s="490"/>
      <c r="H448" s="490"/>
      <c r="I448" s="490"/>
      <c r="J448" s="499"/>
      <c r="K448" s="500"/>
      <c r="L448" s="499"/>
      <c r="M448" s="500"/>
      <c r="N448" s="499"/>
      <c r="O448" s="500"/>
    </row>
    <row r="449" spans="2:15">
      <c r="B449" s="510"/>
      <c r="C449" s="215" t="s">
        <v>830</v>
      </c>
      <c r="D449" s="216">
        <v>1</v>
      </c>
      <c r="E449" s="216">
        <v>10000</v>
      </c>
      <c r="F449" s="216" t="s">
        <v>391</v>
      </c>
      <c r="G449" s="491">
        <f>SUM(E449:E450)</f>
        <v>30000</v>
      </c>
      <c r="H449" s="491">
        <f>SUM(E449:E453)</f>
        <v>150000</v>
      </c>
      <c r="I449" s="491">
        <f>SUM(E449:E456)</f>
        <v>450000</v>
      </c>
      <c r="J449" s="499"/>
      <c r="K449" s="500"/>
      <c r="L449" s="499"/>
      <c r="M449" s="500"/>
      <c r="N449" s="499"/>
      <c r="O449" s="500"/>
    </row>
    <row r="450" spans="2:15">
      <c r="B450" s="510"/>
      <c r="C450" s="215" t="s">
        <v>831</v>
      </c>
      <c r="D450" s="216">
        <v>10</v>
      </c>
      <c r="E450" s="216">
        <v>20000</v>
      </c>
      <c r="F450" s="216" t="s">
        <v>391</v>
      </c>
      <c r="G450" s="491"/>
      <c r="H450" s="491"/>
      <c r="I450" s="491"/>
      <c r="J450" s="499"/>
      <c r="K450" s="500"/>
      <c r="L450" s="499"/>
      <c r="M450" s="500"/>
      <c r="N450" s="499"/>
      <c r="O450" s="500"/>
    </row>
    <row r="451" spans="2:15">
      <c r="B451" s="510"/>
      <c r="C451" s="215" t="s">
        <v>832</v>
      </c>
      <c r="D451" s="216">
        <v>20</v>
      </c>
      <c r="E451" s="228">
        <v>40000</v>
      </c>
      <c r="F451" s="216" t="s">
        <v>391</v>
      </c>
      <c r="G451" s="491"/>
      <c r="H451" s="491"/>
      <c r="I451" s="491"/>
      <c r="J451" s="499"/>
      <c r="K451" s="500"/>
      <c r="L451" s="499"/>
      <c r="M451" s="500"/>
      <c r="N451" s="499"/>
      <c r="O451" s="500"/>
    </row>
    <row r="452" spans="2:15">
      <c r="B452" s="510"/>
      <c r="C452" s="215" t="s">
        <v>833</v>
      </c>
      <c r="D452" s="216">
        <v>30</v>
      </c>
      <c r="E452" s="228">
        <v>30000</v>
      </c>
      <c r="F452" s="216" t="s">
        <v>391</v>
      </c>
      <c r="G452" s="491"/>
      <c r="H452" s="491"/>
      <c r="I452" s="491"/>
      <c r="J452" s="499"/>
      <c r="K452" s="500"/>
      <c r="L452" s="499"/>
      <c r="M452" s="500"/>
      <c r="N452" s="499"/>
      <c r="O452" s="500"/>
    </row>
    <row r="453" spans="2:15">
      <c r="B453" s="510"/>
      <c r="C453" s="215" t="s">
        <v>834</v>
      </c>
      <c r="D453" s="216">
        <v>50</v>
      </c>
      <c r="E453" s="228">
        <v>50000</v>
      </c>
      <c r="F453" s="216" t="s">
        <v>391</v>
      </c>
      <c r="G453" s="491"/>
      <c r="H453" s="491"/>
      <c r="I453" s="491"/>
      <c r="J453" s="499"/>
      <c r="K453" s="500"/>
      <c r="L453" s="499"/>
      <c r="M453" s="500"/>
      <c r="N453" s="499"/>
      <c r="O453" s="500"/>
    </row>
    <row r="454" spans="2:15">
      <c r="B454" s="510"/>
      <c r="C454" s="215" t="s">
        <v>835</v>
      </c>
      <c r="D454" s="216">
        <v>100</v>
      </c>
      <c r="E454" s="221">
        <v>75000</v>
      </c>
      <c r="F454" s="216" t="s">
        <v>391</v>
      </c>
      <c r="G454" s="491"/>
      <c r="H454" s="491"/>
      <c r="I454" s="491"/>
      <c r="J454" s="499"/>
      <c r="K454" s="500"/>
      <c r="L454" s="499"/>
      <c r="M454" s="500"/>
      <c r="N454" s="499"/>
      <c r="O454" s="500"/>
    </row>
    <row r="455" spans="2:15">
      <c r="B455" s="510"/>
      <c r="C455" s="215" t="s">
        <v>836</v>
      </c>
      <c r="D455" s="216">
        <v>150</v>
      </c>
      <c r="E455" s="221">
        <v>100000</v>
      </c>
      <c r="F455" s="216" t="s">
        <v>391</v>
      </c>
      <c r="G455" s="491"/>
      <c r="H455" s="491"/>
      <c r="I455" s="491"/>
      <c r="J455" s="499"/>
      <c r="K455" s="500"/>
      <c r="L455" s="499"/>
      <c r="M455" s="500"/>
      <c r="N455" s="499"/>
      <c r="O455" s="500"/>
    </row>
    <row r="456" spans="2:15">
      <c r="B456" s="510"/>
      <c r="C456" s="215" t="s">
        <v>837</v>
      </c>
      <c r="D456" s="216">
        <v>200</v>
      </c>
      <c r="E456" s="221">
        <v>125000</v>
      </c>
      <c r="F456" s="216" t="s">
        <v>391</v>
      </c>
      <c r="G456" s="491"/>
      <c r="H456" s="491"/>
      <c r="I456" s="491"/>
      <c r="J456" s="499"/>
      <c r="K456" s="500"/>
      <c r="L456" s="499"/>
      <c r="M456" s="500"/>
      <c r="N456" s="499"/>
      <c r="O456" s="500"/>
    </row>
    <row r="457" spans="2:15">
      <c r="B457" s="510"/>
      <c r="C457" s="215" t="s">
        <v>838</v>
      </c>
      <c r="D457" s="216">
        <v>250</v>
      </c>
      <c r="E457" s="229">
        <v>150000</v>
      </c>
      <c r="F457" s="216" t="s">
        <v>391</v>
      </c>
      <c r="G457" s="491"/>
      <c r="H457" s="491"/>
      <c r="I457" s="491"/>
      <c r="J457" s="499"/>
      <c r="K457" s="500"/>
      <c r="L457" s="499"/>
      <c r="M457" s="500"/>
      <c r="N457" s="499"/>
      <c r="O457" s="500"/>
    </row>
    <row r="458" spans="2:15">
      <c r="B458" s="510"/>
      <c r="C458" s="215" t="s">
        <v>839</v>
      </c>
      <c r="D458" s="216">
        <v>300</v>
      </c>
      <c r="E458" s="229">
        <v>180000</v>
      </c>
      <c r="F458" s="216" t="s">
        <v>391</v>
      </c>
      <c r="G458" s="491"/>
      <c r="H458" s="491"/>
      <c r="I458" s="491"/>
      <c r="J458" s="499"/>
      <c r="K458" s="500"/>
      <c r="L458" s="499"/>
      <c r="M458" s="500"/>
      <c r="N458" s="499"/>
      <c r="O458" s="500"/>
    </row>
    <row r="459" spans="2:15">
      <c r="B459" s="510"/>
      <c r="C459" s="215" t="s">
        <v>840</v>
      </c>
      <c r="D459" s="216">
        <v>350</v>
      </c>
      <c r="E459" s="229">
        <v>210000</v>
      </c>
      <c r="F459" s="216" t="s">
        <v>391</v>
      </c>
      <c r="G459" s="491"/>
      <c r="H459" s="491"/>
      <c r="I459" s="491"/>
      <c r="J459" s="499"/>
      <c r="K459" s="500"/>
      <c r="L459" s="499"/>
      <c r="M459" s="500"/>
      <c r="N459" s="499"/>
      <c r="O459" s="500"/>
    </row>
    <row r="460" spans="2:15">
      <c r="B460" s="510"/>
      <c r="C460" s="215" t="s">
        <v>841</v>
      </c>
      <c r="D460" s="216">
        <v>400</v>
      </c>
      <c r="E460" s="229">
        <v>240000</v>
      </c>
      <c r="F460" s="216" t="s">
        <v>391</v>
      </c>
      <c r="G460" s="491"/>
      <c r="H460" s="491"/>
      <c r="I460" s="491"/>
      <c r="J460" s="499"/>
      <c r="K460" s="500"/>
      <c r="L460" s="499"/>
      <c r="M460" s="500"/>
      <c r="N460" s="499"/>
      <c r="O460" s="500"/>
    </row>
    <row r="461" spans="2:15">
      <c r="B461" s="510"/>
      <c r="C461" s="215" t="s">
        <v>842</v>
      </c>
      <c r="D461" s="216">
        <v>450</v>
      </c>
      <c r="E461" s="229">
        <v>270000</v>
      </c>
      <c r="F461" s="216" t="s">
        <v>391</v>
      </c>
      <c r="G461" s="491"/>
      <c r="H461" s="491"/>
      <c r="I461" s="491"/>
      <c r="J461" s="499"/>
      <c r="K461" s="500"/>
      <c r="L461" s="499"/>
      <c r="M461" s="500"/>
      <c r="N461" s="499"/>
      <c r="O461" s="500"/>
    </row>
    <row r="462" spans="2:15">
      <c r="B462" s="510"/>
      <c r="C462" s="215" t="s">
        <v>843</v>
      </c>
      <c r="D462" s="216">
        <v>500</v>
      </c>
      <c r="E462" s="229">
        <v>300000</v>
      </c>
      <c r="F462" s="216" t="s">
        <v>391</v>
      </c>
      <c r="G462" s="491"/>
      <c r="H462" s="491"/>
      <c r="I462" s="491"/>
      <c r="J462" s="499"/>
      <c r="K462" s="500"/>
      <c r="L462" s="499"/>
      <c r="M462" s="500"/>
      <c r="N462" s="499"/>
      <c r="O462" s="500"/>
    </row>
    <row r="463" spans="2:15">
      <c r="B463" s="510"/>
      <c r="C463" s="215" t="s">
        <v>844</v>
      </c>
      <c r="D463" s="216">
        <v>550</v>
      </c>
      <c r="E463" s="229">
        <v>340000</v>
      </c>
      <c r="F463" s="216" t="s">
        <v>391</v>
      </c>
      <c r="G463" s="491"/>
      <c r="H463" s="491"/>
      <c r="I463" s="491"/>
      <c r="J463" s="499"/>
      <c r="K463" s="500"/>
      <c r="L463" s="499"/>
      <c r="M463" s="500"/>
      <c r="N463" s="499"/>
      <c r="O463" s="500"/>
    </row>
    <row r="464" spans="2:15">
      <c r="B464" s="510"/>
      <c r="C464" s="215" t="s">
        <v>845</v>
      </c>
      <c r="D464" s="216">
        <v>600</v>
      </c>
      <c r="E464" s="229">
        <v>380000</v>
      </c>
      <c r="F464" s="216" t="s">
        <v>391</v>
      </c>
      <c r="G464" s="491"/>
      <c r="H464" s="491"/>
      <c r="I464" s="491"/>
      <c r="J464" s="499"/>
      <c r="K464" s="500"/>
      <c r="L464" s="499"/>
      <c r="M464" s="500"/>
      <c r="N464" s="499"/>
      <c r="O464" s="500"/>
    </row>
    <row r="465" spans="2:15">
      <c r="B465" s="510"/>
      <c r="C465" s="215" t="s">
        <v>846</v>
      </c>
      <c r="D465" s="216">
        <v>650</v>
      </c>
      <c r="E465" s="229">
        <v>420000</v>
      </c>
      <c r="F465" s="216" t="s">
        <v>391</v>
      </c>
      <c r="G465" s="491"/>
      <c r="H465" s="491"/>
      <c r="I465" s="491"/>
      <c r="J465" s="499"/>
      <c r="K465" s="500"/>
      <c r="L465" s="499"/>
      <c r="M465" s="500"/>
      <c r="N465" s="499"/>
      <c r="O465" s="500"/>
    </row>
    <row r="466" spans="2:15">
      <c r="B466" s="510"/>
      <c r="C466" s="215" t="s">
        <v>847</v>
      </c>
      <c r="D466" s="216">
        <v>700</v>
      </c>
      <c r="E466" s="229">
        <v>460000</v>
      </c>
      <c r="F466" s="216" t="s">
        <v>391</v>
      </c>
      <c r="G466" s="491"/>
      <c r="H466" s="491"/>
      <c r="I466" s="491"/>
      <c r="J466" s="499"/>
      <c r="K466" s="500"/>
      <c r="L466" s="499"/>
      <c r="M466" s="500"/>
      <c r="N466" s="499"/>
      <c r="O466" s="500"/>
    </row>
    <row r="467" spans="2:15">
      <c r="B467" s="510"/>
      <c r="C467" s="215" t="s">
        <v>848</v>
      </c>
      <c r="D467" s="216">
        <v>750</v>
      </c>
      <c r="E467" s="229">
        <v>500000</v>
      </c>
      <c r="F467" s="216" t="s">
        <v>391</v>
      </c>
      <c r="G467" s="491"/>
      <c r="H467" s="491"/>
      <c r="I467" s="491"/>
      <c r="J467" s="499"/>
      <c r="K467" s="500"/>
      <c r="L467" s="499"/>
      <c r="M467" s="500"/>
      <c r="N467" s="499"/>
      <c r="O467" s="500"/>
    </row>
    <row r="468" spans="2:15">
      <c r="B468" s="510"/>
      <c r="C468" s="215" t="s">
        <v>849</v>
      </c>
      <c r="D468" s="216">
        <v>800</v>
      </c>
      <c r="E468" s="229">
        <v>550000</v>
      </c>
      <c r="F468" s="216" t="s">
        <v>391</v>
      </c>
      <c r="G468" s="491"/>
      <c r="H468" s="491"/>
      <c r="I468" s="491"/>
      <c r="J468" s="499"/>
      <c r="K468" s="500"/>
      <c r="L468" s="499"/>
      <c r="M468" s="500"/>
      <c r="N468" s="499"/>
      <c r="O468" s="500"/>
    </row>
    <row r="469" spans="2:15">
      <c r="B469" s="510"/>
      <c r="C469" s="215" t="s">
        <v>850</v>
      </c>
      <c r="D469" s="216">
        <v>850</v>
      </c>
      <c r="E469" s="229">
        <v>600000</v>
      </c>
      <c r="F469" s="216" t="s">
        <v>391</v>
      </c>
      <c r="G469" s="491"/>
      <c r="H469" s="491"/>
      <c r="I469" s="491"/>
      <c r="J469" s="499"/>
      <c r="K469" s="500"/>
      <c r="L469" s="499"/>
      <c r="M469" s="500"/>
      <c r="N469" s="499"/>
      <c r="O469" s="500"/>
    </row>
    <row r="470" spans="2:15">
      <c r="B470" s="510"/>
      <c r="C470" s="215" t="s">
        <v>851</v>
      </c>
      <c r="D470" s="216">
        <v>900</v>
      </c>
      <c r="E470" s="229">
        <v>650000</v>
      </c>
      <c r="F470" s="216" t="s">
        <v>391</v>
      </c>
      <c r="G470" s="491"/>
      <c r="H470" s="491"/>
      <c r="I470" s="491"/>
      <c r="J470" s="499"/>
      <c r="K470" s="500"/>
      <c r="L470" s="499"/>
      <c r="M470" s="500"/>
      <c r="N470" s="499"/>
      <c r="O470" s="500"/>
    </row>
    <row r="471" spans="2:15">
      <c r="B471" s="510"/>
      <c r="C471" s="215" t="s">
        <v>852</v>
      </c>
      <c r="D471" s="216">
        <v>950</v>
      </c>
      <c r="E471" s="229">
        <v>700000</v>
      </c>
      <c r="F471" s="216" t="s">
        <v>391</v>
      </c>
      <c r="G471" s="491"/>
      <c r="H471" s="491"/>
      <c r="I471" s="491"/>
      <c r="J471" s="499"/>
      <c r="K471" s="500"/>
      <c r="L471" s="499"/>
      <c r="M471" s="500"/>
      <c r="N471" s="499"/>
      <c r="O471" s="500"/>
    </row>
    <row r="472" spans="2:15">
      <c r="B472" s="510"/>
      <c r="C472" s="215" t="s">
        <v>853</v>
      </c>
      <c r="D472" s="216">
        <v>1000</v>
      </c>
      <c r="E472" s="229">
        <v>750000</v>
      </c>
      <c r="F472" s="216" t="s">
        <v>391</v>
      </c>
      <c r="G472" s="491"/>
      <c r="H472" s="491"/>
      <c r="I472" s="491"/>
      <c r="J472" s="499"/>
      <c r="K472" s="500"/>
      <c r="L472" s="499"/>
      <c r="M472" s="500"/>
      <c r="N472" s="499"/>
      <c r="O472" s="500"/>
    </row>
    <row r="473" spans="2:15">
      <c r="B473" s="510"/>
      <c r="C473" s="212" t="s">
        <v>854</v>
      </c>
      <c r="D473" s="213">
        <v>1</v>
      </c>
      <c r="E473" s="213">
        <v>20000</v>
      </c>
      <c r="F473" s="213" t="s">
        <v>391</v>
      </c>
      <c r="G473" s="490">
        <f>SUM(E473)</f>
        <v>20000</v>
      </c>
      <c r="H473" s="490">
        <f>SUM(E473:E474)</f>
        <v>60000</v>
      </c>
      <c r="I473" s="490">
        <f>SUM(E473:E477)</f>
        <v>290000</v>
      </c>
      <c r="J473" s="499"/>
      <c r="K473" s="500"/>
      <c r="L473" s="499"/>
      <c r="M473" s="500"/>
      <c r="N473" s="499"/>
      <c r="O473" s="500"/>
    </row>
    <row r="474" spans="2:15">
      <c r="B474" s="510"/>
      <c r="C474" s="212" t="s">
        <v>855</v>
      </c>
      <c r="D474" s="213">
        <v>10</v>
      </c>
      <c r="E474" s="228">
        <v>40000</v>
      </c>
      <c r="F474" s="213" t="s">
        <v>391</v>
      </c>
      <c r="G474" s="490"/>
      <c r="H474" s="490"/>
      <c r="I474" s="490"/>
      <c r="J474" s="499"/>
      <c r="K474" s="500"/>
      <c r="L474" s="499"/>
      <c r="M474" s="500"/>
      <c r="N474" s="499"/>
      <c r="O474" s="500"/>
    </row>
    <row r="475" spans="2:15">
      <c r="B475" s="510"/>
      <c r="C475" s="212" t="s">
        <v>856</v>
      </c>
      <c r="D475" s="213">
        <v>20</v>
      </c>
      <c r="E475" s="221">
        <v>80000</v>
      </c>
      <c r="F475" s="213" t="s">
        <v>391</v>
      </c>
      <c r="G475" s="490"/>
      <c r="H475" s="490"/>
      <c r="I475" s="490"/>
      <c r="J475" s="499"/>
      <c r="K475" s="500"/>
      <c r="L475" s="499"/>
      <c r="M475" s="500"/>
      <c r="N475" s="499"/>
      <c r="O475" s="500"/>
    </row>
    <row r="476" spans="2:15">
      <c r="B476" s="510"/>
      <c r="C476" s="212" t="s">
        <v>857</v>
      </c>
      <c r="D476" s="213">
        <v>30</v>
      </c>
      <c r="E476" s="221">
        <v>60000</v>
      </c>
      <c r="F476" s="213" t="s">
        <v>391</v>
      </c>
      <c r="G476" s="490"/>
      <c r="H476" s="490"/>
      <c r="I476" s="490"/>
      <c r="J476" s="499"/>
      <c r="K476" s="500"/>
      <c r="L476" s="499"/>
      <c r="M476" s="500"/>
      <c r="N476" s="499"/>
      <c r="O476" s="500"/>
    </row>
    <row r="477" spans="2:15">
      <c r="B477" s="510"/>
      <c r="C477" s="212" t="s">
        <v>858</v>
      </c>
      <c r="D477" s="213">
        <v>50</v>
      </c>
      <c r="E477" s="221">
        <v>90000</v>
      </c>
      <c r="F477" s="213" t="s">
        <v>391</v>
      </c>
      <c r="G477" s="490"/>
      <c r="H477" s="490"/>
      <c r="I477" s="490"/>
      <c r="J477" s="499"/>
      <c r="K477" s="500"/>
      <c r="L477" s="499"/>
      <c r="M477" s="500"/>
      <c r="N477" s="499"/>
      <c r="O477" s="500"/>
    </row>
    <row r="478" spans="2:15">
      <c r="B478" s="510"/>
      <c r="C478" s="212" t="s">
        <v>859</v>
      </c>
      <c r="D478" s="213">
        <v>100</v>
      </c>
      <c r="E478" s="229">
        <v>120000</v>
      </c>
      <c r="F478" s="213" t="s">
        <v>391</v>
      </c>
      <c r="G478" s="490"/>
      <c r="H478" s="490"/>
      <c r="I478" s="490"/>
      <c r="J478" s="499"/>
      <c r="K478" s="500"/>
      <c r="L478" s="499"/>
      <c r="M478" s="500"/>
      <c r="N478" s="499"/>
      <c r="O478" s="500"/>
    </row>
    <row r="479" spans="2:15">
      <c r="B479" s="510"/>
      <c r="C479" s="212" t="s">
        <v>860</v>
      </c>
      <c r="D479" s="213">
        <v>150</v>
      </c>
      <c r="E479" s="229">
        <v>150000</v>
      </c>
      <c r="F479" s="213" t="s">
        <v>391</v>
      </c>
      <c r="G479" s="490"/>
      <c r="H479" s="490"/>
      <c r="I479" s="490"/>
      <c r="J479" s="499"/>
      <c r="K479" s="500"/>
      <c r="L479" s="499"/>
      <c r="M479" s="500"/>
      <c r="N479" s="499"/>
      <c r="O479" s="500"/>
    </row>
    <row r="480" spans="2:15">
      <c r="B480" s="510"/>
      <c r="C480" s="212" t="s">
        <v>861</v>
      </c>
      <c r="D480" s="213">
        <v>200</v>
      </c>
      <c r="E480" s="229">
        <v>180000</v>
      </c>
      <c r="F480" s="213" t="s">
        <v>391</v>
      </c>
      <c r="G480" s="490"/>
      <c r="H480" s="490"/>
      <c r="I480" s="490"/>
      <c r="J480" s="499"/>
      <c r="K480" s="500"/>
      <c r="L480" s="499"/>
      <c r="M480" s="500"/>
      <c r="N480" s="499"/>
      <c r="O480" s="500"/>
    </row>
    <row r="481" spans="2:15">
      <c r="B481" s="510"/>
      <c r="C481" s="212" t="s">
        <v>862</v>
      </c>
      <c r="D481" s="213">
        <v>250</v>
      </c>
      <c r="E481" s="229">
        <v>220000</v>
      </c>
      <c r="F481" s="213" t="s">
        <v>391</v>
      </c>
      <c r="G481" s="490"/>
      <c r="H481" s="490"/>
      <c r="I481" s="490"/>
      <c r="J481" s="499"/>
      <c r="K481" s="500"/>
      <c r="L481" s="499"/>
      <c r="M481" s="500"/>
      <c r="N481" s="499"/>
      <c r="O481" s="500"/>
    </row>
    <row r="482" spans="2:15">
      <c r="B482" s="510"/>
      <c r="C482" s="212" t="s">
        <v>863</v>
      </c>
      <c r="D482" s="213">
        <v>300</v>
      </c>
      <c r="E482" s="229">
        <v>260000</v>
      </c>
      <c r="F482" s="213" t="s">
        <v>391</v>
      </c>
      <c r="G482" s="490"/>
      <c r="H482" s="490"/>
      <c r="I482" s="490"/>
      <c r="J482" s="499"/>
      <c r="K482" s="500"/>
      <c r="L482" s="499"/>
      <c r="M482" s="500"/>
      <c r="N482" s="499"/>
      <c r="O482" s="500"/>
    </row>
    <row r="483" spans="2:15">
      <c r="B483" s="510"/>
      <c r="C483" s="212" t="s">
        <v>864</v>
      </c>
      <c r="D483" s="213">
        <v>350</v>
      </c>
      <c r="E483" s="229">
        <v>300000</v>
      </c>
      <c r="F483" s="213" t="s">
        <v>391</v>
      </c>
      <c r="G483" s="490"/>
      <c r="H483" s="490"/>
      <c r="I483" s="490"/>
      <c r="J483" s="499"/>
      <c r="K483" s="500"/>
      <c r="L483" s="499"/>
      <c r="M483" s="500"/>
      <c r="N483" s="499"/>
      <c r="O483" s="500"/>
    </row>
    <row r="484" spans="2:15">
      <c r="B484" s="510"/>
      <c r="C484" s="212" t="s">
        <v>865</v>
      </c>
      <c r="D484" s="213">
        <v>400</v>
      </c>
      <c r="E484" s="229">
        <v>350000</v>
      </c>
      <c r="F484" s="213" t="s">
        <v>391</v>
      </c>
      <c r="G484" s="490"/>
      <c r="H484" s="490"/>
      <c r="I484" s="490"/>
      <c r="J484" s="499"/>
      <c r="K484" s="500"/>
      <c r="L484" s="499"/>
      <c r="M484" s="500"/>
      <c r="N484" s="499"/>
      <c r="O484" s="500"/>
    </row>
    <row r="485" spans="2:15">
      <c r="B485" s="510"/>
      <c r="C485" s="212" t="s">
        <v>866</v>
      </c>
      <c r="D485" s="213">
        <v>450</v>
      </c>
      <c r="E485" s="229">
        <v>400000</v>
      </c>
      <c r="F485" s="213" t="s">
        <v>391</v>
      </c>
      <c r="G485" s="490"/>
      <c r="H485" s="490"/>
      <c r="I485" s="490"/>
      <c r="J485" s="499"/>
      <c r="K485" s="500"/>
      <c r="L485" s="499"/>
      <c r="M485" s="500"/>
      <c r="N485" s="499"/>
      <c r="O485" s="500"/>
    </row>
    <row r="486" spans="2:15">
      <c r="B486" s="510"/>
      <c r="C486" s="212" t="s">
        <v>867</v>
      </c>
      <c r="D486" s="213">
        <v>500</v>
      </c>
      <c r="E486" s="229">
        <v>450000</v>
      </c>
      <c r="F486" s="213" t="s">
        <v>391</v>
      </c>
      <c r="G486" s="490"/>
      <c r="H486" s="490"/>
      <c r="I486" s="490"/>
      <c r="J486" s="499"/>
      <c r="K486" s="500"/>
      <c r="L486" s="499"/>
      <c r="M486" s="500"/>
      <c r="N486" s="499"/>
      <c r="O486" s="500"/>
    </row>
    <row r="487" spans="2:15">
      <c r="B487" s="510"/>
      <c r="C487" s="215" t="s">
        <v>868</v>
      </c>
      <c r="D487" s="216">
        <v>1</v>
      </c>
      <c r="E487" s="217">
        <v>2000</v>
      </c>
      <c r="F487" s="217" t="s">
        <v>391</v>
      </c>
      <c r="G487" s="491">
        <f>SUM(E487:E493)</f>
        <v>68000</v>
      </c>
      <c r="H487" s="491">
        <f>SUM(E487:E507)</f>
        <v>942000</v>
      </c>
      <c r="I487" s="491">
        <f>SUM(E487:E515)</f>
        <v>2182000</v>
      </c>
      <c r="J487" s="499"/>
      <c r="K487" s="500"/>
      <c r="L487" s="499"/>
      <c r="M487" s="500"/>
      <c r="N487" s="499"/>
      <c r="O487" s="500"/>
    </row>
    <row r="488" spans="2:15">
      <c r="B488" s="510"/>
      <c r="C488" s="215" t="s">
        <v>869</v>
      </c>
      <c r="D488" s="216">
        <v>5</v>
      </c>
      <c r="E488" s="217">
        <v>4000</v>
      </c>
      <c r="F488" s="217" t="s">
        <v>391</v>
      </c>
      <c r="G488" s="491"/>
      <c r="H488" s="491"/>
      <c r="I488" s="491"/>
      <c r="J488" s="499"/>
      <c r="K488" s="500"/>
      <c r="L488" s="499"/>
      <c r="M488" s="500"/>
      <c r="N488" s="499"/>
      <c r="O488" s="500"/>
    </row>
    <row r="489" spans="2:15">
      <c r="B489" s="510"/>
      <c r="C489" s="215" t="s">
        <v>870</v>
      </c>
      <c r="D489" s="216">
        <v>10</v>
      </c>
      <c r="E489" s="217">
        <v>6000</v>
      </c>
      <c r="F489" s="217" t="s">
        <v>391</v>
      </c>
      <c r="G489" s="491"/>
      <c r="H489" s="491"/>
      <c r="I489" s="491"/>
      <c r="J489" s="499"/>
      <c r="K489" s="500"/>
      <c r="L489" s="499"/>
      <c r="M489" s="500"/>
      <c r="N489" s="499"/>
      <c r="O489" s="500"/>
    </row>
    <row r="490" spans="2:15">
      <c r="B490" s="510"/>
      <c r="C490" s="215" t="s">
        <v>871</v>
      </c>
      <c r="D490" s="216">
        <v>15</v>
      </c>
      <c r="E490" s="217">
        <v>8000</v>
      </c>
      <c r="F490" s="217" t="s">
        <v>391</v>
      </c>
      <c r="G490" s="491"/>
      <c r="H490" s="491"/>
      <c r="I490" s="491"/>
      <c r="J490" s="499"/>
      <c r="K490" s="500"/>
      <c r="L490" s="499"/>
      <c r="M490" s="500"/>
      <c r="N490" s="499"/>
      <c r="O490" s="500"/>
    </row>
    <row r="491" spans="2:15">
      <c r="B491" s="510"/>
      <c r="C491" s="215" t="s">
        <v>872</v>
      </c>
      <c r="D491" s="216">
        <v>20</v>
      </c>
      <c r="E491" s="217">
        <v>12000</v>
      </c>
      <c r="F491" s="217" t="s">
        <v>391</v>
      </c>
      <c r="G491" s="491"/>
      <c r="H491" s="491"/>
      <c r="I491" s="491"/>
      <c r="J491" s="499"/>
      <c r="K491" s="500"/>
      <c r="L491" s="499"/>
      <c r="M491" s="500"/>
      <c r="N491" s="499"/>
      <c r="O491" s="500"/>
    </row>
    <row r="492" spans="2:15">
      <c r="B492" s="510"/>
      <c r="C492" s="215" t="s">
        <v>873</v>
      </c>
      <c r="D492" s="216">
        <v>25</v>
      </c>
      <c r="E492" s="217">
        <v>16000</v>
      </c>
      <c r="F492" s="217" t="s">
        <v>391</v>
      </c>
      <c r="G492" s="491"/>
      <c r="H492" s="491"/>
      <c r="I492" s="491"/>
      <c r="J492" s="499"/>
      <c r="K492" s="500"/>
      <c r="L492" s="499"/>
      <c r="M492" s="500"/>
      <c r="N492" s="499"/>
      <c r="O492" s="500"/>
    </row>
    <row r="493" spans="2:15">
      <c r="B493" s="510"/>
      <c r="C493" s="215" t="s">
        <v>874</v>
      </c>
      <c r="D493" s="216">
        <v>30</v>
      </c>
      <c r="E493" s="217">
        <v>20000</v>
      </c>
      <c r="F493" s="217" t="s">
        <v>391</v>
      </c>
      <c r="G493" s="491"/>
      <c r="H493" s="491"/>
      <c r="I493" s="491"/>
      <c r="J493" s="499"/>
      <c r="K493" s="500"/>
      <c r="L493" s="499"/>
      <c r="M493" s="500"/>
      <c r="N493" s="499"/>
      <c r="O493" s="500"/>
    </row>
    <row r="494" spans="2:15">
      <c r="B494" s="510"/>
      <c r="C494" s="215" t="s">
        <v>875</v>
      </c>
      <c r="D494" s="216">
        <v>35</v>
      </c>
      <c r="E494" s="228">
        <v>24000</v>
      </c>
      <c r="F494" s="217" t="s">
        <v>391</v>
      </c>
      <c r="G494" s="491"/>
      <c r="H494" s="491"/>
      <c r="I494" s="491"/>
      <c r="J494" s="499"/>
      <c r="K494" s="500"/>
      <c r="L494" s="499"/>
      <c r="M494" s="500"/>
      <c r="N494" s="499"/>
      <c r="O494" s="500"/>
    </row>
    <row r="495" spans="2:15">
      <c r="B495" s="510"/>
      <c r="C495" s="215" t="s">
        <v>876</v>
      </c>
      <c r="D495" s="216">
        <v>40</v>
      </c>
      <c r="E495" s="228">
        <v>28000</v>
      </c>
      <c r="F495" s="217" t="s">
        <v>391</v>
      </c>
      <c r="G495" s="491"/>
      <c r="H495" s="491"/>
      <c r="I495" s="491"/>
      <c r="J495" s="499"/>
      <c r="K495" s="500"/>
      <c r="L495" s="499"/>
      <c r="M495" s="500"/>
      <c r="N495" s="499"/>
      <c r="O495" s="500"/>
    </row>
    <row r="496" spans="2:15">
      <c r="B496" s="510"/>
      <c r="C496" s="215" t="s">
        <v>877</v>
      </c>
      <c r="D496" s="216">
        <v>45</v>
      </c>
      <c r="E496" s="228">
        <v>32000</v>
      </c>
      <c r="F496" s="217" t="s">
        <v>391</v>
      </c>
      <c r="G496" s="491"/>
      <c r="H496" s="491"/>
      <c r="I496" s="491"/>
      <c r="J496" s="499"/>
      <c r="K496" s="500"/>
      <c r="L496" s="499"/>
      <c r="M496" s="500"/>
      <c r="N496" s="499"/>
      <c r="O496" s="500"/>
    </row>
    <row r="497" spans="2:15">
      <c r="B497" s="510"/>
      <c r="C497" s="215" t="s">
        <v>878</v>
      </c>
      <c r="D497" s="216">
        <v>50</v>
      </c>
      <c r="E497" s="228">
        <v>38000</v>
      </c>
      <c r="F497" s="217" t="s">
        <v>391</v>
      </c>
      <c r="G497" s="491"/>
      <c r="H497" s="491"/>
      <c r="I497" s="491"/>
      <c r="J497" s="499"/>
      <c r="K497" s="500"/>
      <c r="L497" s="499"/>
      <c r="M497" s="500"/>
      <c r="N497" s="499"/>
      <c r="O497" s="500"/>
    </row>
    <row r="498" spans="2:15">
      <c r="B498" s="510"/>
      <c r="C498" s="215" t="s">
        <v>879</v>
      </c>
      <c r="D498" s="216">
        <v>55</v>
      </c>
      <c r="E498" s="228">
        <v>44000</v>
      </c>
      <c r="F498" s="217" t="s">
        <v>391</v>
      </c>
      <c r="G498" s="491"/>
      <c r="H498" s="491"/>
      <c r="I498" s="491"/>
      <c r="J498" s="499"/>
      <c r="K498" s="500"/>
      <c r="L498" s="499"/>
      <c r="M498" s="500"/>
      <c r="N498" s="499"/>
      <c r="O498" s="500"/>
    </row>
    <row r="499" spans="2:15">
      <c r="B499" s="510"/>
      <c r="C499" s="215" t="s">
        <v>880</v>
      </c>
      <c r="D499" s="216">
        <v>60</v>
      </c>
      <c r="E499" s="228">
        <v>50000</v>
      </c>
      <c r="F499" s="217" t="s">
        <v>391</v>
      </c>
      <c r="G499" s="491"/>
      <c r="H499" s="491"/>
      <c r="I499" s="491"/>
      <c r="J499" s="499"/>
      <c r="K499" s="500"/>
      <c r="L499" s="499"/>
      <c r="M499" s="500"/>
      <c r="N499" s="499"/>
      <c r="O499" s="500"/>
    </row>
    <row r="500" spans="2:15">
      <c r="B500" s="510"/>
      <c r="C500" s="215" t="s">
        <v>881</v>
      </c>
      <c r="D500" s="216">
        <v>65</v>
      </c>
      <c r="E500" s="228">
        <v>56000</v>
      </c>
      <c r="F500" s="217" t="s">
        <v>391</v>
      </c>
      <c r="G500" s="491"/>
      <c r="H500" s="491"/>
      <c r="I500" s="491"/>
      <c r="J500" s="499"/>
      <c r="K500" s="500"/>
      <c r="L500" s="499"/>
      <c r="M500" s="500"/>
      <c r="N500" s="499"/>
      <c r="O500" s="500"/>
    </row>
    <row r="501" spans="2:15">
      <c r="B501" s="510"/>
      <c r="C501" s="215" t="s">
        <v>882</v>
      </c>
      <c r="D501" s="216">
        <v>70</v>
      </c>
      <c r="E501" s="228">
        <v>62000</v>
      </c>
      <c r="F501" s="217" t="s">
        <v>391</v>
      </c>
      <c r="G501" s="491"/>
      <c r="H501" s="491"/>
      <c r="I501" s="491"/>
      <c r="J501" s="499"/>
      <c r="K501" s="500"/>
      <c r="L501" s="499"/>
      <c r="M501" s="500"/>
      <c r="N501" s="499"/>
      <c r="O501" s="500"/>
    </row>
    <row r="502" spans="2:15">
      <c r="B502" s="510"/>
      <c r="C502" s="215" t="s">
        <v>883</v>
      </c>
      <c r="D502" s="216">
        <v>75</v>
      </c>
      <c r="E502" s="228">
        <v>70000</v>
      </c>
      <c r="F502" s="217" t="s">
        <v>391</v>
      </c>
      <c r="G502" s="491"/>
      <c r="H502" s="491"/>
      <c r="I502" s="491"/>
      <c r="J502" s="499"/>
      <c r="K502" s="500"/>
      <c r="L502" s="499"/>
      <c r="M502" s="500"/>
      <c r="N502" s="499"/>
      <c r="O502" s="500"/>
    </row>
    <row r="503" spans="2:15">
      <c r="B503" s="510"/>
      <c r="C503" s="215" t="s">
        <v>884</v>
      </c>
      <c r="D503" s="216">
        <v>80</v>
      </c>
      <c r="E503" s="228">
        <v>78000</v>
      </c>
      <c r="F503" s="217" t="s">
        <v>391</v>
      </c>
      <c r="G503" s="491"/>
      <c r="H503" s="491"/>
      <c r="I503" s="491"/>
      <c r="J503" s="499"/>
      <c r="K503" s="500"/>
      <c r="L503" s="499"/>
      <c r="M503" s="500"/>
      <c r="N503" s="499"/>
      <c r="O503" s="500"/>
    </row>
    <row r="504" spans="2:15">
      <c r="B504" s="510"/>
      <c r="C504" s="215" t="s">
        <v>885</v>
      </c>
      <c r="D504" s="216">
        <v>85</v>
      </c>
      <c r="E504" s="228">
        <v>86000</v>
      </c>
      <c r="F504" s="217" t="s">
        <v>391</v>
      </c>
      <c r="G504" s="491"/>
      <c r="H504" s="491"/>
      <c r="I504" s="491"/>
      <c r="J504" s="499"/>
      <c r="K504" s="500"/>
      <c r="L504" s="499"/>
      <c r="M504" s="500"/>
      <c r="N504" s="499"/>
      <c r="O504" s="500"/>
    </row>
    <row r="505" spans="2:15">
      <c r="B505" s="510"/>
      <c r="C505" s="215" t="s">
        <v>886</v>
      </c>
      <c r="D505" s="216">
        <v>90</v>
      </c>
      <c r="E505" s="228">
        <v>94000</v>
      </c>
      <c r="F505" s="217" t="s">
        <v>391</v>
      </c>
      <c r="G505" s="491"/>
      <c r="H505" s="491"/>
      <c r="I505" s="491"/>
      <c r="J505" s="499"/>
      <c r="K505" s="500"/>
      <c r="L505" s="499"/>
      <c r="M505" s="500"/>
      <c r="N505" s="499"/>
      <c r="O505" s="500"/>
    </row>
    <row r="506" spans="2:15">
      <c r="B506" s="510"/>
      <c r="C506" s="215" t="s">
        <v>887</v>
      </c>
      <c r="D506" s="216">
        <v>95</v>
      </c>
      <c r="E506" s="228">
        <v>102000</v>
      </c>
      <c r="F506" s="217" t="s">
        <v>391</v>
      </c>
      <c r="G506" s="491"/>
      <c r="H506" s="491"/>
      <c r="I506" s="491"/>
      <c r="J506" s="499"/>
      <c r="K506" s="500"/>
      <c r="L506" s="499"/>
      <c r="M506" s="500"/>
      <c r="N506" s="499"/>
      <c r="O506" s="500"/>
    </row>
    <row r="507" spans="2:15">
      <c r="B507" s="510"/>
      <c r="C507" s="215" t="s">
        <v>888</v>
      </c>
      <c r="D507" s="216">
        <v>100</v>
      </c>
      <c r="E507" s="228">
        <v>110000</v>
      </c>
      <c r="F507" s="217" t="s">
        <v>391</v>
      </c>
      <c r="G507" s="491"/>
      <c r="H507" s="491"/>
      <c r="I507" s="491"/>
      <c r="J507" s="499"/>
      <c r="K507" s="500"/>
      <c r="L507" s="499"/>
      <c r="M507" s="500"/>
      <c r="N507" s="499"/>
      <c r="O507" s="500"/>
    </row>
    <row r="508" spans="2:15">
      <c r="B508" s="510"/>
      <c r="C508" s="215" t="s">
        <v>1128</v>
      </c>
      <c r="D508" s="216">
        <v>150</v>
      </c>
      <c r="E508" s="221">
        <v>120000</v>
      </c>
      <c r="F508" s="217" t="s">
        <v>391</v>
      </c>
      <c r="G508" s="491"/>
      <c r="H508" s="491"/>
      <c r="I508" s="491"/>
      <c r="J508" s="499"/>
      <c r="K508" s="500"/>
      <c r="L508" s="499"/>
      <c r="M508" s="500"/>
      <c r="N508" s="499"/>
      <c r="O508" s="500"/>
    </row>
    <row r="509" spans="2:15">
      <c r="B509" s="510"/>
      <c r="C509" s="215" t="s">
        <v>1129</v>
      </c>
      <c r="D509" s="216">
        <v>200</v>
      </c>
      <c r="E509" s="221">
        <v>130000</v>
      </c>
      <c r="F509" s="217" t="s">
        <v>391</v>
      </c>
      <c r="G509" s="491"/>
      <c r="H509" s="491"/>
      <c r="I509" s="491"/>
      <c r="J509" s="499"/>
      <c r="K509" s="500"/>
      <c r="L509" s="499"/>
      <c r="M509" s="500"/>
      <c r="N509" s="499"/>
      <c r="O509" s="500"/>
    </row>
    <row r="510" spans="2:15">
      <c r="B510" s="510"/>
      <c r="C510" s="215" t="s">
        <v>1130</v>
      </c>
      <c r="D510" s="216">
        <v>250</v>
      </c>
      <c r="E510" s="221">
        <v>140000</v>
      </c>
      <c r="F510" s="217" t="s">
        <v>391</v>
      </c>
      <c r="G510" s="491"/>
      <c r="H510" s="491"/>
      <c r="I510" s="491"/>
      <c r="J510" s="499"/>
      <c r="K510" s="500"/>
      <c r="L510" s="499"/>
      <c r="M510" s="500"/>
      <c r="N510" s="499"/>
      <c r="O510" s="500"/>
    </row>
    <row r="511" spans="2:15">
      <c r="B511" s="510"/>
      <c r="C511" s="215" t="s">
        <v>1131</v>
      </c>
      <c r="D511" s="216">
        <v>300</v>
      </c>
      <c r="E511" s="221">
        <v>150000</v>
      </c>
      <c r="F511" s="217" t="s">
        <v>391</v>
      </c>
      <c r="G511" s="491"/>
      <c r="H511" s="491"/>
      <c r="I511" s="491"/>
      <c r="J511" s="499"/>
      <c r="K511" s="500"/>
      <c r="L511" s="499"/>
      <c r="M511" s="500"/>
      <c r="N511" s="499"/>
      <c r="O511" s="500"/>
    </row>
    <row r="512" spans="2:15">
      <c r="B512" s="510"/>
      <c r="C512" s="215" t="s">
        <v>1132</v>
      </c>
      <c r="D512" s="216">
        <v>350</v>
      </c>
      <c r="E512" s="221">
        <v>160000</v>
      </c>
      <c r="F512" s="217" t="s">
        <v>391</v>
      </c>
      <c r="G512" s="491"/>
      <c r="H512" s="491"/>
      <c r="I512" s="491"/>
      <c r="J512" s="499"/>
      <c r="K512" s="500"/>
      <c r="L512" s="499"/>
      <c r="M512" s="500"/>
      <c r="N512" s="499"/>
      <c r="O512" s="500"/>
    </row>
    <row r="513" spans="2:15">
      <c r="B513" s="510"/>
      <c r="C513" s="215" t="s">
        <v>1133</v>
      </c>
      <c r="D513" s="216">
        <v>400</v>
      </c>
      <c r="E513" s="221">
        <v>170000</v>
      </c>
      <c r="F513" s="217" t="s">
        <v>391</v>
      </c>
      <c r="G513" s="491"/>
      <c r="H513" s="491"/>
      <c r="I513" s="491"/>
      <c r="J513" s="499"/>
      <c r="K513" s="500"/>
      <c r="L513" s="499"/>
      <c r="M513" s="500"/>
      <c r="N513" s="499"/>
      <c r="O513" s="500"/>
    </row>
    <row r="514" spans="2:15">
      <c r="B514" s="510"/>
      <c r="C514" s="215" t="s">
        <v>1134</v>
      </c>
      <c r="D514" s="216">
        <v>450</v>
      </c>
      <c r="E514" s="221">
        <v>180000</v>
      </c>
      <c r="F514" s="217" t="s">
        <v>391</v>
      </c>
      <c r="G514" s="491"/>
      <c r="H514" s="491"/>
      <c r="I514" s="491"/>
      <c r="J514" s="499"/>
      <c r="K514" s="500"/>
      <c r="L514" s="499"/>
      <c r="M514" s="500"/>
      <c r="N514" s="499"/>
      <c r="O514" s="500"/>
    </row>
    <row r="515" spans="2:15">
      <c r="B515" s="510"/>
      <c r="C515" s="215" t="s">
        <v>1135</v>
      </c>
      <c r="D515" s="216">
        <v>500</v>
      </c>
      <c r="E515" s="221">
        <v>190000</v>
      </c>
      <c r="F515" s="217" t="s">
        <v>391</v>
      </c>
      <c r="G515" s="491"/>
      <c r="H515" s="491"/>
      <c r="I515" s="491"/>
      <c r="J515" s="499"/>
      <c r="K515" s="500"/>
      <c r="L515" s="499"/>
      <c r="M515" s="500"/>
      <c r="N515" s="499"/>
      <c r="O515" s="500"/>
    </row>
    <row r="516" spans="2:15">
      <c r="B516" s="510"/>
      <c r="C516" s="215" t="s">
        <v>1136</v>
      </c>
      <c r="D516" s="216">
        <v>550</v>
      </c>
      <c r="E516" s="229">
        <v>200000</v>
      </c>
      <c r="F516" s="217" t="s">
        <v>391</v>
      </c>
      <c r="G516" s="491"/>
      <c r="H516" s="491"/>
      <c r="I516" s="491"/>
      <c r="J516" s="499"/>
      <c r="K516" s="500"/>
      <c r="L516" s="499"/>
      <c r="M516" s="500"/>
      <c r="N516" s="499"/>
      <c r="O516" s="500"/>
    </row>
    <row r="517" spans="2:15">
      <c r="B517" s="510"/>
      <c r="C517" s="215" t="s">
        <v>1137</v>
      </c>
      <c r="D517" s="216">
        <v>600</v>
      </c>
      <c r="E517" s="229">
        <v>210000</v>
      </c>
      <c r="F517" s="217" t="s">
        <v>391</v>
      </c>
      <c r="G517" s="491"/>
      <c r="H517" s="491"/>
      <c r="I517" s="491"/>
      <c r="J517" s="499"/>
      <c r="K517" s="500"/>
      <c r="L517" s="499"/>
      <c r="M517" s="500"/>
      <c r="N517" s="499"/>
      <c r="O517" s="500"/>
    </row>
    <row r="518" spans="2:15">
      <c r="B518" s="510"/>
      <c r="C518" s="215" t="s">
        <v>1138</v>
      </c>
      <c r="D518" s="216">
        <v>650</v>
      </c>
      <c r="E518" s="229">
        <v>220000</v>
      </c>
      <c r="F518" s="217" t="s">
        <v>391</v>
      </c>
      <c r="G518" s="491"/>
      <c r="H518" s="491"/>
      <c r="I518" s="491"/>
      <c r="J518" s="499"/>
      <c r="K518" s="500"/>
      <c r="L518" s="499"/>
      <c r="M518" s="500"/>
      <c r="N518" s="499"/>
      <c r="O518" s="500"/>
    </row>
    <row r="519" spans="2:15">
      <c r="B519" s="510"/>
      <c r="C519" s="215" t="s">
        <v>1139</v>
      </c>
      <c r="D519" s="216">
        <v>700</v>
      </c>
      <c r="E519" s="229">
        <v>230000</v>
      </c>
      <c r="F519" s="217" t="s">
        <v>391</v>
      </c>
      <c r="G519" s="491"/>
      <c r="H519" s="491"/>
      <c r="I519" s="491"/>
      <c r="J519" s="499"/>
      <c r="K519" s="500"/>
      <c r="L519" s="499"/>
      <c r="M519" s="500"/>
      <c r="N519" s="499"/>
      <c r="O519" s="500"/>
    </row>
    <row r="520" spans="2:15">
      <c r="B520" s="510"/>
      <c r="C520" s="215" t="s">
        <v>1140</v>
      </c>
      <c r="D520" s="216">
        <v>750</v>
      </c>
      <c r="E520" s="229">
        <v>240000</v>
      </c>
      <c r="F520" s="217" t="s">
        <v>391</v>
      </c>
      <c r="G520" s="491"/>
      <c r="H520" s="491"/>
      <c r="I520" s="491"/>
      <c r="J520" s="499"/>
      <c r="K520" s="500"/>
      <c r="L520" s="499"/>
      <c r="M520" s="500"/>
      <c r="N520" s="499"/>
      <c r="O520" s="500"/>
    </row>
    <row r="521" spans="2:15">
      <c r="B521" s="510"/>
      <c r="C521" s="215" t="s">
        <v>1141</v>
      </c>
      <c r="D521" s="216">
        <v>800</v>
      </c>
      <c r="E521" s="229">
        <v>250000</v>
      </c>
      <c r="F521" s="217" t="s">
        <v>391</v>
      </c>
      <c r="G521" s="491"/>
      <c r="H521" s="491"/>
      <c r="I521" s="491"/>
      <c r="J521" s="499"/>
      <c r="K521" s="500"/>
      <c r="L521" s="499"/>
      <c r="M521" s="500"/>
      <c r="N521" s="499"/>
      <c r="O521" s="500"/>
    </row>
    <row r="522" spans="2:15">
      <c r="B522" s="510"/>
      <c r="C522" s="215" t="s">
        <v>1142</v>
      </c>
      <c r="D522" s="216">
        <v>850</v>
      </c>
      <c r="E522" s="229">
        <v>260000</v>
      </c>
      <c r="F522" s="217" t="s">
        <v>391</v>
      </c>
      <c r="G522" s="491"/>
      <c r="H522" s="491"/>
      <c r="I522" s="491"/>
      <c r="J522" s="499"/>
      <c r="K522" s="500"/>
      <c r="L522" s="499"/>
      <c r="M522" s="500"/>
      <c r="N522" s="499"/>
      <c r="O522" s="500"/>
    </row>
    <row r="523" spans="2:15">
      <c r="B523" s="510"/>
      <c r="C523" s="215" t="s">
        <v>1143</v>
      </c>
      <c r="D523" s="216">
        <v>900</v>
      </c>
      <c r="E523" s="229">
        <v>270000</v>
      </c>
      <c r="F523" s="217" t="s">
        <v>391</v>
      </c>
      <c r="G523" s="491"/>
      <c r="H523" s="491"/>
      <c r="I523" s="491"/>
      <c r="J523" s="499"/>
      <c r="K523" s="500"/>
      <c r="L523" s="499"/>
      <c r="M523" s="500"/>
      <c r="N523" s="499"/>
      <c r="O523" s="500"/>
    </row>
    <row r="524" spans="2:15">
      <c r="B524" s="510"/>
      <c r="C524" s="215" t="s">
        <v>1144</v>
      </c>
      <c r="D524" s="216">
        <v>950</v>
      </c>
      <c r="E524" s="229">
        <v>280000</v>
      </c>
      <c r="F524" s="217" t="s">
        <v>391</v>
      </c>
      <c r="G524" s="491"/>
      <c r="H524" s="491"/>
      <c r="I524" s="491"/>
      <c r="J524" s="499"/>
      <c r="K524" s="500"/>
      <c r="L524" s="499"/>
      <c r="M524" s="500"/>
      <c r="N524" s="499"/>
      <c r="O524" s="500"/>
    </row>
    <row r="525" spans="2:15">
      <c r="B525" s="510"/>
      <c r="C525" s="215" t="s">
        <v>1145</v>
      </c>
      <c r="D525" s="216">
        <v>1000</v>
      </c>
      <c r="E525" s="229">
        <v>290000</v>
      </c>
      <c r="F525" s="217" t="s">
        <v>391</v>
      </c>
      <c r="G525" s="491"/>
      <c r="H525" s="491"/>
      <c r="I525" s="491"/>
      <c r="J525" s="499"/>
      <c r="K525" s="500"/>
      <c r="L525" s="499"/>
      <c r="M525" s="500"/>
      <c r="N525" s="499"/>
      <c r="O525" s="500"/>
    </row>
  </sheetData>
  <dataConsolidate>
    <dataRefs count="1">
      <dataRef ref="E1:F1048576" sheet="업적" r:id="rId1"/>
    </dataRefs>
  </dataConsolidate>
  <mergeCells count="118">
    <mergeCell ref="J4:J10"/>
    <mergeCell ref="J11:J19"/>
    <mergeCell ref="J20:J28"/>
    <mergeCell ref="K29:K525"/>
    <mergeCell ref="L29:L525"/>
    <mergeCell ref="M29:M525"/>
    <mergeCell ref="I49:I58"/>
    <mergeCell ref="I59:I68"/>
    <mergeCell ref="K4:K10"/>
    <mergeCell ref="K11:K19"/>
    <mergeCell ref="K20:K28"/>
    <mergeCell ref="L4:L10"/>
    <mergeCell ref="L11:L19"/>
    <mergeCell ref="L20:L28"/>
    <mergeCell ref="M4:M10"/>
    <mergeCell ref="M11:M19"/>
    <mergeCell ref="M20:M28"/>
    <mergeCell ref="I449:I472"/>
    <mergeCell ref="I473:I486"/>
    <mergeCell ref="J29:J525"/>
    <mergeCell ref="I69:I112"/>
    <mergeCell ref="I113:I128"/>
    <mergeCell ref="I129:I130"/>
    <mergeCell ref="I131:I182"/>
    <mergeCell ref="B4:B10"/>
    <mergeCell ref="B11:B19"/>
    <mergeCell ref="B20:B28"/>
    <mergeCell ref="I356:I369"/>
    <mergeCell ref="I370:I383"/>
    <mergeCell ref="I192:I213"/>
    <mergeCell ref="I214:I253"/>
    <mergeCell ref="I183:I184"/>
    <mergeCell ref="I185:I191"/>
    <mergeCell ref="I39:I48"/>
    <mergeCell ref="I254:I284"/>
    <mergeCell ref="I285:I290"/>
    <mergeCell ref="I291:I304"/>
    <mergeCell ref="I305:I318"/>
    <mergeCell ref="I319:I341"/>
    <mergeCell ref="I342:I355"/>
    <mergeCell ref="H4:H10"/>
    <mergeCell ref="H11:H19"/>
    <mergeCell ref="H20:H28"/>
    <mergeCell ref="H29:H38"/>
    <mergeCell ref="H39:H48"/>
    <mergeCell ref="B29:B525"/>
    <mergeCell ref="I487:I525"/>
    <mergeCell ref="I29:I38"/>
    <mergeCell ref="I384:I407"/>
    <mergeCell ref="I408:I424"/>
    <mergeCell ref="I425:I448"/>
    <mergeCell ref="H49:H58"/>
    <mergeCell ref="H59:H68"/>
    <mergeCell ref="H69:H112"/>
    <mergeCell ref="H113:H128"/>
    <mergeCell ref="H129:H130"/>
    <mergeCell ref="I4:I10"/>
    <mergeCell ref="I11:I19"/>
    <mergeCell ref="I20:I28"/>
    <mergeCell ref="H408:H424"/>
    <mergeCell ref="H254:H284"/>
    <mergeCell ref="H285:H290"/>
    <mergeCell ref="H291:H304"/>
    <mergeCell ref="H305:H318"/>
    <mergeCell ref="H319:H341"/>
    <mergeCell ref="H131:H182"/>
    <mergeCell ref="H183:H184"/>
    <mergeCell ref="H185:H191"/>
    <mergeCell ref="H192:H213"/>
    <mergeCell ref="H214:H253"/>
    <mergeCell ref="G192:G213"/>
    <mergeCell ref="G214:G253"/>
    <mergeCell ref="G254:G284"/>
    <mergeCell ref="G285:G290"/>
    <mergeCell ref="H425:H448"/>
    <mergeCell ref="H449:H472"/>
    <mergeCell ref="H473:H486"/>
    <mergeCell ref="H487:H525"/>
    <mergeCell ref="G4:G10"/>
    <mergeCell ref="G11:G19"/>
    <mergeCell ref="G20:G28"/>
    <mergeCell ref="G29:G38"/>
    <mergeCell ref="G39:G48"/>
    <mergeCell ref="G49:G58"/>
    <mergeCell ref="G59:G68"/>
    <mergeCell ref="G69:G112"/>
    <mergeCell ref="G113:G128"/>
    <mergeCell ref="G129:G130"/>
    <mergeCell ref="G131:G182"/>
    <mergeCell ref="G183:G184"/>
    <mergeCell ref="H342:H355"/>
    <mergeCell ref="H356:H369"/>
    <mergeCell ref="H370:H383"/>
    <mergeCell ref="H384:H407"/>
    <mergeCell ref="G473:G486"/>
    <mergeCell ref="G487:G525"/>
    <mergeCell ref="J2:K2"/>
    <mergeCell ref="L2:M2"/>
    <mergeCell ref="N2:O2"/>
    <mergeCell ref="N4:N10"/>
    <mergeCell ref="O4:O10"/>
    <mergeCell ref="N11:N19"/>
    <mergeCell ref="O11:O19"/>
    <mergeCell ref="N20:N28"/>
    <mergeCell ref="O20:O28"/>
    <mergeCell ref="N29:N525"/>
    <mergeCell ref="O29:O525"/>
    <mergeCell ref="G370:G383"/>
    <mergeCell ref="G384:G407"/>
    <mergeCell ref="G408:G424"/>
    <mergeCell ref="G425:G448"/>
    <mergeCell ref="G449:G472"/>
    <mergeCell ref="G291:G304"/>
    <mergeCell ref="G305:G318"/>
    <mergeCell ref="G319:G341"/>
    <mergeCell ref="G342:G355"/>
    <mergeCell ref="G356:G369"/>
    <mergeCell ref="G185:G191"/>
  </mergeCells>
  <phoneticPr fontId="2" type="noConversion"/>
  <pageMargins left="0.7" right="0.7" top="0.75" bottom="0.75" header="0.3" footer="0.3"/>
  <pageSetup paperSize="9" orientation="portrait" horizontalDpi="4294967293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39"/>
  <sheetViews>
    <sheetView workbookViewId="0">
      <selection activeCell="B33" sqref="B33"/>
    </sheetView>
  </sheetViews>
  <sheetFormatPr defaultColWidth="3.625" defaultRowHeight="16.5"/>
  <cols>
    <col min="1" max="1" width="3.625" style="11"/>
    <col min="2" max="2" width="12.75" style="11" bestFit="1" customWidth="1"/>
    <col min="3" max="3" width="9.5" style="11" bestFit="1" customWidth="1"/>
    <col min="4" max="4" width="7.625" style="11" bestFit="1" customWidth="1"/>
    <col min="5" max="5" width="7.625" style="11" customWidth="1"/>
    <col min="6" max="6" width="3.625" style="11" customWidth="1"/>
    <col min="7" max="7" width="10.25" style="11" bestFit="1" customWidth="1"/>
    <col min="8" max="8" width="10.25" style="11" customWidth="1"/>
    <col min="9" max="9" width="3.625" style="11" customWidth="1"/>
    <col min="10" max="10" width="14.625" style="11" bestFit="1" customWidth="1"/>
    <col min="11" max="11" width="9.5" style="11" bestFit="1" customWidth="1"/>
    <col min="12" max="12" width="7.625" style="11" bestFit="1" customWidth="1"/>
    <col min="13" max="13" width="3.625" style="11" customWidth="1"/>
    <col min="14" max="14" width="16.375" style="16" bestFit="1" customWidth="1"/>
    <col min="15" max="15" width="12.125" style="11" bestFit="1" customWidth="1"/>
    <col min="16" max="16" width="6" style="11" bestFit="1" customWidth="1"/>
    <col min="17" max="17" width="10.25" style="11" bestFit="1" customWidth="1"/>
    <col min="18" max="18" width="11.625" style="11" bestFit="1" customWidth="1"/>
    <col min="19" max="19" width="3.625" style="11"/>
    <col min="20" max="20" width="15.75" style="11" customWidth="1"/>
    <col min="21" max="21" width="21" style="11" bestFit="1" customWidth="1"/>
    <col min="22" max="16384" width="3.625" style="11"/>
  </cols>
  <sheetData>
    <row r="2" spans="2:21">
      <c r="B2" s="33" t="s">
        <v>396</v>
      </c>
      <c r="C2" s="164" t="s">
        <v>395</v>
      </c>
      <c r="D2" s="164" t="s">
        <v>488</v>
      </c>
      <c r="E2" s="164" t="s">
        <v>488</v>
      </c>
      <c r="G2" s="330" t="s">
        <v>395</v>
      </c>
      <c r="H2" s="330" t="s">
        <v>488</v>
      </c>
      <c r="J2" s="33" t="s">
        <v>396</v>
      </c>
      <c r="K2" s="164" t="s">
        <v>395</v>
      </c>
      <c r="L2" s="164" t="s">
        <v>488</v>
      </c>
      <c r="N2" s="33" t="s">
        <v>396</v>
      </c>
      <c r="O2" s="164" t="s">
        <v>395</v>
      </c>
      <c r="Q2" s="33" t="s">
        <v>396</v>
      </c>
      <c r="R2" s="164" t="s">
        <v>395</v>
      </c>
      <c r="T2" s="33" t="s">
        <v>396</v>
      </c>
      <c r="U2" s="164" t="s">
        <v>395</v>
      </c>
    </row>
    <row r="3" spans="2:21" ht="16.5" customHeight="1">
      <c r="B3" s="430" t="s">
        <v>475</v>
      </c>
      <c r="C3" s="165" t="s">
        <v>476</v>
      </c>
      <c r="D3" s="297">
        <v>16.600000000000001</v>
      </c>
      <c r="E3" s="513">
        <f>SUM(D3:D5)</f>
        <v>83</v>
      </c>
      <c r="G3" s="331" t="s">
        <v>1535</v>
      </c>
      <c r="H3" s="331">
        <f>D3+D6+D9+D12</f>
        <v>20</v>
      </c>
      <c r="J3" s="521" t="s">
        <v>499</v>
      </c>
      <c r="K3" s="177" t="s">
        <v>500</v>
      </c>
      <c r="L3" s="178">
        <v>83</v>
      </c>
      <c r="N3" s="520" t="s">
        <v>970</v>
      </c>
      <c r="O3" s="179" t="s">
        <v>974</v>
      </c>
      <c r="Q3" s="517" t="s">
        <v>972</v>
      </c>
      <c r="R3" s="298" t="s">
        <v>1423</v>
      </c>
      <c r="T3" s="518" t="s">
        <v>973</v>
      </c>
      <c r="U3" s="166" t="s">
        <v>976</v>
      </c>
    </row>
    <row r="4" spans="2:21">
      <c r="B4" s="430"/>
      <c r="C4" s="165" t="s">
        <v>477</v>
      </c>
      <c r="D4" s="297">
        <v>41.5</v>
      </c>
      <c r="E4" s="513"/>
      <c r="G4" s="331" t="s">
        <v>1536</v>
      </c>
      <c r="H4" s="331">
        <f>D4+D7+D10+D13</f>
        <v>50</v>
      </c>
      <c r="J4" s="522"/>
      <c r="K4" s="177" t="s">
        <v>501</v>
      </c>
      <c r="L4" s="178">
        <v>12</v>
      </c>
      <c r="N4" s="520"/>
      <c r="O4" s="179" t="s">
        <v>977</v>
      </c>
      <c r="Q4" s="517"/>
      <c r="R4" s="295" t="s">
        <v>975</v>
      </c>
      <c r="T4" s="518"/>
      <c r="U4" s="166" t="s">
        <v>979</v>
      </c>
    </row>
    <row r="5" spans="2:21">
      <c r="B5" s="430"/>
      <c r="C5" s="165" t="s">
        <v>478</v>
      </c>
      <c r="D5" s="297">
        <v>24.9</v>
      </c>
      <c r="E5" s="513"/>
      <c r="G5" s="331" t="s">
        <v>1537</v>
      </c>
      <c r="H5" s="331">
        <f>D5+D8+D11+D14</f>
        <v>30</v>
      </c>
      <c r="J5" s="522"/>
      <c r="K5" s="177" t="s">
        <v>502</v>
      </c>
      <c r="L5" s="178">
        <v>4</v>
      </c>
      <c r="N5" s="520"/>
      <c r="O5" s="179" t="s">
        <v>980</v>
      </c>
      <c r="Q5" s="517"/>
      <c r="R5" s="295" t="s">
        <v>978</v>
      </c>
      <c r="T5" s="518"/>
      <c r="U5" s="166" t="s">
        <v>982</v>
      </c>
    </row>
    <row r="6" spans="2:21">
      <c r="B6" s="430"/>
      <c r="C6" s="165" t="s">
        <v>479</v>
      </c>
      <c r="D6" s="297">
        <v>2.4000000000000004</v>
      </c>
      <c r="E6" s="513">
        <f>SUM(D6:D8)</f>
        <v>12</v>
      </c>
      <c r="J6" s="523"/>
      <c r="K6" s="177" t="s">
        <v>503</v>
      </c>
      <c r="L6" s="178">
        <v>1</v>
      </c>
      <c r="N6" s="520"/>
      <c r="O6" s="179" t="s">
        <v>983</v>
      </c>
      <c r="Q6" s="517"/>
      <c r="R6" s="295" t="s">
        <v>981</v>
      </c>
      <c r="T6" s="518"/>
      <c r="U6" s="166" t="s">
        <v>985</v>
      </c>
    </row>
    <row r="7" spans="2:21">
      <c r="B7" s="430"/>
      <c r="C7" s="165" t="s">
        <v>480</v>
      </c>
      <c r="D7" s="297">
        <v>6</v>
      </c>
      <c r="E7" s="513"/>
      <c r="N7" s="520"/>
      <c r="O7" s="179" t="s">
        <v>986</v>
      </c>
      <c r="Q7" s="517"/>
      <c r="R7" s="295" t="s">
        <v>984</v>
      </c>
      <c r="T7" s="518"/>
      <c r="U7" s="166" t="s">
        <v>988</v>
      </c>
    </row>
    <row r="8" spans="2:21">
      <c r="B8" s="430"/>
      <c r="C8" s="165" t="s">
        <v>481</v>
      </c>
      <c r="D8" s="297">
        <v>3.5999999999999996</v>
      </c>
      <c r="E8" s="513"/>
      <c r="N8" s="520"/>
      <c r="O8" s="179" t="s">
        <v>989</v>
      </c>
      <c r="Q8" s="517"/>
      <c r="R8" s="295" t="s">
        <v>987</v>
      </c>
      <c r="T8" s="518"/>
      <c r="U8" s="166" t="s">
        <v>991</v>
      </c>
    </row>
    <row r="9" spans="2:21">
      <c r="B9" s="430"/>
      <c r="C9" s="165" t="s">
        <v>482</v>
      </c>
      <c r="D9" s="297">
        <v>0.8</v>
      </c>
      <c r="E9" s="513">
        <f>SUM(D9:D11)</f>
        <v>4</v>
      </c>
      <c r="N9" s="520"/>
      <c r="O9" s="179" t="s">
        <v>992</v>
      </c>
      <c r="Q9" s="517"/>
      <c r="R9" s="296" t="s">
        <v>990</v>
      </c>
      <c r="T9" s="518"/>
      <c r="U9" s="166" t="s">
        <v>994</v>
      </c>
    </row>
    <row r="10" spans="2:21">
      <c r="B10" s="430"/>
      <c r="C10" s="165" t="s">
        <v>483</v>
      </c>
      <c r="D10" s="297">
        <v>2</v>
      </c>
      <c r="E10" s="513"/>
      <c r="N10" s="520"/>
      <c r="O10" s="179" t="s">
        <v>995</v>
      </c>
      <c r="Q10" s="517"/>
      <c r="R10" s="296" t="s">
        <v>993</v>
      </c>
      <c r="T10" s="518"/>
      <c r="U10" s="166" t="s">
        <v>997</v>
      </c>
    </row>
    <row r="11" spans="2:21">
      <c r="B11" s="430"/>
      <c r="C11" s="165" t="s">
        <v>484</v>
      </c>
      <c r="D11" s="297">
        <v>1.2</v>
      </c>
      <c r="E11" s="513"/>
      <c r="N11" s="520"/>
      <c r="O11" s="179" t="s">
        <v>998</v>
      </c>
      <c r="Q11" s="517"/>
      <c r="R11" s="296" t="s">
        <v>996</v>
      </c>
      <c r="T11" s="518"/>
      <c r="U11" s="166" t="s">
        <v>1000</v>
      </c>
    </row>
    <row r="12" spans="2:21">
      <c r="B12" s="430"/>
      <c r="C12" s="165" t="s">
        <v>485</v>
      </c>
      <c r="D12" s="297">
        <v>0.2</v>
      </c>
      <c r="E12" s="513">
        <f>SUM(D12:D14)</f>
        <v>1</v>
      </c>
      <c r="N12" s="520"/>
      <c r="O12" s="179" t="s">
        <v>1001</v>
      </c>
      <c r="Q12" s="517"/>
      <c r="R12" s="296" t="s">
        <v>999</v>
      </c>
      <c r="T12" s="518"/>
      <c r="U12" s="166" t="s">
        <v>1003</v>
      </c>
    </row>
    <row r="13" spans="2:21">
      <c r="B13" s="430"/>
      <c r="C13" s="165" t="s">
        <v>486</v>
      </c>
      <c r="D13" s="297">
        <v>0.5</v>
      </c>
      <c r="E13" s="513"/>
      <c r="N13" s="520"/>
      <c r="O13" s="179" t="s">
        <v>1004</v>
      </c>
      <c r="Q13" s="517"/>
      <c r="R13" s="296" t="s">
        <v>1002</v>
      </c>
      <c r="T13" s="518"/>
      <c r="U13" s="166" t="s">
        <v>1006</v>
      </c>
    </row>
    <row r="14" spans="2:21">
      <c r="B14" s="430"/>
      <c r="C14" s="165" t="s">
        <v>487</v>
      </c>
      <c r="D14" s="297">
        <v>0.3</v>
      </c>
      <c r="E14" s="513"/>
      <c r="N14" s="10" t="s">
        <v>509</v>
      </c>
      <c r="Q14" s="517"/>
      <c r="R14" s="296" t="s">
        <v>1005</v>
      </c>
      <c r="T14" s="518"/>
      <c r="U14" s="166" t="s">
        <v>1007</v>
      </c>
    </row>
    <row r="15" spans="2:21">
      <c r="N15" s="10"/>
      <c r="T15" s="10" t="s">
        <v>1008</v>
      </c>
    </row>
    <row r="16" spans="2:21">
      <c r="N16" s="11"/>
    </row>
    <row r="17" spans="2:17">
      <c r="B17" s="33" t="s">
        <v>396</v>
      </c>
      <c r="C17" s="164" t="s">
        <v>395</v>
      </c>
      <c r="D17" s="164" t="s">
        <v>488</v>
      </c>
      <c r="E17" s="164" t="s">
        <v>488</v>
      </c>
      <c r="G17" s="330" t="s">
        <v>395</v>
      </c>
      <c r="H17" s="330" t="s">
        <v>488</v>
      </c>
      <c r="J17" s="33" t="s">
        <v>396</v>
      </c>
      <c r="K17" s="164" t="s">
        <v>395</v>
      </c>
      <c r="L17" s="164" t="s">
        <v>488</v>
      </c>
      <c r="N17" s="33" t="s">
        <v>396</v>
      </c>
      <c r="O17" s="164" t="s">
        <v>395</v>
      </c>
      <c r="P17" s="164" t="s">
        <v>474</v>
      </c>
      <c r="Q17" s="164" t="s">
        <v>488</v>
      </c>
    </row>
    <row r="18" spans="2:17">
      <c r="B18" s="430" t="s">
        <v>489</v>
      </c>
      <c r="C18" s="165" t="s">
        <v>482</v>
      </c>
      <c r="D18" s="176">
        <v>12.399900000000001</v>
      </c>
      <c r="E18" s="513">
        <f>SUM(D18:D20)</f>
        <v>61.999700000000004</v>
      </c>
      <c r="G18" s="331" t="s">
        <v>1535</v>
      </c>
      <c r="H18" s="331">
        <f>D18+D21+D24+D27+D30</f>
        <v>20</v>
      </c>
      <c r="J18" s="398" t="s">
        <v>504</v>
      </c>
      <c r="K18" s="177" t="s">
        <v>502</v>
      </c>
      <c r="L18" s="178">
        <v>81.999700000000004</v>
      </c>
      <c r="N18" s="514" t="s">
        <v>971</v>
      </c>
      <c r="O18" s="519" t="s">
        <v>990</v>
      </c>
      <c r="P18" s="180" t="s">
        <v>467</v>
      </c>
      <c r="Q18" s="181">
        <v>83</v>
      </c>
    </row>
    <row r="19" spans="2:17">
      <c r="B19" s="430"/>
      <c r="C19" s="165" t="s">
        <v>483</v>
      </c>
      <c r="D19" s="176">
        <v>30.9999</v>
      </c>
      <c r="E19" s="513"/>
      <c r="G19" s="331" t="s">
        <v>1536</v>
      </c>
      <c r="H19" s="331">
        <f>D19+D22+D25+D28+D31</f>
        <v>50</v>
      </c>
      <c r="J19" s="398"/>
      <c r="K19" s="177" t="s">
        <v>503</v>
      </c>
      <c r="L19" s="178">
        <v>12</v>
      </c>
      <c r="N19" s="515"/>
      <c r="O19" s="519"/>
      <c r="P19" s="180" t="s">
        <v>468</v>
      </c>
      <c r="Q19" s="181">
        <v>12</v>
      </c>
    </row>
    <row r="20" spans="2:17">
      <c r="B20" s="430"/>
      <c r="C20" s="165" t="s">
        <v>484</v>
      </c>
      <c r="D20" s="176">
        <v>18.599900000000002</v>
      </c>
      <c r="E20" s="513"/>
      <c r="G20" s="331" t="s">
        <v>1537</v>
      </c>
      <c r="H20" s="331">
        <f>D20+D23+D26+D29+D32</f>
        <v>30</v>
      </c>
      <c r="J20" s="398"/>
      <c r="K20" s="177" t="s">
        <v>505</v>
      </c>
      <c r="L20" s="178">
        <v>5</v>
      </c>
      <c r="N20" s="515"/>
      <c r="O20" s="519"/>
      <c r="P20" s="180" t="s">
        <v>469</v>
      </c>
      <c r="Q20" s="181">
        <v>5</v>
      </c>
    </row>
    <row r="21" spans="2:17">
      <c r="B21" s="430"/>
      <c r="C21" s="165" t="s">
        <v>485</v>
      </c>
      <c r="D21" s="176">
        <v>6</v>
      </c>
      <c r="E21" s="513">
        <f>SUM(D21:D23)</f>
        <v>30</v>
      </c>
      <c r="H21" s="338"/>
      <c r="J21" s="398"/>
      <c r="K21" s="177" t="s">
        <v>506</v>
      </c>
      <c r="L21" s="178">
        <v>1</v>
      </c>
      <c r="N21" s="515"/>
      <c r="O21" s="519" t="s">
        <v>993</v>
      </c>
      <c r="P21" s="180" t="s">
        <v>469</v>
      </c>
      <c r="Q21" s="181">
        <v>90</v>
      </c>
    </row>
    <row r="22" spans="2:17">
      <c r="B22" s="430"/>
      <c r="C22" s="165" t="s">
        <v>486</v>
      </c>
      <c r="D22" s="176">
        <f>D21*2.5</f>
        <v>15</v>
      </c>
      <c r="E22" s="513"/>
      <c r="J22" s="398"/>
      <c r="K22" s="177" t="s">
        <v>507</v>
      </c>
      <c r="L22" s="178">
        <v>2.9999999999999997E-4</v>
      </c>
      <c r="N22" s="515"/>
      <c r="O22" s="519"/>
      <c r="P22" s="180" t="s">
        <v>470</v>
      </c>
      <c r="Q22" s="181">
        <v>10</v>
      </c>
    </row>
    <row r="23" spans="2:17">
      <c r="B23" s="430"/>
      <c r="C23" s="165" t="s">
        <v>487</v>
      </c>
      <c r="D23" s="176">
        <f>D21*1.5</f>
        <v>9</v>
      </c>
      <c r="E23" s="513"/>
      <c r="N23" s="515"/>
      <c r="O23" s="519" t="s">
        <v>996</v>
      </c>
      <c r="P23" s="180" t="s">
        <v>469</v>
      </c>
      <c r="Q23" s="181">
        <v>83</v>
      </c>
    </row>
    <row r="24" spans="2:17">
      <c r="B24" s="430"/>
      <c r="C24" s="165" t="s">
        <v>490</v>
      </c>
      <c r="D24" s="176">
        <v>1.4</v>
      </c>
      <c r="E24" s="513">
        <f>SUM(D24:D26)</f>
        <v>7</v>
      </c>
      <c r="N24" s="515"/>
      <c r="O24" s="519"/>
      <c r="P24" s="180" t="s">
        <v>470</v>
      </c>
      <c r="Q24" s="181">
        <v>12</v>
      </c>
    </row>
    <row r="25" spans="2:17">
      <c r="B25" s="430"/>
      <c r="C25" s="165" t="s">
        <v>491</v>
      </c>
      <c r="D25" s="176">
        <f>D24*2.5</f>
        <v>3.5</v>
      </c>
      <c r="E25" s="513"/>
      <c r="N25" s="515"/>
      <c r="O25" s="519"/>
      <c r="P25" s="180" t="s">
        <v>471</v>
      </c>
      <c r="Q25" s="181">
        <v>5</v>
      </c>
    </row>
    <row r="26" spans="2:17">
      <c r="B26" s="430"/>
      <c r="C26" s="165" t="s">
        <v>492</v>
      </c>
      <c r="D26" s="176">
        <f>D24*1.5</f>
        <v>2.0999999999999996</v>
      </c>
      <c r="E26" s="513"/>
      <c r="N26" s="515"/>
      <c r="O26" s="519" t="s">
        <v>999</v>
      </c>
      <c r="P26" s="180" t="s">
        <v>470</v>
      </c>
      <c r="Q26" s="181">
        <v>90</v>
      </c>
    </row>
    <row r="27" spans="2:17">
      <c r="B27" s="430"/>
      <c r="C27" s="165" t="s">
        <v>493</v>
      </c>
      <c r="D27" s="176">
        <v>0.2</v>
      </c>
      <c r="E27" s="513">
        <f>SUM(D27:D29)</f>
        <v>1</v>
      </c>
      <c r="N27" s="515"/>
      <c r="O27" s="519"/>
      <c r="P27" s="180" t="s">
        <v>471</v>
      </c>
      <c r="Q27" s="181">
        <v>10</v>
      </c>
    </row>
    <row r="28" spans="2:17">
      <c r="B28" s="430"/>
      <c r="C28" s="165" t="s">
        <v>494</v>
      </c>
      <c r="D28" s="176">
        <f>D27*2.5</f>
        <v>0.5</v>
      </c>
      <c r="E28" s="513"/>
      <c r="N28" s="515"/>
      <c r="O28" s="519" t="s">
        <v>1002</v>
      </c>
      <c r="P28" s="180" t="s">
        <v>470</v>
      </c>
      <c r="Q28" s="181">
        <v>83</v>
      </c>
    </row>
    <row r="29" spans="2:17">
      <c r="B29" s="430"/>
      <c r="C29" s="165" t="s">
        <v>495</v>
      </c>
      <c r="D29" s="176">
        <f>D27*1.5</f>
        <v>0.30000000000000004</v>
      </c>
      <c r="E29" s="513"/>
      <c r="N29" s="515"/>
      <c r="O29" s="519"/>
      <c r="P29" s="180" t="s">
        <v>471</v>
      </c>
      <c r="Q29" s="181">
        <v>12</v>
      </c>
    </row>
    <row r="30" spans="2:17">
      <c r="B30" s="430"/>
      <c r="C30" s="165" t="s">
        <v>496</v>
      </c>
      <c r="D30" s="176">
        <v>1E-4</v>
      </c>
      <c r="E30" s="513">
        <f>SUM(D30:D32)</f>
        <v>3.0000000000000003E-4</v>
      </c>
      <c r="N30" s="515"/>
      <c r="O30" s="519"/>
      <c r="P30" s="180" t="s">
        <v>472</v>
      </c>
      <c r="Q30" s="181">
        <v>4</v>
      </c>
    </row>
    <row r="31" spans="2:17">
      <c r="B31" s="430"/>
      <c r="C31" s="165" t="s">
        <v>497</v>
      </c>
      <c r="D31" s="176">
        <f>D30</f>
        <v>1E-4</v>
      </c>
      <c r="E31" s="513"/>
      <c r="N31" s="515"/>
      <c r="O31" s="519"/>
      <c r="P31" s="180" t="s">
        <v>473</v>
      </c>
      <c r="Q31" s="181">
        <v>1</v>
      </c>
    </row>
    <row r="32" spans="2:17">
      <c r="B32" s="430"/>
      <c r="C32" s="165" t="s">
        <v>498</v>
      </c>
      <c r="D32" s="176">
        <f>D31</f>
        <v>1E-4</v>
      </c>
      <c r="E32" s="513"/>
      <c r="N32" s="515"/>
      <c r="O32" s="519" t="s">
        <v>1005</v>
      </c>
      <c r="P32" s="180" t="s">
        <v>471</v>
      </c>
      <c r="Q32" s="181">
        <v>83</v>
      </c>
    </row>
    <row r="33" spans="2:17">
      <c r="B33" s="10" t="s">
        <v>508</v>
      </c>
      <c r="N33" s="515"/>
      <c r="O33" s="519"/>
      <c r="P33" s="180" t="s">
        <v>472</v>
      </c>
      <c r="Q33" s="181">
        <v>12</v>
      </c>
    </row>
    <row r="34" spans="2:17">
      <c r="B34" s="10" t="s">
        <v>510</v>
      </c>
      <c r="N34" s="516"/>
      <c r="O34" s="519"/>
      <c r="P34" s="180" t="s">
        <v>473</v>
      </c>
      <c r="Q34" s="181">
        <v>5</v>
      </c>
    </row>
    <row r="35" spans="2:17">
      <c r="B35" s="10" t="s">
        <v>511</v>
      </c>
      <c r="N35" s="11"/>
    </row>
    <row r="36" spans="2:17">
      <c r="B36" s="10" t="s">
        <v>512</v>
      </c>
      <c r="N36" s="11"/>
    </row>
    <row r="37" spans="2:17">
      <c r="B37" s="352" t="s">
        <v>969</v>
      </c>
      <c r="C37" s="353"/>
      <c r="D37" s="353"/>
      <c r="E37" s="353"/>
      <c r="F37" s="353"/>
      <c r="G37" s="353"/>
      <c r="H37" s="353"/>
      <c r="I37" s="353"/>
      <c r="J37" s="353"/>
      <c r="K37" s="353"/>
      <c r="L37" s="353"/>
      <c r="N37" s="11"/>
    </row>
    <row r="38" spans="2:17">
      <c r="N38" s="11"/>
    </row>
    <row r="39" spans="2:17">
      <c r="N39" s="11"/>
    </row>
  </sheetData>
  <mergeCells count="23">
    <mergeCell ref="N18:N34"/>
    <mergeCell ref="Q3:Q14"/>
    <mergeCell ref="T3:T14"/>
    <mergeCell ref="O32:O34"/>
    <mergeCell ref="B3:B14"/>
    <mergeCell ref="B18:B32"/>
    <mergeCell ref="O28:O31"/>
    <mergeCell ref="O26:O27"/>
    <mergeCell ref="O23:O25"/>
    <mergeCell ref="O21:O22"/>
    <mergeCell ref="O18:O20"/>
    <mergeCell ref="N3:N13"/>
    <mergeCell ref="J3:J6"/>
    <mergeCell ref="J18:J22"/>
    <mergeCell ref="E3:E5"/>
    <mergeCell ref="E6:E8"/>
    <mergeCell ref="E27:E29"/>
    <mergeCell ref="E30:E32"/>
    <mergeCell ref="E9:E11"/>
    <mergeCell ref="E12:E14"/>
    <mergeCell ref="E18:E20"/>
    <mergeCell ref="E21:E23"/>
    <mergeCell ref="E24:E26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O83"/>
  <sheetViews>
    <sheetView workbookViewId="0">
      <selection activeCell="G40" sqref="G40"/>
    </sheetView>
  </sheetViews>
  <sheetFormatPr defaultRowHeight="16.5"/>
  <cols>
    <col min="1" max="1" width="3.625" customWidth="1"/>
    <col min="2" max="2" width="10.5" bestFit="1" customWidth="1"/>
    <col min="3" max="3" width="9.375" bestFit="1" customWidth="1"/>
    <col min="4" max="4" width="30.875" bestFit="1" customWidth="1"/>
    <col min="5" max="5" width="16" bestFit="1" customWidth="1"/>
    <col min="6" max="6" width="14.25" bestFit="1" customWidth="1"/>
    <col min="7" max="7" width="16" bestFit="1" customWidth="1"/>
    <col min="8" max="8" width="20.625" bestFit="1" customWidth="1"/>
    <col min="9" max="9" width="9.125" customWidth="1"/>
    <col min="10" max="10" width="15.375" bestFit="1" customWidth="1"/>
    <col min="11" max="11" width="17.125" bestFit="1" customWidth="1"/>
    <col min="12" max="12" width="3.625" customWidth="1"/>
    <col min="13" max="13" width="19.5" bestFit="1" customWidth="1"/>
    <col min="14" max="14" width="16.625" bestFit="1" customWidth="1"/>
    <col min="15" max="15" width="9.375" style="328" bestFit="1" customWidth="1"/>
  </cols>
  <sheetData>
    <row r="1" spans="2:15">
      <c r="F1" s="256"/>
      <c r="G1" s="256"/>
    </row>
    <row r="2" spans="2:15">
      <c r="F2" s="254">
        <v>100</v>
      </c>
      <c r="G2" s="254">
        <v>10</v>
      </c>
      <c r="K2" s="249">
        <v>100</v>
      </c>
    </row>
    <row r="3" spans="2:15">
      <c r="B3" s="204" t="s">
        <v>1345</v>
      </c>
      <c r="C3" s="204" t="s">
        <v>1298</v>
      </c>
      <c r="D3" s="204" t="s">
        <v>1220</v>
      </c>
      <c r="E3" s="204" t="s">
        <v>1297</v>
      </c>
      <c r="F3" s="247" t="s">
        <v>1305</v>
      </c>
      <c r="G3" s="247" t="s">
        <v>1306</v>
      </c>
      <c r="H3" s="248" t="s">
        <v>1550</v>
      </c>
      <c r="I3" s="248" t="s">
        <v>1551</v>
      </c>
      <c r="J3" s="247" t="s">
        <v>1307</v>
      </c>
      <c r="K3" s="247" t="s">
        <v>1308</v>
      </c>
      <c r="M3" s="334" t="s">
        <v>1552</v>
      </c>
      <c r="N3" s="335">
        <f ca="1">SUMIF($F$4:$G$83,"160001001",$G$4:$G$83)</f>
        <v>327600</v>
      </c>
      <c r="O3" s="329">
        <v>160001001</v>
      </c>
    </row>
    <row r="4" spans="2:15">
      <c r="B4" s="244" t="s">
        <v>1343</v>
      </c>
      <c r="C4" s="244" t="s">
        <v>1201</v>
      </c>
      <c r="D4" s="244" t="s">
        <v>1221</v>
      </c>
      <c r="E4" s="244" t="s">
        <v>1203</v>
      </c>
      <c r="F4" s="244">
        <v>160001001</v>
      </c>
      <c r="G4" s="255">
        <v>1000</v>
      </c>
      <c r="H4" s="333" t="s">
        <v>1350</v>
      </c>
      <c r="I4" s="333"/>
      <c r="J4" s="333">
        <v>160004001</v>
      </c>
      <c r="K4" s="333">
        <v>5</v>
      </c>
      <c r="M4" s="334" t="s">
        <v>1543</v>
      </c>
      <c r="N4" s="335">
        <f ca="1">SUMIF($F$4:$G$83,"160001002",$G$4:$G$83)</f>
        <v>360</v>
      </c>
      <c r="O4" s="328">
        <v>160001002</v>
      </c>
    </row>
    <row r="5" spans="2:15">
      <c r="B5" s="244" t="s">
        <v>1323</v>
      </c>
      <c r="C5" s="244" t="s">
        <v>1202</v>
      </c>
      <c r="D5" s="244" t="s">
        <v>1221</v>
      </c>
      <c r="E5" s="244" t="s">
        <v>1204</v>
      </c>
      <c r="F5" s="244">
        <v>160001001</v>
      </c>
      <c r="G5" s="252">
        <f>G4+$F$2</f>
        <v>1100</v>
      </c>
      <c r="H5" s="333" t="s">
        <v>1319</v>
      </c>
      <c r="I5" s="333"/>
      <c r="J5" s="333">
        <v>150000101</v>
      </c>
      <c r="K5" s="333">
        <v>50</v>
      </c>
      <c r="N5" s="274"/>
    </row>
    <row r="6" spans="2:15">
      <c r="B6" s="244" t="s">
        <v>1324</v>
      </c>
      <c r="C6" s="244" t="s">
        <v>1203</v>
      </c>
      <c r="D6" s="244" t="s">
        <v>1221</v>
      </c>
      <c r="E6" s="244" t="s">
        <v>1205</v>
      </c>
      <c r="F6" s="244">
        <v>160001001</v>
      </c>
      <c r="G6" s="252">
        <f t="shared" ref="G6:G12" si="0">G5+$F$2</f>
        <v>1200</v>
      </c>
      <c r="H6" s="536" t="s">
        <v>1364</v>
      </c>
      <c r="I6" s="536"/>
      <c r="J6" s="536">
        <v>160000602</v>
      </c>
      <c r="K6" s="536">
        <v>5</v>
      </c>
      <c r="M6" s="334" t="s">
        <v>63</v>
      </c>
      <c r="N6" s="335">
        <f ca="1">SUMIF($J$4:$K$83,"160002004",$K$4:$K$83)</f>
        <v>720</v>
      </c>
      <c r="O6" s="329">
        <v>160002004</v>
      </c>
    </row>
    <row r="7" spans="2:15">
      <c r="B7" s="244" t="s">
        <v>1325</v>
      </c>
      <c r="C7" s="244" t="s">
        <v>1204</v>
      </c>
      <c r="D7" s="244" t="s">
        <v>1221</v>
      </c>
      <c r="E7" s="244" t="s">
        <v>1206</v>
      </c>
      <c r="F7" s="244">
        <v>160001001</v>
      </c>
      <c r="G7" s="252">
        <f t="shared" si="0"/>
        <v>1300</v>
      </c>
      <c r="H7" s="333" t="s">
        <v>1309</v>
      </c>
      <c r="I7" s="333"/>
      <c r="J7" s="333">
        <v>160002004</v>
      </c>
      <c r="K7" s="333">
        <v>20</v>
      </c>
      <c r="M7" s="334" t="s">
        <v>49</v>
      </c>
      <c r="N7" s="335">
        <f ca="1">SUMIF($J$4:$K$83,"160002003",$K$4:$K$83)</f>
        <v>150</v>
      </c>
      <c r="O7" s="328">
        <v>160002003</v>
      </c>
    </row>
    <row r="8" spans="2:15">
      <c r="B8" s="244" t="s">
        <v>1326</v>
      </c>
      <c r="C8" s="244" t="s">
        <v>1205</v>
      </c>
      <c r="D8" s="244" t="s">
        <v>1222</v>
      </c>
      <c r="E8" s="244" t="s">
        <v>1201</v>
      </c>
      <c r="F8" s="244">
        <v>160001001</v>
      </c>
      <c r="G8" s="252">
        <f t="shared" si="0"/>
        <v>1400</v>
      </c>
      <c r="H8" s="333" t="s">
        <v>1544</v>
      </c>
      <c r="I8" s="333"/>
      <c r="J8" s="333">
        <v>160004004</v>
      </c>
      <c r="K8" s="333">
        <v>5</v>
      </c>
      <c r="M8" s="334" t="s">
        <v>332</v>
      </c>
      <c r="N8" s="335">
        <f ca="1">SUMIF($J$4:$K$83,"160002005",$K$4:$K$83)</f>
        <v>100</v>
      </c>
      <c r="O8" s="328">
        <v>160002005</v>
      </c>
    </row>
    <row r="9" spans="2:15">
      <c r="B9" s="244" t="s">
        <v>1327</v>
      </c>
      <c r="C9" s="244" t="s">
        <v>1206</v>
      </c>
      <c r="D9" s="244" t="s">
        <v>1222</v>
      </c>
      <c r="E9" s="244" t="s">
        <v>1203</v>
      </c>
      <c r="F9" s="244">
        <v>160001001</v>
      </c>
      <c r="G9" s="252">
        <f t="shared" si="0"/>
        <v>1500</v>
      </c>
      <c r="H9" s="333" t="s">
        <v>1352</v>
      </c>
      <c r="I9" s="333"/>
      <c r="J9" s="333">
        <v>155101001</v>
      </c>
      <c r="K9" s="333">
        <v>10</v>
      </c>
      <c r="M9" s="334" t="s">
        <v>66</v>
      </c>
      <c r="N9" s="335">
        <f ca="1">SUMIF($J$4:$K$83,"150000101",$K$4:$K$83)</f>
        <v>2850</v>
      </c>
      <c r="O9" s="329">
        <v>150000101</v>
      </c>
    </row>
    <row r="10" spans="2:15">
      <c r="B10" s="244" t="s">
        <v>1328</v>
      </c>
      <c r="C10" s="244" t="s">
        <v>1207</v>
      </c>
      <c r="D10" s="244" t="s">
        <v>1221</v>
      </c>
      <c r="E10" s="244" t="s">
        <v>1223</v>
      </c>
      <c r="F10" s="244">
        <v>160001001</v>
      </c>
      <c r="G10" s="252">
        <f t="shared" si="0"/>
        <v>1600</v>
      </c>
      <c r="H10" s="333" t="s">
        <v>1317</v>
      </c>
      <c r="I10" s="333"/>
      <c r="J10" s="333">
        <v>160002003</v>
      </c>
      <c r="K10" s="333">
        <v>10</v>
      </c>
    </row>
    <row r="11" spans="2:15">
      <c r="B11" s="244"/>
      <c r="C11" s="244" t="s">
        <v>1208</v>
      </c>
      <c r="D11" s="244" t="s">
        <v>1221</v>
      </c>
      <c r="E11" s="244" t="s">
        <v>1208</v>
      </c>
      <c r="F11" s="244">
        <v>160001001</v>
      </c>
      <c r="G11" s="252">
        <f t="shared" si="0"/>
        <v>1700</v>
      </c>
      <c r="H11" s="333" t="s">
        <v>1318</v>
      </c>
      <c r="I11" s="333"/>
      <c r="J11" s="333">
        <v>160002005</v>
      </c>
      <c r="K11" s="333">
        <v>5</v>
      </c>
      <c r="M11" s="334" t="s">
        <v>1350</v>
      </c>
      <c r="N11" s="335">
        <f ca="1">SUMIF($J$4:$K$83,"160004001",$K$4:$K$83)</f>
        <v>35</v>
      </c>
      <c r="O11" s="328">
        <v>160004001</v>
      </c>
    </row>
    <row r="12" spans="2:15">
      <c r="B12" s="244"/>
      <c r="C12" s="244" t="s">
        <v>1209</v>
      </c>
      <c r="D12" s="244" t="s">
        <v>1221</v>
      </c>
      <c r="E12" s="244" t="s">
        <v>1209</v>
      </c>
      <c r="F12" s="244">
        <v>160001001</v>
      </c>
      <c r="G12" s="252">
        <f t="shared" si="0"/>
        <v>1800</v>
      </c>
      <c r="H12" s="333" t="s">
        <v>1545</v>
      </c>
      <c r="I12" s="333"/>
      <c r="J12" s="333">
        <v>160001302</v>
      </c>
      <c r="K12" s="333">
        <v>20</v>
      </c>
      <c r="M12" s="334" t="s">
        <v>1349</v>
      </c>
      <c r="N12" s="335">
        <f ca="1">SUMIF($J$4:$K$83,"160004002",$K$4:$K$83)</f>
        <v>15</v>
      </c>
      <c r="O12" s="328">
        <v>160004002</v>
      </c>
    </row>
    <row r="13" spans="2:15">
      <c r="B13" s="244" t="s">
        <v>1329</v>
      </c>
      <c r="C13" s="244" t="s">
        <v>1210</v>
      </c>
      <c r="D13" s="244" t="s">
        <v>1314</v>
      </c>
      <c r="E13" s="244" t="s">
        <v>1210</v>
      </c>
      <c r="F13" s="250">
        <v>160001002</v>
      </c>
      <c r="G13" s="255">
        <v>10</v>
      </c>
      <c r="H13" s="333" t="s">
        <v>974</v>
      </c>
      <c r="I13" s="333">
        <v>2</v>
      </c>
      <c r="J13" s="333">
        <v>156101017</v>
      </c>
      <c r="K13" s="333">
        <v>1</v>
      </c>
      <c r="M13" s="334" t="s">
        <v>1351</v>
      </c>
      <c r="N13" s="335">
        <f ca="1">SUMIF($J$4:$K$83,"160004003",$K$4:$K$83)</f>
        <v>35</v>
      </c>
      <c r="O13" s="328">
        <v>160004003</v>
      </c>
    </row>
    <row r="14" spans="2:15">
      <c r="B14" s="246"/>
      <c r="C14" s="246" t="s">
        <v>1312</v>
      </c>
      <c r="D14" s="245" t="s">
        <v>1310</v>
      </c>
      <c r="E14" s="245" t="s">
        <v>1311</v>
      </c>
      <c r="F14" s="245">
        <v>160001001</v>
      </c>
      <c r="G14" s="253">
        <f>G12+$F$2</f>
        <v>1900</v>
      </c>
      <c r="H14" s="336" t="s">
        <v>1351</v>
      </c>
      <c r="I14" s="336"/>
      <c r="J14" s="336">
        <v>160004003</v>
      </c>
      <c r="K14" s="336">
        <v>5</v>
      </c>
      <c r="M14" s="334" t="s">
        <v>84</v>
      </c>
      <c r="N14" s="335">
        <f ca="1">SUMIF($J$4:$K$83,"160004004",$K$4:$K$83)</f>
        <v>60</v>
      </c>
      <c r="O14" s="328">
        <v>160004004</v>
      </c>
    </row>
    <row r="15" spans="2:15">
      <c r="B15" s="245"/>
      <c r="C15" s="245" t="s">
        <v>1211</v>
      </c>
      <c r="D15" s="245" t="s">
        <v>1224</v>
      </c>
      <c r="E15" s="245" t="s">
        <v>1301</v>
      </c>
      <c r="F15" s="245">
        <v>160001001</v>
      </c>
      <c r="G15" s="253">
        <f t="shared" ref="G15:G22" si="1">G14+$F$2</f>
        <v>2000</v>
      </c>
      <c r="H15" s="336" t="s">
        <v>1319</v>
      </c>
      <c r="I15" s="336"/>
      <c r="J15" s="336">
        <v>150000101</v>
      </c>
      <c r="K15" s="336">
        <f>K5+K5</f>
        <v>100</v>
      </c>
      <c r="O15"/>
    </row>
    <row r="16" spans="2:15">
      <c r="B16" s="245"/>
      <c r="C16" s="245" t="s">
        <v>1212</v>
      </c>
      <c r="D16" s="245" t="s">
        <v>1313</v>
      </c>
      <c r="E16" s="245" t="s">
        <v>1225</v>
      </c>
      <c r="F16" s="245">
        <v>160001001</v>
      </c>
      <c r="G16" s="253">
        <f t="shared" si="1"/>
        <v>2100</v>
      </c>
      <c r="H16" s="536" t="s">
        <v>1366</v>
      </c>
      <c r="I16" s="536"/>
      <c r="J16" s="536">
        <v>160000603</v>
      </c>
      <c r="K16" s="536">
        <v>5</v>
      </c>
      <c r="M16" s="334" t="s">
        <v>1365</v>
      </c>
      <c r="N16" s="335">
        <f ca="1">SUMIF($J$4:$K$83,"160000601",$K$4:$K$83)</f>
        <v>15</v>
      </c>
      <c r="O16"/>
    </row>
    <row r="17" spans="2:15">
      <c r="B17" s="245" t="s">
        <v>1330</v>
      </c>
      <c r="C17" s="245" t="s">
        <v>1213</v>
      </c>
      <c r="D17" s="245" t="s">
        <v>1315</v>
      </c>
      <c r="E17" s="245" t="s">
        <v>1213</v>
      </c>
      <c r="F17" s="245">
        <v>160001001</v>
      </c>
      <c r="G17" s="253">
        <f t="shared" si="1"/>
        <v>2200</v>
      </c>
      <c r="H17" s="336" t="s">
        <v>1309</v>
      </c>
      <c r="I17" s="336"/>
      <c r="J17" s="336">
        <v>160002004</v>
      </c>
      <c r="K17" s="336">
        <f>K7+$K$7</f>
        <v>40</v>
      </c>
      <c r="M17" s="334" t="s">
        <v>1364</v>
      </c>
      <c r="N17" s="335">
        <f ca="1">SUMIF($J$4:$K$83,"160000602",$K$4:$K$83)</f>
        <v>30</v>
      </c>
      <c r="O17"/>
    </row>
    <row r="18" spans="2:15">
      <c r="B18" s="245"/>
      <c r="C18" s="245" t="s">
        <v>1214</v>
      </c>
      <c r="D18" s="245" t="s">
        <v>1221</v>
      </c>
      <c r="E18" s="245" t="s">
        <v>1214</v>
      </c>
      <c r="F18" s="245">
        <v>160001001</v>
      </c>
      <c r="G18" s="253">
        <f t="shared" si="1"/>
        <v>2300</v>
      </c>
      <c r="H18" s="336" t="s">
        <v>1544</v>
      </c>
      <c r="I18" s="336"/>
      <c r="J18" s="336">
        <v>160004004</v>
      </c>
      <c r="K18" s="336">
        <v>5</v>
      </c>
      <c r="M18" s="334" t="s">
        <v>1366</v>
      </c>
      <c r="N18" s="335">
        <f ca="1">SUMIF($J$4:$K$83,"160000603",$K$4:$K$83)</f>
        <v>30</v>
      </c>
      <c r="O18"/>
    </row>
    <row r="19" spans="2:15">
      <c r="B19" s="245"/>
      <c r="C19" s="245" t="s">
        <v>1215</v>
      </c>
      <c r="D19" s="245" t="s">
        <v>1226</v>
      </c>
      <c r="E19" s="245" t="s">
        <v>1302</v>
      </c>
      <c r="F19" s="245">
        <v>160001001</v>
      </c>
      <c r="G19" s="253">
        <f t="shared" si="1"/>
        <v>2400</v>
      </c>
      <c r="H19" s="336" t="s">
        <v>1353</v>
      </c>
      <c r="I19" s="336"/>
      <c r="J19" s="336">
        <v>155101002</v>
      </c>
      <c r="K19" s="336">
        <v>10</v>
      </c>
      <c r="O19"/>
    </row>
    <row r="20" spans="2:15">
      <c r="B20" s="245"/>
      <c r="C20" s="245" t="s">
        <v>1216</v>
      </c>
      <c r="D20" s="245" t="s">
        <v>1221</v>
      </c>
      <c r="E20" s="245" t="s">
        <v>1227</v>
      </c>
      <c r="F20" s="245">
        <v>160001001</v>
      </c>
      <c r="G20" s="253">
        <f t="shared" si="1"/>
        <v>2500</v>
      </c>
      <c r="H20" s="336" t="s">
        <v>1317</v>
      </c>
      <c r="I20" s="336"/>
      <c r="J20" s="336">
        <v>160002003</v>
      </c>
      <c r="K20" s="336">
        <v>10</v>
      </c>
      <c r="M20" s="334" t="s">
        <v>1553</v>
      </c>
      <c r="N20" s="335">
        <f ca="1">SUMIF($J$4:$K$83,"156101000",$K$4:$K$83)</f>
        <v>0</v>
      </c>
      <c r="O20"/>
    </row>
    <row r="21" spans="2:15">
      <c r="B21" s="245" t="s">
        <v>1331</v>
      </c>
      <c r="C21" s="245" t="s">
        <v>1217</v>
      </c>
      <c r="D21" s="245" t="s">
        <v>1221</v>
      </c>
      <c r="E21" s="245" t="s">
        <v>1217</v>
      </c>
      <c r="F21" s="245">
        <v>160001001</v>
      </c>
      <c r="G21" s="253">
        <f t="shared" si="1"/>
        <v>2600</v>
      </c>
      <c r="H21" s="336" t="s">
        <v>1318</v>
      </c>
      <c r="I21" s="336"/>
      <c r="J21" s="336">
        <v>160002005</v>
      </c>
      <c r="K21" s="336">
        <v>5</v>
      </c>
      <c r="M21" s="334" t="s">
        <v>1554</v>
      </c>
      <c r="N21" s="335">
        <f ca="1">SUMIF($J$4:$K$83,"156101017",$K$4:$K$83)</f>
        <v>1</v>
      </c>
      <c r="O21"/>
    </row>
    <row r="22" spans="2:15">
      <c r="B22" s="245"/>
      <c r="C22" s="245" t="s">
        <v>1218</v>
      </c>
      <c r="D22" s="245" t="s">
        <v>1221</v>
      </c>
      <c r="E22" s="245" t="s">
        <v>1218</v>
      </c>
      <c r="F22" s="245">
        <v>160001001</v>
      </c>
      <c r="G22" s="253">
        <f t="shared" si="1"/>
        <v>2700</v>
      </c>
      <c r="H22" s="336" t="s">
        <v>1545</v>
      </c>
      <c r="I22" s="336"/>
      <c r="J22" s="336">
        <v>160001302</v>
      </c>
      <c r="K22" s="336">
        <v>20</v>
      </c>
      <c r="M22" s="334" t="s">
        <v>1355</v>
      </c>
      <c r="N22" s="335">
        <f ca="1">SUMIF($J$4:$K$83,"156101001",$K$4:$K$83)</f>
        <v>0</v>
      </c>
      <c r="O22"/>
    </row>
    <row r="23" spans="2:15">
      <c r="B23" s="245"/>
      <c r="C23" s="245" t="s">
        <v>1219</v>
      </c>
      <c r="D23" s="245" t="s">
        <v>1221</v>
      </c>
      <c r="E23" s="245" t="s">
        <v>1219</v>
      </c>
      <c r="F23" s="251">
        <v>160001002</v>
      </c>
      <c r="G23" s="253">
        <f>G13+$G$2</f>
        <v>20</v>
      </c>
      <c r="H23" s="336" t="s">
        <v>977</v>
      </c>
      <c r="I23" s="336">
        <v>2</v>
      </c>
      <c r="J23" s="336">
        <v>156102019</v>
      </c>
      <c r="K23" s="336">
        <v>1</v>
      </c>
      <c r="M23" s="334" t="s">
        <v>1356</v>
      </c>
      <c r="N23" s="335">
        <f ca="1">SUMIF($J$4:$K$83,"156101002",$K$4:$K$83)</f>
        <v>1</v>
      </c>
      <c r="O23"/>
    </row>
    <row r="24" spans="2:15">
      <c r="B24" s="244"/>
      <c r="C24" s="244" t="s">
        <v>1228</v>
      </c>
      <c r="D24" s="244" t="s">
        <v>1221</v>
      </c>
      <c r="E24" s="244" t="s">
        <v>1228</v>
      </c>
      <c r="F24" s="244">
        <v>160001001</v>
      </c>
      <c r="G24" s="252">
        <f>G22+$F$2</f>
        <v>2800</v>
      </c>
      <c r="H24" s="333" t="s">
        <v>1349</v>
      </c>
      <c r="I24" s="333"/>
      <c r="J24" s="333">
        <v>160004002</v>
      </c>
      <c r="K24" s="333">
        <v>5</v>
      </c>
      <c r="M24" s="334" t="s">
        <v>1357</v>
      </c>
      <c r="N24" s="335">
        <f ca="1">SUMIF($J$4:$K$83,"156101003",$K$4:$K$83)</f>
        <v>0</v>
      </c>
      <c r="O24"/>
    </row>
    <row r="25" spans="2:15">
      <c r="B25" s="244"/>
      <c r="C25" s="244" t="s">
        <v>1229</v>
      </c>
      <c r="D25" s="244" t="s">
        <v>1221</v>
      </c>
      <c r="E25" s="244" t="s">
        <v>1229</v>
      </c>
      <c r="F25" s="244">
        <v>160001001</v>
      </c>
      <c r="G25" s="252">
        <f t="shared" ref="G25:G32" si="2">G24+$F$2</f>
        <v>2900</v>
      </c>
      <c r="H25" s="333" t="s">
        <v>1319</v>
      </c>
      <c r="I25" s="333"/>
      <c r="J25" s="333">
        <v>150000101</v>
      </c>
      <c r="K25" s="333">
        <f>K15+$K$15</f>
        <v>200</v>
      </c>
      <c r="M25" s="334" t="s">
        <v>1555</v>
      </c>
      <c r="N25" s="335">
        <f ca="1">SUMIF($J$4:$K$83,"156102020",$K$4:$K$83)</f>
        <v>0</v>
      </c>
      <c r="O25"/>
    </row>
    <row r="26" spans="2:15">
      <c r="B26" s="244" t="s">
        <v>1332</v>
      </c>
      <c r="C26" s="244" t="s">
        <v>1230</v>
      </c>
      <c r="D26" s="244" t="s">
        <v>1221</v>
      </c>
      <c r="E26" s="244" t="s">
        <v>1230</v>
      </c>
      <c r="F26" s="244">
        <v>160001001</v>
      </c>
      <c r="G26" s="252">
        <f t="shared" si="2"/>
        <v>3000</v>
      </c>
      <c r="H26" s="536" t="s">
        <v>1365</v>
      </c>
      <c r="I26" s="536"/>
      <c r="J26" s="536">
        <v>160000601</v>
      </c>
      <c r="K26" s="536">
        <v>5</v>
      </c>
      <c r="M26" s="334" t="s">
        <v>1556</v>
      </c>
      <c r="N26" s="335">
        <f ca="1">SUMIF($J$4:$K$83,"156102019",$K$4:$K$83)</f>
        <v>1</v>
      </c>
      <c r="O26"/>
    </row>
    <row r="27" spans="2:15">
      <c r="B27" s="244"/>
      <c r="C27" s="244" t="s">
        <v>1231</v>
      </c>
      <c r="D27" s="244" t="s">
        <v>1221</v>
      </c>
      <c r="E27" s="244" t="s">
        <v>1231</v>
      </c>
      <c r="F27" s="244">
        <v>160001001</v>
      </c>
      <c r="G27" s="252">
        <f t="shared" si="2"/>
        <v>3100</v>
      </c>
      <c r="H27" s="333" t="s">
        <v>1309</v>
      </c>
      <c r="I27" s="333"/>
      <c r="J27" s="333">
        <v>160002004</v>
      </c>
      <c r="K27" s="333">
        <f>K17+$K$7</f>
        <v>60</v>
      </c>
      <c r="M27" s="334" t="s">
        <v>1358</v>
      </c>
      <c r="N27" s="335">
        <f ca="1">SUMIF($J$4:$K$83,"156102001",$K$4:$K$83)</f>
        <v>0</v>
      </c>
    </row>
    <row r="28" spans="2:15">
      <c r="B28" s="244"/>
      <c r="C28" s="244" t="s">
        <v>1232</v>
      </c>
      <c r="D28" s="244" t="s">
        <v>1316</v>
      </c>
      <c r="E28" s="244" t="s">
        <v>1232</v>
      </c>
      <c r="F28" s="244">
        <v>160001001</v>
      </c>
      <c r="G28" s="252">
        <f t="shared" si="2"/>
        <v>3200</v>
      </c>
      <c r="H28" s="333" t="s">
        <v>1544</v>
      </c>
      <c r="I28" s="333"/>
      <c r="J28" s="333">
        <v>160004004</v>
      </c>
      <c r="K28" s="333">
        <v>5</v>
      </c>
      <c r="M28" s="334" t="s">
        <v>1359</v>
      </c>
      <c r="N28" s="335">
        <f ca="1">SUMIF($J$4:$K$83,"156102002",$K$4:$K$83)</f>
        <v>1</v>
      </c>
    </row>
    <row r="29" spans="2:15">
      <c r="B29" s="244"/>
      <c r="C29" s="244" t="s">
        <v>1233</v>
      </c>
      <c r="D29" s="244" t="s">
        <v>1221</v>
      </c>
      <c r="E29" s="244" t="s">
        <v>1233</v>
      </c>
      <c r="F29" s="244">
        <v>160001001</v>
      </c>
      <c r="G29" s="252">
        <f t="shared" si="2"/>
        <v>3300</v>
      </c>
      <c r="H29" s="333" t="s">
        <v>1354</v>
      </c>
      <c r="I29" s="333"/>
      <c r="J29" s="333">
        <v>155101003</v>
      </c>
      <c r="K29" s="333">
        <v>10</v>
      </c>
      <c r="M29" s="334" t="s">
        <v>1360</v>
      </c>
      <c r="N29" s="335">
        <f ca="1">SUMIF($J$4:$K$83,"156102003",$K$4:$K$83)</f>
        <v>0</v>
      </c>
    </row>
    <row r="30" spans="2:15">
      <c r="B30" s="244"/>
      <c r="C30" s="244" t="s">
        <v>1234</v>
      </c>
      <c r="D30" s="244" t="s">
        <v>1221</v>
      </c>
      <c r="E30" s="244" t="s">
        <v>1234</v>
      </c>
      <c r="F30" s="244">
        <v>160001001</v>
      </c>
      <c r="G30" s="252">
        <f t="shared" si="2"/>
        <v>3400</v>
      </c>
      <c r="H30" s="333" t="s">
        <v>1317</v>
      </c>
      <c r="I30" s="333"/>
      <c r="J30" s="333">
        <v>160002003</v>
      </c>
      <c r="K30" s="333">
        <v>10</v>
      </c>
      <c r="M30" s="334" t="s">
        <v>1557</v>
      </c>
      <c r="N30" s="335">
        <f ca="1">SUMIF($J$4:$K$83,"156103017",$K$4:$K$83)</f>
        <v>0</v>
      </c>
    </row>
    <row r="31" spans="2:15">
      <c r="B31" s="244" t="s">
        <v>1333</v>
      </c>
      <c r="C31" s="244" t="s">
        <v>1235</v>
      </c>
      <c r="D31" s="244" t="s">
        <v>1238</v>
      </c>
      <c r="E31" s="244" t="s">
        <v>1299</v>
      </c>
      <c r="F31" s="244">
        <v>160001001</v>
      </c>
      <c r="G31" s="252">
        <f t="shared" si="2"/>
        <v>3500</v>
      </c>
      <c r="H31" s="337" t="s">
        <v>1318</v>
      </c>
      <c r="I31" s="337"/>
      <c r="J31" s="337">
        <v>160002005</v>
      </c>
      <c r="K31" s="337">
        <v>10</v>
      </c>
      <c r="M31" s="334" t="s">
        <v>1558</v>
      </c>
      <c r="N31" s="335">
        <f ca="1">SUMIF($J$4:$K$83,"156103016",$K$4:$K$83)</f>
        <v>0</v>
      </c>
    </row>
    <row r="32" spans="2:15">
      <c r="B32" s="244"/>
      <c r="C32" s="244" t="s">
        <v>1236</v>
      </c>
      <c r="D32" s="244" t="s">
        <v>1239</v>
      </c>
      <c r="E32" s="244" t="s">
        <v>1300</v>
      </c>
      <c r="F32" s="244">
        <v>160001001</v>
      </c>
      <c r="G32" s="252">
        <f t="shared" si="2"/>
        <v>3600</v>
      </c>
      <c r="H32" s="333" t="s">
        <v>1545</v>
      </c>
      <c r="I32" s="333"/>
      <c r="J32" s="333">
        <v>160001302</v>
      </c>
      <c r="K32" s="333">
        <v>30</v>
      </c>
      <c r="M32" s="334" t="s">
        <v>1361</v>
      </c>
      <c r="N32" s="335">
        <f ca="1">SUMIF($J$4:$K$83,"156103001",$K$4:$K$83)</f>
        <v>1</v>
      </c>
    </row>
    <row r="33" spans="2:14">
      <c r="B33" s="244"/>
      <c r="C33" s="244" t="s">
        <v>1237</v>
      </c>
      <c r="D33" s="244" t="s">
        <v>1221</v>
      </c>
      <c r="E33" s="244" t="s">
        <v>1240</v>
      </c>
      <c r="F33" s="250">
        <v>160001002</v>
      </c>
      <c r="G33" s="252">
        <f>G23+$G$2</f>
        <v>30</v>
      </c>
      <c r="H33" s="333" t="s">
        <v>980</v>
      </c>
      <c r="I33" s="333">
        <v>3</v>
      </c>
      <c r="J33" s="333">
        <v>156103001</v>
      </c>
      <c r="K33" s="333">
        <v>1</v>
      </c>
      <c r="M33" s="334" t="s">
        <v>1362</v>
      </c>
      <c r="N33" s="335">
        <f ca="1">SUMIF($J$4:$K$83,"156103002",$K$4:$K$83)</f>
        <v>0</v>
      </c>
    </row>
    <row r="34" spans="2:14">
      <c r="B34" s="245"/>
      <c r="C34" s="245" t="s">
        <v>1242</v>
      </c>
      <c r="D34" s="245" t="s">
        <v>1221</v>
      </c>
      <c r="E34" s="245" t="s">
        <v>1241</v>
      </c>
      <c r="F34" s="245">
        <v>160001001</v>
      </c>
      <c r="G34" s="253">
        <f>G32+$F$2</f>
        <v>3700</v>
      </c>
      <c r="H34" s="336" t="s">
        <v>1350</v>
      </c>
      <c r="I34" s="336"/>
      <c r="J34" s="336">
        <v>160004001</v>
      </c>
      <c r="K34" s="336">
        <v>10</v>
      </c>
      <c r="M34" s="334" t="s">
        <v>1363</v>
      </c>
      <c r="N34" s="335">
        <f ca="1">SUMIF($J$4:$K$83,"156103003",$K$4:$K$83)</f>
        <v>1</v>
      </c>
    </row>
    <row r="35" spans="2:14">
      <c r="B35" s="245"/>
      <c r="C35" s="245" t="s">
        <v>1243</v>
      </c>
      <c r="D35" s="245" t="s">
        <v>1221</v>
      </c>
      <c r="E35" s="245" t="s">
        <v>1243</v>
      </c>
      <c r="F35" s="245">
        <v>160001001</v>
      </c>
      <c r="G35" s="253">
        <f t="shared" ref="G35:G42" si="3">G34+$F$2</f>
        <v>3800</v>
      </c>
      <c r="H35" s="336" t="s">
        <v>1319</v>
      </c>
      <c r="I35" s="336"/>
      <c r="J35" s="336">
        <v>150000101</v>
      </c>
      <c r="K35" s="336">
        <f>K25+$K$15</f>
        <v>300</v>
      </c>
      <c r="M35" s="334" t="s">
        <v>1559</v>
      </c>
      <c r="N35" s="335">
        <f ca="1">SUMIF($J$4:$K$83,"156104012",$K$4:$K$83)</f>
        <v>0</v>
      </c>
    </row>
    <row r="36" spans="2:14">
      <c r="B36" s="245"/>
      <c r="C36" s="245" t="s">
        <v>1244</v>
      </c>
      <c r="D36" s="245" t="s">
        <v>1221</v>
      </c>
      <c r="E36" s="245" t="s">
        <v>1244</v>
      </c>
      <c r="F36" s="245">
        <v>160001001</v>
      </c>
      <c r="G36" s="253">
        <f t="shared" si="3"/>
        <v>3900</v>
      </c>
      <c r="H36" s="536" t="s">
        <v>1364</v>
      </c>
      <c r="I36" s="536"/>
      <c r="J36" s="536">
        <v>160000602</v>
      </c>
      <c r="K36" s="536">
        <v>10</v>
      </c>
      <c r="M36" s="334" t="s">
        <v>1367</v>
      </c>
      <c r="N36" s="335">
        <f ca="1">SUMIF($J$4:$K$83,"156104001",$K$4:$K$83)</f>
        <v>1</v>
      </c>
    </row>
    <row r="37" spans="2:14">
      <c r="B37" s="245" t="s">
        <v>1334</v>
      </c>
      <c r="C37" s="245" t="s">
        <v>1245</v>
      </c>
      <c r="D37" s="245" t="s">
        <v>1221</v>
      </c>
      <c r="E37" s="245" t="s">
        <v>1245</v>
      </c>
      <c r="F37" s="245">
        <v>160001001</v>
      </c>
      <c r="G37" s="253">
        <f t="shared" si="3"/>
        <v>4000</v>
      </c>
      <c r="H37" s="336" t="s">
        <v>1309</v>
      </c>
      <c r="I37" s="336"/>
      <c r="J37" s="336">
        <v>160002004</v>
      </c>
      <c r="K37" s="336">
        <f>K27+$K$7</f>
        <v>80</v>
      </c>
      <c r="M37" s="334" t="s">
        <v>1368</v>
      </c>
      <c r="N37" s="335">
        <f ca="1">SUMIF($J$4:$K$83,"156104002",$K$4:$K$83)</f>
        <v>0</v>
      </c>
    </row>
    <row r="38" spans="2:14">
      <c r="B38" s="245"/>
      <c r="C38" s="245" t="s">
        <v>1246</v>
      </c>
      <c r="D38" s="245" t="s">
        <v>1221</v>
      </c>
      <c r="E38" s="245" t="s">
        <v>1246</v>
      </c>
      <c r="F38" s="245">
        <v>160001001</v>
      </c>
      <c r="G38" s="253">
        <f t="shared" si="3"/>
        <v>4100</v>
      </c>
      <c r="H38" s="336" t="s">
        <v>1544</v>
      </c>
      <c r="I38" s="336"/>
      <c r="J38" s="336">
        <v>160004004</v>
      </c>
      <c r="K38" s="336">
        <v>5</v>
      </c>
      <c r="M38" s="334" t="s">
        <v>1369</v>
      </c>
      <c r="N38" s="335">
        <f ca="1">SUMIF($J$4:$K$83,"156104003",$K$4:$K$83)</f>
        <v>1</v>
      </c>
    </row>
    <row r="39" spans="2:14">
      <c r="B39" s="245"/>
      <c r="C39" s="245" t="s">
        <v>1247</v>
      </c>
      <c r="D39" s="245" t="s">
        <v>1221</v>
      </c>
      <c r="E39" s="245" t="s">
        <v>1247</v>
      </c>
      <c r="F39" s="245">
        <v>160001001</v>
      </c>
      <c r="G39" s="253">
        <f t="shared" si="3"/>
        <v>4200</v>
      </c>
      <c r="H39" s="336" t="s">
        <v>1320</v>
      </c>
      <c r="I39" s="336"/>
      <c r="J39" s="336" t="s">
        <v>270</v>
      </c>
      <c r="K39" s="336">
        <v>20</v>
      </c>
    </row>
    <row r="40" spans="2:14">
      <c r="B40" s="245"/>
      <c r="C40" s="245" t="s">
        <v>1248</v>
      </c>
      <c r="D40" s="245" t="s">
        <v>1221</v>
      </c>
      <c r="E40" s="245" t="s">
        <v>1248</v>
      </c>
      <c r="F40" s="245">
        <v>160001001</v>
      </c>
      <c r="G40" s="253">
        <f t="shared" si="3"/>
        <v>4300</v>
      </c>
      <c r="H40" s="336" t="s">
        <v>1317</v>
      </c>
      <c r="I40" s="336"/>
      <c r="J40" s="336">
        <v>160002003</v>
      </c>
      <c r="K40" s="336">
        <v>20</v>
      </c>
      <c r="M40" s="334" t="s">
        <v>1560</v>
      </c>
      <c r="N40" s="335">
        <f ca="1">SUMIF($J$4:$K$83,"160001302",$K$4:$K$83)</f>
        <v>70</v>
      </c>
    </row>
    <row r="41" spans="2:14">
      <c r="B41" s="245"/>
      <c r="C41" s="245" t="s">
        <v>1249</v>
      </c>
      <c r="D41" s="245" t="s">
        <v>1221</v>
      </c>
      <c r="E41" s="245" t="s">
        <v>1249</v>
      </c>
      <c r="F41" s="245">
        <v>160001001</v>
      </c>
      <c r="G41" s="253">
        <f t="shared" si="3"/>
        <v>4400</v>
      </c>
      <c r="H41" s="336" t="s">
        <v>1318</v>
      </c>
      <c r="I41" s="336"/>
      <c r="J41" s="336">
        <v>160002005</v>
      </c>
      <c r="K41" s="336">
        <v>10</v>
      </c>
      <c r="M41" s="334" t="s">
        <v>1561</v>
      </c>
      <c r="N41" s="335">
        <f ca="1">SUMIF($J$4:$K$83,"160001303",$K$4:$K$83)</f>
        <v>60</v>
      </c>
    </row>
    <row r="42" spans="2:14">
      <c r="B42" s="245"/>
      <c r="C42" s="245" t="s">
        <v>1250</v>
      </c>
      <c r="D42" s="245" t="s">
        <v>1238</v>
      </c>
      <c r="E42" s="245" t="s">
        <v>1294</v>
      </c>
      <c r="F42" s="245">
        <v>160001001</v>
      </c>
      <c r="G42" s="253">
        <f t="shared" si="3"/>
        <v>4500</v>
      </c>
      <c r="H42" s="336" t="s">
        <v>1546</v>
      </c>
      <c r="I42" s="336"/>
      <c r="J42" s="336">
        <v>160001303</v>
      </c>
      <c r="K42" s="336">
        <v>10</v>
      </c>
      <c r="M42" s="334" t="s">
        <v>1561</v>
      </c>
      <c r="N42" s="335">
        <f ca="1">SUMIF($J$4:$K$83,"160001304",$K$4:$K$83)</f>
        <v>50</v>
      </c>
    </row>
    <row r="43" spans="2:14">
      <c r="B43" s="245" t="s">
        <v>1335</v>
      </c>
      <c r="C43" s="245" t="s">
        <v>1251</v>
      </c>
      <c r="D43" s="245" t="s">
        <v>1221</v>
      </c>
      <c r="E43" s="245" t="s">
        <v>1251</v>
      </c>
      <c r="F43" s="251">
        <v>160001002</v>
      </c>
      <c r="G43" s="253">
        <f>G33+$G$2</f>
        <v>40</v>
      </c>
      <c r="H43" s="336" t="s">
        <v>983</v>
      </c>
      <c r="I43" s="336">
        <v>3</v>
      </c>
      <c r="J43" s="336">
        <v>156104001</v>
      </c>
      <c r="K43" s="336">
        <v>1</v>
      </c>
      <c r="M43" s="334" t="s">
        <v>1352</v>
      </c>
      <c r="N43" s="335">
        <f ca="1">SUMIF($J$4:$K$83,"155101001",$K$4:$K$83)</f>
        <v>10</v>
      </c>
    </row>
    <row r="44" spans="2:14">
      <c r="B44" s="244"/>
      <c r="C44" s="244" t="s">
        <v>1252</v>
      </c>
      <c r="D44" s="244" t="s">
        <v>1221</v>
      </c>
      <c r="E44" s="244" t="s">
        <v>1252</v>
      </c>
      <c r="F44" s="244">
        <v>160001001</v>
      </c>
      <c r="G44" s="252">
        <f>G42+$F$2</f>
        <v>4600</v>
      </c>
      <c r="H44" s="333" t="s">
        <v>1351</v>
      </c>
      <c r="I44" s="333"/>
      <c r="J44" s="333">
        <v>160004003</v>
      </c>
      <c r="K44" s="333">
        <v>10</v>
      </c>
      <c r="M44" s="334" t="s">
        <v>1353</v>
      </c>
      <c r="N44" s="335">
        <f ca="1">SUMIF($J$4:$K$83,"155101002",$K$4:$K$83)</f>
        <v>10</v>
      </c>
    </row>
    <row r="45" spans="2:14">
      <c r="B45" s="244"/>
      <c r="C45" s="244" t="s">
        <v>1253</v>
      </c>
      <c r="D45" s="244" t="s">
        <v>1262</v>
      </c>
      <c r="E45" s="244" t="s">
        <v>1253</v>
      </c>
      <c r="F45" s="244">
        <v>160001001</v>
      </c>
      <c r="G45" s="252">
        <f t="shared" ref="G45:G52" si="4">G44+$F$2</f>
        <v>4700</v>
      </c>
      <c r="H45" s="333" t="s">
        <v>1319</v>
      </c>
      <c r="I45" s="333"/>
      <c r="J45" s="333">
        <v>150000101</v>
      </c>
      <c r="K45" s="333">
        <f>K35+$K$15</f>
        <v>400</v>
      </c>
      <c r="M45" s="334" t="s">
        <v>1354</v>
      </c>
      <c r="N45" s="335">
        <f ca="1">SUMIF($J$4:$K$83,"155101003",$K$4:$K$83)</f>
        <v>10</v>
      </c>
    </row>
    <row r="46" spans="2:14">
      <c r="B46" s="244"/>
      <c r="C46" s="244" t="s">
        <v>1254</v>
      </c>
      <c r="D46" s="244" t="s">
        <v>1221</v>
      </c>
      <c r="E46" s="244" t="s">
        <v>1254</v>
      </c>
      <c r="F46" s="244">
        <v>160001001</v>
      </c>
      <c r="G46" s="252">
        <f t="shared" si="4"/>
        <v>4800</v>
      </c>
      <c r="H46" s="536" t="s">
        <v>1366</v>
      </c>
      <c r="I46" s="536"/>
      <c r="J46" s="536">
        <v>160000603</v>
      </c>
      <c r="K46" s="536">
        <v>10</v>
      </c>
      <c r="M46" s="334" t="s">
        <v>1320</v>
      </c>
      <c r="N46" s="335">
        <f ca="1">SUMIF($J$4:$K$83,"155102001",$K$4:$K$83)</f>
        <v>20</v>
      </c>
    </row>
    <row r="47" spans="2:14">
      <c r="B47" s="244" t="s">
        <v>1336</v>
      </c>
      <c r="C47" s="244" t="s">
        <v>1255</v>
      </c>
      <c r="D47" s="244" t="s">
        <v>1238</v>
      </c>
      <c r="E47" s="244" t="s">
        <v>1295</v>
      </c>
      <c r="F47" s="244">
        <v>160001001</v>
      </c>
      <c r="G47" s="252">
        <f t="shared" si="4"/>
        <v>4900</v>
      </c>
      <c r="H47" s="333" t="s">
        <v>1309</v>
      </c>
      <c r="I47" s="333"/>
      <c r="J47" s="333">
        <v>160002004</v>
      </c>
      <c r="K47" s="333">
        <f>K37+$K$7</f>
        <v>100</v>
      </c>
      <c r="M47" s="334" t="s">
        <v>1321</v>
      </c>
      <c r="N47" s="335">
        <f ca="1">SUMIF($J$4:$K$83,"155102002",$K$4:$K$83)</f>
        <v>20</v>
      </c>
    </row>
    <row r="48" spans="2:14">
      <c r="B48" s="244"/>
      <c r="C48" s="244" t="s">
        <v>1256</v>
      </c>
      <c r="D48" s="244" t="s">
        <v>1221</v>
      </c>
      <c r="E48" s="244" t="s">
        <v>1256</v>
      </c>
      <c r="F48" s="244">
        <v>160001001</v>
      </c>
      <c r="G48" s="252">
        <f t="shared" si="4"/>
        <v>5000</v>
      </c>
      <c r="H48" s="333" t="s">
        <v>1544</v>
      </c>
      <c r="I48" s="333"/>
      <c r="J48" s="333">
        <v>160004004</v>
      </c>
      <c r="K48" s="333">
        <v>10</v>
      </c>
      <c r="M48" s="334" t="s">
        <v>1547</v>
      </c>
      <c r="N48" s="335">
        <f ca="1">SUMIF($J$4:$K$83,"155102003",$K$4:$K$83)</f>
        <v>20</v>
      </c>
    </row>
    <row r="49" spans="2:14">
      <c r="B49" s="244" t="s">
        <v>1337</v>
      </c>
      <c r="C49" s="244" t="s">
        <v>1257</v>
      </c>
      <c r="D49" s="244" t="s">
        <v>1238</v>
      </c>
      <c r="E49" s="244" t="s">
        <v>1296</v>
      </c>
      <c r="F49" s="244">
        <v>160001001</v>
      </c>
      <c r="G49" s="252">
        <f t="shared" si="4"/>
        <v>5100</v>
      </c>
      <c r="H49" s="333" t="s">
        <v>1321</v>
      </c>
      <c r="I49" s="333"/>
      <c r="J49" s="333" t="s">
        <v>271</v>
      </c>
      <c r="K49" s="333">
        <v>20</v>
      </c>
      <c r="M49" s="334" t="s">
        <v>1322</v>
      </c>
      <c r="N49" s="335">
        <f ca="1">SUMIF($J$4:$K$83,"155103001",$K$4:$K$83)</f>
        <v>30</v>
      </c>
    </row>
    <row r="50" spans="2:14">
      <c r="B50" s="244" t="s">
        <v>1338</v>
      </c>
      <c r="C50" s="244" t="s">
        <v>1258</v>
      </c>
      <c r="D50" s="244" t="s">
        <v>1221</v>
      </c>
      <c r="E50" s="244" t="s">
        <v>1258</v>
      </c>
      <c r="F50" s="244">
        <v>160001001</v>
      </c>
      <c r="G50" s="252">
        <f t="shared" si="4"/>
        <v>5200</v>
      </c>
      <c r="H50" s="333" t="s">
        <v>1317</v>
      </c>
      <c r="I50" s="333"/>
      <c r="J50" s="333">
        <v>160002003</v>
      </c>
      <c r="K50" s="333">
        <v>20</v>
      </c>
      <c r="M50" s="334" t="s">
        <v>1322</v>
      </c>
      <c r="N50" s="335">
        <f ca="1">SUMIF($J$4:$K$83,"155103002",$K$4:$K$83)</f>
        <v>30</v>
      </c>
    </row>
    <row r="51" spans="2:14">
      <c r="B51" s="244"/>
      <c r="C51" s="244" t="s">
        <v>1259</v>
      </c>
      <c r="D51" s="244" t="s">
        <v>1238</v>
      </c>
      <c r="E51" s="244" t="s">
        <v>1304</v>
      </c>
      <c r="F51" s="244">
        <v>160001001</v>
      </c>
      <c r="G51" s="252">
        <f t="shared" si="4"/>
        <v>5300</v>
      </c>
      <c r="H51" s="337" t="s">
        <v>1318</v>
      </c>
      <c r="I51" s="337"/>
      <c r="J51" s="337">
        <v>160002005</v>
      </c>
      <c r="K51" s="337">
        <v>15</v>
      </c>
    </row>
    <row r="52" spans="2:14">
      <c r="B52" s="244"/>
      <c r="C52" s="244" t="s">
        <v>1260</v>
      </c>
      <c r="D52" s="244" t="s">
        <v>1221</v>
      </c>
      <c r="E52" s="244" t="s">
        <v>1260</v>
      </c>
      <c r="F52" s="244">
        <v>160001001</v>
      </c>
      <c r="G52" s="252">
        <f t="shared" si="4"/>
        <v>5400</v>
      </c>
      <c r="H52" s="333" t="s">
        <v>1546</v>
      </c>
      <c r="I52" s="333"/>
      <c r="J52" s="333">
        <v>160001303</v>
      </c>
      <c r="K52" s="333">
        <v>20</v>
      </c>
    </row>
    <row r="53" spans="2:14">
      <c r="B53" s="244"/>
      <c r="C53" s="244" t="s">
        <v>1261</v>
      </c>
      <c r="D53" s="244" t="s">
        <v>1221</v>
      </c>
      <c r="E53" s="244" t="s">
        <v>1261</v>
      </c>
      <c r="F53" s="250">
        <v>160001002</v>
      </c>
      <c r="G53" s="252">
        <f>G43+$G$2</f>
        <v>50</v>
      </c>
      <c r="H53" s="333" t="s">
        <v>974</v>
      </c>
      <c r="I53" s="333">
        <v>4</v>
      </c>
      <c r="J53" s="333">
        <v>156101002</v>
      </c>
      <c r="K53" s="333">
        <v>1</v>
      </c>
    </row>
    <row r="54" spans="2:14">
      <c r="B54" s="245" t="s">
        <v>1344</v>
      </c>
      <c r="C54" s="245" t="s">
        <v>1263</v>
      </c>
      <c r="D54" s="245" t="s">
        <v>1221</v>
      </c>
      <c r="E54" s="245" t="s">
        <v>1263</v>
      </c>
      <c r="F54" s="245">
        <v>160001001</v>
      </c>
      <c r="G54" s="253">
        <f>G52+$F$2</f>
        <v>5500</v>
      </c>
      <c r="H54" s="336" t="s">
        <v>1349</v>
      </c>
      <c r="I54" s="336"/>
      <c r="J54" s="336">
        <v>160004002</v>
      </c>
      <c r="K54" s="336">
        <v>10</v>
      </c>
    </row>
    <row r="55" spans="2:14">
      <c r="B55" s="245" t="s">
        <v>1339</v>
      </c>
      <c r="C55" s="245" t="s">
        <v>1264</v>
      </c>
      <c r="D55" s="245" t="s">
        <v>1221</v>
      </c>
      <c r="E55" s="245" t="s">
        <v>1264</v>
      </c>
      <c r="F55" s="245">
        <v>160001001</v>
      </c>
      <c r="G55" s="253">
        <f>G54+$F$2</f>
        <v>5600</v>
      </c>
      <c r="H55" s="336" t="s">
        <v>1319</v>
      </c>
      <c r="I55" s="336"/>
      <c r="J55" s="336">
        <v>150000101</v>
      </c>
      <c r="K55" s="336">
        <f>K45+$K$15</f>
        <v>500</v>
      </c>
    </row>
    <row r="56" spans="2:14">
      <c r="B56" s="245" t="s">
        <v>1340</v>
      </c>
      <c r="C56" s="245" t="s">
        <v>1265</v>
      </c>
      <c r="D56" s="245" t="s">
        <v>1221</v>
      </c>
      <c r="E56" s="245" t="s">
        <v>1265</v>
      </c>
      <c r="F56" s="245">
        <v>160001001</v>
      </c>
      <c r="G56" s="253">
        <f t="shared" ref="G56:G62" si="5">G55+$F$2</f>
        <v>5700</v>
      </c>
      <c r="H56" s="536" t="s">
        <v>1365</v>
      </c>
      <c r="I56" s="536"/>
      <c r="J56" s="536">
        <v>160000601</v>
      </c>
      <c r="K56" s="536">
        <v>10</v>
      </c>
    </row>
    <row r="57" spans="2:14">
      <c r="B57" s="245"/>
      <c r="C57" s="245" t="s">
        <v>1266</v>
      </c>
      <c r="D57" s="245" t="s">
        <v>1221</v>
      </c>
      <c r="E57" s="245" t="s">
        <v>1266</v>
      </c>
      <c r="F57" s="245">
        <v>160001001</v>
      </c>
      <c r="G57" s="253">
        <f t="shared" si="5"/>
        <v>5800</v>
      </c>
      <c r="H57" s="336" t="s">
        <v>1309</v>
      </c>
      <c r="I57" s="336"/>
      <c r="J57" s="336">
        <v>160002004</v>
      </c>
      <c r="K57" s="336">
        <f>K47+$K$7</f>
        <v>120</v>
      </c>
    </row>
    <row r="58" spans="2:14">
      <c r="B58" s="245"/>
      <c r="C58" s="245" t="s">
        <v>1267</v>
      </c>
      <c r="D58" s="245" t="s">
        <v>1221</v>
      </c>
      <c r="E58" s="245" t="s">
        <v>1267</v>
      </c>
      <c r="F58" s="245">
        <v>160001001</v>
      </c>
      <c r="G58" s="253">
        <f t="shared" si="5"/>
        <v>5900</v>
      </c>
      <c r="H58" s="336" t="s">
        <v>1544</v>
      </c>
      <c r="I58" s="336"/>
      <c r="J58" s="336">
        <v>160004004</v>
      </c>
      <c r="K58" s="336">
        <v>10</v>
      </c>
    </row>
    <row r="59" spans="2:14">
      <c r="B59" s="245"/>
      <c r="C59" s="245" t="s">
        <v>1268</v>
      </c>
      <c r="D59" s="245" t="s">
        <v>1221</v>
      </c>
      <c r="E59" s="245" t="s">
        <v>1268</v>
      </c>
      <c r="F59" s="245">
        <v>160001001</v>
      </c>
      <c r="G59" s="253">
        <f t="shared" si="5"/>
        <v>6000</v>
      </c>
      <c r="H59" s="336" t="s">
        <v>1562</v>
      </c>
      <c r="I59" s="336"/>
      <c r="J59" s="336" t="s">
        <v>272</v>
      </c>
      <c r="K59" s="336">
        <v>20</v>
      </c>
    </row>
    <row r="60" spans="2:14">
      <c r="B60" s="245"/>
      <c r="C60" s="245" t="s">
        <v>1269</v>
      </c>
      <c r="D60" s="245" t="s">
        <v>1221</v>
      </c>
      <c r="E60" s="245" t="s">
        <v>1269</v>
      </c>
      <c r="F60" s="245">
        <v>160001001</v>
      </c>
      <c r="G60" s="253">
        <f t="shared" si="5"/>
        <v>6100</v>
      </c>
      <c r="H60" s="336" t="s">
        <v>1317</v>
      </c>
      <c r="I60" s="336"/>
      <c r="J60" s="336">
        <v>160002003</v>
      </c>
      <c r="K60" s="336">
        <v>20</v>
      </c>
    </row>
    <row r="61" spans="2:14">
      <c r="B61" s="245"/>
      <c r="C61" s="245" t="s">
        <v>1270</v>
      </c>
      <c r="D61" s="245" t="s">
        <v>1221</v>
      </c>
      <c r="E61" s="245" t="s">
        <v>1270</v>
      </c>
      <c r="F61" s="245">
        <v>160001001</v>
      </c>
      <c r="G61" s="253">
        <f t="shared" si="5"/>
        <v>6200</v>
      </c>
      <c r="H61" s="336" t="s">
        <v>1318</v>
      </c>
      <c r="I61" s="336"/>
      <c r="J61" s="336">
        <v>160002005</v>
      </c>
      <c r="K61" s="336">
        <v>15</v>
      </c>
    </row>
    <row r="62" spans="2:14">
      <c r="B62" s="245"/>
      <c r="C62" s="245" t="s">
        <v>1271</v>
      </c>
      <c r="D62" s="245" t="s">
        <v>1221</v>
      </c>
      <c r="E62" s="245" t="s">
        <v>1271</v>
      </c>
      <c r="F62" s="245">
        <v>160001001</v>
      </c>
      <c r="G62" s="253">
        <f t="shared" si="5"/>
        <v>6300</v>
      </c>
      <c r="H62" s="336" t="s">
        <v>1546</v>
      </c>
      <c r="I62" s="336"/>
      <c r="J62" s="336">
        <v>160001303</v>
      </c>
      <c r="K62" s="336">
        <v>30</v>
      </c>
    </row>
    <row r="63" spans="2:14">
      <c r="B63" s="245"/>
      <c r="C63" s="245" t="s">
        <v>1272</v>
      </c>
      <c r="D63" s="245" t="s">
        <v>1221</v>
      </c>
      <c r="E63" s="245" t="s">
        <v>1272</v>
      </c>
      <c r="F63" s="251">
        <v>160001002</v>
      </c>
      <c r="G63" s="253">
        <f>G53+$G$2</f>
        <v>60</v>
      </c>
      <c r="H63" s="336" t="s">
        <v>977</v>
      </c>
      <c r="I63" s="336">
        <v>4</v>
      </c>
      <c r="J63" s="336">
        <v>156102002</v>
      </c>
      <c r="K63" s="336">
        <v>1</v>
      </c>
    </row>
    <row r="64" spans="2:14">
      <c r="B64" s="244"/>
      <c r="C64" s="244" t="s">
        <v>1273</v>
      </c>
      <c r="D64" s="244" t="s">
        <v>1221</v>
      </c>
      <c r="E64" s="244" t="s">
        <v>1273</v>
      </c>
      <c r="F64" s="244">
        <v>160001001</v>
      </c>
      <c r="G64" s="252">
        <f>G62+$F$2</f>
        <v>6400</v>
      </c>
      <c r="H64" s="333" t="s">
        <v>1350</v>
      </c>
      <c r="I64" s="333"/>
      <c r="J64" s="333">
        <v>160004001</v>
      </c>
      <c r="K64" s="333">
        <v>20</v>
      </c>
    </row>
    <row r="65" spans="2:11">
      <c r="B65" s="244"/>
      <c r="C65" s="244" t="s">
        <v>1274</v>
      </c>
      <c r="D65" s="244" t="s">
        <v>1221</v>
      </c>
      <c r="E65" s="244" t="s">
        <v>1274</v>
      </c>
      <c r="F65" s="244">
        <v>160001001</v>
      </c>
      <c r="G65" s="252">
        <f t="shared" ref="G65:G72" si="6">G64+$F$2</f>
        <v>6500</v>
      </c>
      <c r="H65" s="333" t="s">
        <v>1319</v>
      </c>
      <c r="I65" s="333"/>
      <c r="J65" s="333">
        <v>150000101</v>
      </c>
      <c r="K65" s="333">
        <f>K55+$K$15</f>
        <v>600</v>
      </c>
    </row>
    <row r="66" spans="2:11">
      <c r="B66" s="244"/>
      <c r="C66" s="244" t="s">
        <v>1275</v>
      </c>
      <c r="D66" s="244" t="s">
        <v>1221</v>
      </c>
      <c r="E66" s="244" t="s">
        <v>1275</v>
      </c>
      <c r="F66" s="244">
        <v>160001001</v>
      </c>
      <c r="G66" s="252">
        <f t="shared" si="6"/>
        <v>6600</v>
      </c>
      <c r="H66" s="536" t="s">
        <v>1364</v>
      </c>
      <c r="I66" s="536"/>
      <c r="J66" s="536">
        <v>160000602</v>
      </c>
      <c r="K66" s="536">
        <v>15</v>
      </c>
    </row>
    <row r="67" spans="2:11">
      <c r="B67" s="244"/>
      <c r="C67" s="244" t="s">
        <v>1276</v>
      </c>
      <c r="D67" s="244" t="s">
        <v>1238</v>
      </c>
      <c r="E67" s="244" t="s">
        <v>1303</v>
      </c>
      <c r="F67" s="244">
        <v>160001001</v>
      </c>
      <c r="G67" s="252">
        <f t="shared" si="6"/>
        <v>6700</v>
      </c>
      <c r="H67" s="333" t="s">
        <v>1309</v>
      </c>
      <c r="I67" s="333"/>
      <c r="J67" s="333">
        <v>160002004</v>
      </c>
      <c r="K67" s="333">
        <f>K57+$K$7</f>
        <v>140</v>
      </c>
    </row>
    <row r="68" spans="2:11">
      <c r="B68" s="244"/>
      <c r="C68" s="244" t="s">
        <v>1277</v>
      </c>
      <c r="D68" s="244" t="s">
        <v>1221</v>
      </c>
      <c r="E68" s="244" t="s">
        <v>1283</v>
      </c>
      <c r="F68" s="244">
        <v>160001001</v>
      </c>
      <c r="G68" s="252">
        <f t="shared" si="6"/>
        <v>6800</v>
      </c>
      <c r="H68" s="333" t="s">
        <v>1544</v>
      </c>
      <c r="I68" s="333"/>
      <c r="J68" s="333">
        <v>160004004</v>
      </c>
      <c r="K68" s="333">
        <v>10</v>
      </c>
    </row>
    <row r="69" spans="2:11">
      <c r="B69" s="244"/>
      <c r="C69" s="244" t="s">
        <v>1278</v>
      </c>
      <c r="D69" s="244" t="s">
        <v>1221</v>
      </c>
      <c r="E69" s="244" t="s">
        <v>1278</v>
      </c>
      <c r="F69" s="244">
        <v>160001001</v>
      </c>
      <c r="G69" s="252">
        <f t="shared" si="6"/>
        <v>6900</v>
      </c>
      <c r="H69" s="333" t="s">
        <v>1322</v>
      </c>
      <c r="I69" s="333"/>
      <c r="J69" s="333" t="s">
        <v>276</v>
      </c>
      <c r="K69" s="333">
        <v>30</v>
      </c>
    </row>
    <row r="70" spans="2:11">
      <c r="B70" s="244"/>
      <c r="C70" s="244" t="s">
        <v>1279</v>
      </c>
      <c r="D70" s="244" t="s">
        <v>1221</v>
      </c>
      <c r="E70" s="244" t="s">
        <v>1279</v>
      </c>
      <c r="F70" s="244">
        <v>160001001</v>
      </c>
      <c r="G70" s="252">
        <f t="shared" si="6"/>
        <v>7000</v>
      </c>
      <c r="H70" s="333" t="s">
        <v>1317</v>
      </c>
      <c r="I70" s="333"/>
      <c r="J70" s="333">
        <v>160002003</v>
      </c>
      <c r="K70" s="333">
        <v>30</v>
      </c>
    </row>
    <row r="71" spans="2:11">
      <c r="B71" s="244"/>
      <c r="C71" s="244" t="s">
        <v>1280</v>
      </c>
      <c r="D71" s="244" t="s">
        <v>1221</v>
      </c>
      <c r="E71" s="244" t="s">
        <v>1280</v>
      </c>
      <c r="F71" s="244">
        <v>160001001</v>
      </c>
      <c r="G71" s="252">
        <f t="shared" si="6"/>
        <v>7100</v>
      </c>
      <c r="H71" s="337" t="s">
        <v>1318</v>
      </c>
      <c r="I71" s="337"/>
      <c r="J71" s="337">
        <v>160002005</v>
      </c>
      <c r="K71" s="337">
        <v>20</v>
      </c>
    </row>
    <row r="72" spans="2:11">
      <c r="B72" s="244"/>
      <c r="C72" s="244" t="s">
        <v>1281</v>
      </c>
      <c r="D72" s="244" t="s">
        <v>1221</v>
      </c>
      <c r="E72" s="244" t="s">
        <v>1281</v>
      </c>
      <c r="F72" s="244">
        <v>160001001</v>
      </c>
      <c r="G72" s="252">
        <f t="shared" si="6"/>
        <v>7200</v>
      </c>
      <c r="H72" s="333" t="s">
        <v>1548</v>
      </c>
      <c r="I72" s="333"/>
      <c r="J72" s="333">
        <v>160001304</v>
      </c>
      <c r="K72" s="333">
        <v>20</v>
      </c>
    </row>
    <row r="73" spans="2:11">
      <c r="B73" s="244" t="s">
        <v>1341</v>
      </c>
      <c r="C73" s="244" t="s">
        <v>1282</v>
      </c>
      <c r="D73" s="244" t="s">
        <v>1221</v>
      </c>
      <c r="E73" s="244" t="s">
        <v>1282</v>
      </c>
      <c r="F73" s="250">
        <v>160001002</v>
      </c>
      <c r="G73" s="252">
        <f>G63+$G$2</f>
        <v>70</v>
      </c>
      <c r="H73" s="333" t="s">
        <v>980</v>
      </c>
      <c r="I73" s="333">
        <v>5</v>
      </c>
      <c r="J73" s="333">
        <v>156103003</v>
      </c>
      <c r="K73" s="333">
        <v>1</v>
      </c>
    </row>
    <row r="74" spans="2:11">
      <c r="B74" s="245"/>
      <c r="C74" s="245" t="s">
        <v>1284</v>
      </c>
      <c r="D74" s="245" t="s">
        <v>1221</v>
      </c>
      <c r="E74" s="245" t="s">
        <v>1284</v>
      </c>
      <c r="F74" s="245">
        <v>160001001</v>
      </c>
      <c r="G74" s="253">
        <f>G72+$F$2</f>
        <v>7300</v>
      </c>
      <c r="H74" s="336" t="s">
        <v>1351</v>
      </c>
      <c r="I74" s="336"/>
      <c r="J74" s="336">
        <v>160004003</v>
      </c>
      <c r="K74" s="336">
        <v>20</v>
      </c>
    </row>
    <row r="75" spans="2:11">
      <c r="B75" s="245"/>
      <c r="C75" s="245" t="s">
        <v>1285</v>
      </c>
      <c r="D75" s="245" t="s">
        <v>1221</v>
      </c>
      <c r="E75" s="245" t="s">
        <v>1285</v>
      </c>
      <c r="F75" s="245">
        <v>160001001</v>
      </c>
      <c r="G75" s="253">
        <f t="shared" ref="G75:G82" si="7">G74+$F$2</f>
        <v>7400</v>
      </c>
      <c r="H75" s="336" t="s">
        <v>1319</v>
      </c>
      <c r="I75" s="336"/>
      <c r="J75" s="336">
        <v>150000101</v>
      </c>
      <c r="K75" s="336">
        <f>K65+$K$15</f>
        <v>700</v>
      </c>
    </row>
    <row r="76" spans="2:11">
      <c r="B76" s="245"/>
      <c r="C76" s="245" t="s">
        <v>1286</v>
      </c>
      <c r="D76" s="245" t="s">
        <v>1221</v>
      </c>
      <c r="E76" s="245" t="s">
        <v>1286</v>
      </c>
      <c r="F76" s="245">
        <v>160001001</v>
      </c>
      <c r="G76" s="253">
        <f t="shared" si="7"/>
        <v>7500</v>
      </c>
      <c r="H76" s="536" t="s">
        <v>1366</v>
      </c>
      <c r="I76" s="536"/>
      <c r="J76" s="536">
        <v>160000603</v>
      </c>
      <c r="K76" s="536">
        <v>15</v>
      </c>
    </row>
    <row r="77" spans="2:11">
      <c r="B77" s="245"/>
      <c r="C77" s="245" t="s">
        <v>1287</v>
      </c>
      <c r="D77" s="245" t="s">
        <v>1221</v>
      </c>
      <c r="E77" s="245" t="s">
        <v>1287</v>
      </c>
      <c r="F77" s="245">
        <v>160001001</v>
      </c>
      <c r="G77" s="253">
        <f t="shared" si="7"/>
        <v>7600</v>
      </c>
      <c r="H77" s="336" t="s">
        <v>1309</v>
      </c>
      <c r="I77" s="336"/>
      <c r="J77" s="336">
        <v>160002004</v>
      </c>
      <c r="K77" s="336">
        <f>K67+$K$7</f>
        <v>160</v>
      </c>
    </row>
    <row r="78" spans="2:11">
      <c r="B78" s="245"/>
      <c r="C78" s="245" t="s">
        <v>1288</v>
      </c>
      <c r="D78" s="245" t="s">
        <v>1221</v>
      </c>
      <c r="E78" s="245" t="s">
        <v>1288</v>
      </c>
      <c r="F78" s="245">
        <v>160001001</v>
      </c>
      <c r="G78" s="253">
        <f t="shared" si="7"/>
        <v>7700</v>
      </c>
      <c r="H78" s="336" t="s">
        <v>1544</v>
      </c>
      <c r="I78" s="336"/>
      <c r="J78" s="336">
        <v>160004004</v>
      </c>
      <c r="K78" s="336">
        <v>10</v>
      </c>
    </row>
    <row r="79" spans="2:11">
      <c r="B79" s="245"/>
      <c r="C79" s="245" t="s">
        <v>1289</v>
      </c>
      <c r="D79" s="245" t="s">
        <v>1221</v>
      </c>
      <c r="E79" s="245" t="s">
        <v>1289</v>
      </c>
      <c r="F79" s="245">
        <v>160001001</v>
      </c>
      <c r="G79" s="253">
        <f t="shared" si="7"/>
        <v>7800</v>
      </c>
      <c r="H79" s="336" t="s">
        <v>1549</v>
      </c>
      <c r="I79" s="336"/>
      <c r="J79" s="336" t="s">
        <v>277</v>
      </c>
      <c r="K79" s="336">
        <v>30</v>
      </c>
    </row>
    <row r="80" spans="2:11">
      <c r="B80" s="245"/>
      <c r="C80" s="245" t="s">
        <v>1290</v>
      </c>
      <c r="D80" s="245" t="s">
        <v>1221</v>
      </c>
      <c r="E80" s="245" t="s">
        <v>1290</v>
      </c>
      <c r="F80" s="245">
        <v>160001001</v>
      </c>
      <c r="G80" s="253">
        <f t="shared" si="7"/>
        <v>7900</v>
      </c>
      <c r="H80" s="336" t="s">
        <v>1317</v>
      </c>
      <c r="I80" s="336"/>
      <c r="J80" s="336">
        <v>160002003</v>
      </c>
      <c r="K80" s="336">
        <v>30</v>
      </c>
    </row>
    <row r="81" spans="2:11">
      <c r="B81" s="245"/>
      <c r="C81" s="245" t="s">
        <v>1291</v>
      </c>
      <c r="D81" s="245" t="s">
        <v>1221</v>
      </c>
      <c r="E81" s="245" t="s">
        <v>1291</v>
      </c>
      <c r="F81" s="245">
        <v>160001001</v>
      </c>
      <c r="G81" s="253">
        <f t="shared" si="7"/>
        <v>8000</v>
      </c>
      <c r="H81" s="336" t="s">
        <v>1318</v>
      </c>
      <c r="I81" s="336"/>
      <c r="J81" s="336">
        <v>160002005</v>
      </c>
      <c r="K81" s="336">
        <v>20</v>
      </c>
    </row>
    <row r="82" spans="2:11">
      <c r="B82" s="245"/>
      <c r="C82" s="245" t="s">
        <v>1292</v>
      </c>
      <c r="D82" s="245" t="s">
        <v>1221</v>
      </c>
      <c r="E82" s="245" t="s">
        <v>1292</v>
      </c>
      <c r="F82" s="245">
        <v>160001001</v>
      </c>
      <c r="G82" s="253">
        <f t="shared" si="7"/>
        <v>8100</v>
      </c>
      <c r="H82" s="336" t="s">
        <v>1548</v>
      </c>
      <c r="I82" s="336"/>
      <c r="J82" s="336">
        <v>160001304</v>
      </c>
      <c r="K82" s="336">
        <v>30</v>
      </c>
    </row>
    <row r="83" spans="2:11">
      <c r="B83" s="245" t="s">
        <v>1342</v>
      </c>
      <c r="C83" s="245" t="s">
        <v>1293</v>
      </c>
      <c r="D83" s="245" t="s">
        <v>1221</v>
      </c>
      <c r="E83" s="245" t="s">
        <v>1293</v>
      </c>
      <c r="F83" s="251">
        <v>160001002</v>
      </c>
      <c r="G83" s="253">
        <f>G73+$G$2</f>
        <v>80</v>
      </c>
      <c r="H83" s="336" t="s">
        <v>983</v>
      </c>
      <c r="I83" s="336">
        <v>5</v>
      </c>
      <c r="J83" s="336">
        <v>156104003</v>
      </c>
      <c r="K83" s="336">
        <v>1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4"/>
  <sheetViews>
    <sheetView workbookViewId="0">
      <selection activeCell="N33" sqref="N33"/>
    </sheetView>
  </sheetViews>
  <sheetFormatPr defaultRowHeight="16.5"/>
  <cols>
    <col min="1" max="1" width="3.625" customWidth="1"/>
    <col min="2" max="2" width="9.375" customWidth="1"/>
    <col min="3" max="3" width="16" customWidth="1"/>
    <col min="4" max="4" width="14.25" customWidth="1"/>
    <col min="5" max="5" width="16" customWidth="1"/>
    <col min="6" max="6" width="3.625" customWidth="1"/>
    <col min="7" max="7" width="19.5" customWidth="1"/>
    <col min="8" max="8" width="14.125" customWidth="1"/>
  </cols>
  <sheetData>
    <row r="2" spans="2:8">
      <c r="D2" s="256"/>
      <c r="E2" s="256">
        <v>10</v>
      </c>
    </row>
    <row r="3" spans="2:8">
      <c r="C3" s="254"/>
      <c r="D3" s="254">
        <v>500</v>
      </c>
      <c r="E3" s="254">
        <v>1000</v>
      </c>
    </row>
    <row r="4" spans="2:8">
      <c r="B4" s="204" t="s">
        <v>1382</v>
      </c>
      <c r="C4" s="204" t="s">
        <v>1297</v>
      </c>
      <c r="D4" s="247" t="s">
        <v>1305</v>
      </c>
      <c r="E4" s="247" t="s">
        <v>1306</v>
      </c>
      <c r="G4" s="204" t="s">
        <v>47</v>
      </c>
      <c r="H4" s="273">
        <f ca="1">SUMIF($D$5:$E$44,"160001001",$E$5:$E$44)</f>
        <v>325500</v>
      </c>
    </row>
    <row r="5" spans="2:8">
      <c r="B5" s="275">
        <v>101</v>
      </c>
      <c r="C5" s="275" t="s">
        <v>1201</v>
      </c>
      <c r="D5" s="276">
        <v>160001001</v>
      </c>
      <c r="E5" s="276">
        <v>1000</v>
      </c>
      <c r="G5" s="204" t="s">
        <v>1403</v>
      </c>
      <c r="H5" s="273">
        <f ca="1">SUMIF($D$5:$E$44,"160001002",$E$5:$E$44)</f>
        <v>360</v>
      </c>
    </row>
    <row r="6" spans="2:8">
      <c r="B6" s="275">
        <v>102</v>
      </c>
      <c r="C6" s="275" t="s">
        <v>1203</v>
      </c>
      <c r="D6" s="276">
        <v>160001001</v>
      </c>
      <c r="E6" s="276">
        <f>E5+$D$3</f>
        <v>1500</v>
      </c>
    </row>
    <row r="7" spans="2:8">
      <c r="B7" s="275">
        <v>103</v>
      </c>
      <c r="C7" s="275" t="s">
        <v>1370</v>
      </c>
      <c r="D7" s="276">
        <v>160001001</v>
      </c>
      <c r="E7" s="276">
        <f>E6+$D$3</f>
        <v>2000</v>
      </c>
    </row>
    <row r="8" spans="2:8">
      <c r="B8" s="275">
        <v>104</v>
      </c>
      <c r="C8" s="275" t="s">
        <v>1371</v>
      </c>
      <c r="D8" s="276">
        <v>160001001</v>
      </c>
      <c r="E8" s="276">
        <f>E7+$D$3</f>
        <v>2500</v>
      </c>
    </row>
    <row r="9" spans="2:8">
      <c r="B9" s="275">
        <v>105</v>
      </c>
      <c r="C9" s="275" t="s">
        <v>1372</v>
      </c>
      <c r="D9" s="280">
        <v>160001002</v>
      </c>
      <c r="E9" s="280">
        <v>10</v>
      </c>
    </row>
    <row r="10" spans="2:8">
      <c r="B10" s="277">
        <f>B5+100</f>
        <v>201</v>
      </c>
      <c r="C10" s="277" t="s">
        <v>1373</v>
      </c>
      <c r="D10" s="278">
        <v>160001001</v>
      </c>
      <c r="E10" s="278">
        <f>E8+$D$3</f>
        <v>3000</v>
      </c>
    </row>
    <row r="11" spans="2:8">
      <c r="B11" s="277">
        <f t="shared" ref="B11:B43" si="0">B6+100</f>
        <v>202</v>
      </c>
      <c r="C11" s="277" t="s">
        <v>1374</v>
      </c>
      <c r="D11" s="278">
        <v>160001001</v>
      </c>
      <c r="E11" s="278">
        <f>E10+$D$3</f>
        <v>3500</v>
      </c>
    </row>
    <row r="12" spans="2:8">
      <c r="B12" s="277">
        <f t="shared" si="0"/>
        <v>203</v>
      </c>
      <c r="C12" s="277" t="s">
        <v>1375</v>
      </c>
      <c r="D12" s="279">
        <v>160001001</v>
      </c>
      <c r="E12" s="278">
        <f t="shared" ref="E12:E13" si="1">E11+$D$3</f>
        <v>4000</v>
      </c>
    </row>
    <row r="13" spans="2:8">
      <c r="B13" s="277">
        <f t="shared" si="0"/>
        <v>204</v>
      </c>
      <c r="C13" s="277" t="s">
        <v>1376</v>
      </c>
      <c r="D13" s="279">
        <v>160001001</v>
      </c>
      <c r="E13" s="278">
        <f t="shared" si="1"/>
        <v>4500</v>
      </c>
    </row>
    <row r="14" spans="2:8">
      <c r="B14" s="277">
        <f t="shared" si="0"/>
        <v>205</v>
      </c>
      <c r="C14" s="277" t="s">
        <v>1377</v>
      </c>
      <c r="D14" s="281">
        <v>160001002</v>
      </c>
      <c r="E14" s="282">
        <f>E9+$E$2</f>
        <v>20</v>
      </c>
    </row>
    <row r="15" spans="2:8">
      <c r="B15" s="275">
        <f t="shared" si="0"/>
        <v>301</v>
      </c>
      <c r="C15" s="275" t="s">
        <v>1383</v>
      </c>
      <c r="D15" s="276">
        <v>160001001</v>
      </c>
      <c r="E15" s="276">
        <f>E13+$D$3</f>
        <v>5000</v>
      </c>
    </row>
    <row r="16" spans="2:8">
      <c r="B16" s="275">
        <f t="shared" si="0"/>
        <v>302</v>
      </c>
      <c r="C16" s="275" t="s">
        <v>1378</v>
      </c>
      <c r="D16" s="276">
        <v>160001001</v>
      </c>
      <c r="E16" s="276">
        <f>E15+$D$3</f>
        <v>5500</v>
      </c>
    </row>
    <row r="17" spans="2:5">
      <c r="B17" s="275">
        <f t="shared" si="0"/>
        <v>303</v>
      </c>
      <c r="C17" s="275" t="s">
        <v>1384</v>
      </c>
      <c r="D17" s="276">
        <v>160001001</v>
      </c>
      <c r="E17" s="276">
        <f>E16+$D$3</f>
        <v>6000</v>
      </c>
    </row>
    <row r="18" spans="2:5">
      <c r="B18" s="275">
        <f t="shared" si="0"/>
        <v>304</v>
      </c>
      <c r="C18" s="275" t="s">
        <v>1385</v>
      </c>
      <c r="D18" s="276">
        <v>160001001</v>
      </c>
      <c r="E18" s="276">
        <f>E17+$D$3</f>
        <v>6500</v>
      </c>
    </row>
    <row r="19" spans="2:5">
      <c r="B19" s="275">
        <f t="shared" si="0"/>
        <v>305</v>
      </c>
      <c r="C19" s="275" t="s">
        <v>1240</v>
      </c>
      <c r="D19" s="280">
        <v>160001002</v>
      </c>
      <c r="E19" s="283">
        <f>E14+$E$2</f>
        <v>30</v>
      </c>
    </row>
    <row r="20" spans="2:5">
      <c r="B20" s="277">
        <f t="shared" si="0"/>
        <v>401</v>
      </c>
      <c r="C20" s="277" t="s">
        <v>1242</v>
      </c>
      <c r="D20" s="278">
        <v>160001001</v>
      </c>
      <c r="E20" s="278">
        <f>E18+$D$3</f>
        <v>7000</v>
      </c>
    </row>
    <row r="21" spans="2:5">
      <c r="B21" s="277">
        <f t="shared" si="0"/>
        <v>402</v>
      </c>
      <c r="C21" s="277" t="s">
        <v>1386</v>
      </c>
      <c r="D21" s="278">
        <v>160001001</v>
      </c>
      <c r="E21" s="278">
        <f>E20+$D$3</f>
        <v>7500</v>
      </c>
    </row>
    <row r="22" spans="2:5">
      <c r="B22" s="277">
        <f t="shared" si="0"/>
        <v>403</v>
      </c>
      <c r="C22" s="277" t="s">
        <v>1387</v>
      </c>
      <c r="D22" s="279">
        <v>160001001</v>
      </c>
      <c r="E22" s="278">
        <f t="shared" ref="E22:E23" si="2">E21+$D$3</f>
        <v>8000</v>
      </c>
    </row>
    <row r="23" spans="2:5">
      <c r="B23" s="277">
        <f t="shared" si="0"/>
        <v>404</v>
      </c>
      <c r="C23" s="277" t="s">
        <v>1379</v>
      </c>
      <c r="D23" s="279">
        <v>160001001</v>
      </c>
      <c r="E23" s="278">
        <f t="shared" si="2"/>
        <v>8500</v>
      </c>
    </row>
    <row r="24" spans="2:5">
      <c r="B24" s="277">
        <f t="shared" si="0"/>
        <v>405</v>
      </c>
      <c r="C24" s="277" t="s">
        <v>1388</v>
      </c>
      <c r="D24" s="281">
        <v>160001002</v>
      </c>
      <c r="E24" s="282">
        <f>E19+$E$2</f>
        <v>40</v>
      </c>
    </row>
    <row r="25" spans="2:5">
      <c r="B25" s="275">
        <f t="shared" si="0"/>
        <v>501</v>
      </c>
      <c r="C25" s="275" t="s">
        <v>1252</v>
      </c>
      <c r="D25" s="276">
        <v>160001001</v>
      </c>
      <c r="E25" s="276">
        <f>E23+$D$3</f>
        <v>9000</v>
      </c>
    </row>
    <row r="26" spans="2:5">
      <c r="B26" s="275">
        <f t="shared" si="0"/>
        <v>502</v>
      </c>
      <c r="C26" s="275" t="s">
        <v>1380</v>
      </c>
      <c r="D26" s="276">
        <v>160001001</v>
      </c>
      <c r="E26" s="276">
        <f>E25+$D$3</f>
        <v>9500</v>
      </c>
    </row>
    <row r="27" spans="2:5">
      <c r="B27" s="275">
        <f t="shared" si="0"/>
        <v>503</v>
      </c>
      <c r="C27" s="275" t="s">
        <v>1389</v>
      </c>
      <c r="D27" s="276">
        <v>160001001</v>
      </c>
      <c r="E27" s="276">
        <f>E26+$D$3</f>
        <v>10000</v>
      </c>
    </row>
    <row r="28" spans="2:5">
      <c r="B28" s="275">
        <f t="shared" si="0"/>
        <v>504</v>
      </c>
      <c r="C28" s="275" t="s">
        <v>1390</v>
      </c>
      <c r="D28" s="276">
        <v>160001001</v>
      </c>
      <c r="E28" s="276">
        <f>E27+$E$3</f>
        <v>11000</v>
      </c>
    </row>
    <row r="29" spans="2:5">
      <c r="B29" s="275">
        <f t="shared" si="0"/>
        <v>505</v>
      </c>
      <c r="C29" s="275" t="s">
        <v>1391</v>
      </c>
      <c r="D29" s="280">
        <v>160001002</v>
      </c>
      <c r="E29" s="283">
        <f>E24+$E$2</f>
        <v>50</v>
      </c>
    </row>
    <row r="30" spans="2:5">
      <c r="B30" s="277">
        <f t="shared" si="0"/>
        <v>601</v>
      </c>
      <c r="C30" s="277" t="s">
        <v>1263</v>
      </c>
      <c r="D30" s="278">
        <v>160001001</v>
      </c>
      <c r="E30" s="278">
        <f>E28+$E$3</f>
        <v>12000</v>
      </c>
    </row>
    <row r="31" spans="2:5">
      <c r="B31" s="277">
        <f t="shared" si="0"/>
        <v>602</v>
      </c>
      <c r="C31" s="277" t="s">
        <v>1392</v>
      </c>
      <c r="D31" s="278">
        <v>160001001</v>
      </c>
      <c r="E31" s="278">
        <f>E30+$E$3</f>
        <v>13000</v>
      </c>
    </row>
    <row r="32" spans="2:5">
      <c r="B32" s="277">
        <f t="shared" si="0"/>
        <v>603</v>
      </c>
      <c r="C32" s="277" t="s">
        <v>1393</v>
      </c>
      <c r="D32" s="279">
        <v>160001001</v>
      </c>
      <c r="E32" s="278">
        <f t="shared" ref="E32:E33" si="3">E31+$E$3</f>
        <v>14000</v>
      </c>
    </row>
    <row r="33" spans="2:5">
      <c r="B33" s="277">
        <f t="shared" si="0"/>
        <v>604</v>
      </c>
      <c r="C33" s="277" t="s">
        <v>1394</v>
      </c>
      <c r="D33" s="279">
        <v>160001001</v>
      </c>
      <c r="E33" s="278">
        <f t="shared" si="3"/>
        <v>15000</v>
      </c>
    </row>
    <row r="34" spans="2:5">
      <c r="B34" s="277">
        <f t="shared" si="0"/>
        <v>605</v>
      </c>
      <c r="C34" s="277" t="s">
        <v>1395</v>
      </c>
      <c r="D34" s="281">
        <v>160001002</v>
      </c>
      <c r="E34" s="282">
        <f>E29+$E$2</f>
        <v>60</v>
      </c>
    </row>
    <row r="35" spans="2:5">
      <c r="B35" s="275">
        <f t="shared" si="0"/>
        <v>701</v>
      </c>
      <c r="C35" s="275" t="s">
        <v>1273</v>
      </c>
      <c r="D35" s="276">
        <v>160001001</v>
      </c>
      <c r="E35" s="276">
        <f>E33+$E$3</f>
        <v>16000</v>
      </c>
    </row>
    <row r="36" spans="2:5">
      <c r="B36" s="275">
        <f t="shared" si="0"/>
        <v>702</v>
      </c>
      <c r="C36" s="275" t="s">
        <v>1381</v>
      </c>
      <c r="D36" s="276">
        <v>160001001</v>
      </c>
      <c r="E36" s="276">
        <f t="shared" ref="E36:E38" si="4">E35+$E$3</f>
        <v>17000</v>
      </c>
    </row>
    <row r="37" spans="2:5">
      <c r="B37" s="275">
        <f t="shared" si="0"/>
        <v>703</v>
      </c>
      <c r="C37" s="275" t="s">
        <v>1396</v>
      </c>
      <c r="D37" s="276">
        <v>160001001</v>
      </c>
      <c r="E37" s="276">
        <f t="shared" si="4"/>
        <v>18000</v>
      </c>
    </row>
    <row r="38" spans="2:5">
      <c r="B38" s="275">
        <f t="shared" si="0"/>
        <v>704</v>
      </c>
      <c r="C38" s="275" t="s">
        <v>1397</v>
      </c>
      <c r="D38" s="276">
        <v>160001001</v>
      </c>
      <c r="E38" s="276">
        <f t="shared" si="4"/>
        <v>19000</v>
      </c>
    </row>
    <row r="39" spans="2:5">
      <c r="B39" s="275">
        <f t="shared" si="0"/>
        <v>705</v>
      </c>
      <c r="C39" s="275" t="s">
        <v>1398</v>
      </c>
      <c r="D39" s="280">
        <v>160001002</v>
      </c>
      <c r="E39" s="283">
        <f>E34+$E$2</f>
        <v>70</v>
      </c>
    </row>
    <row r="40" spans="2:5">
      <c r="B40" s="277">
        <f t="shared" si="0"/>
        <v>801</v>
      </c>
      <c r="C40" s="277" t="s">
        <v>1284</v>
      </c>
      <c r="D40" s="278">
        <v>160001001</v>
      </c>
      <c r="E40" s="278">
        <f>E38+$E$3</f>
        <v>20000</v>
      </c>
    </row>
    <row r="41" spans="2:5">
      <c r="B41" s="277">
        <f t="shared" si="0"/>
        <v>802</v>
      </c>
      <c r="C41" s="277" t="s">
        <v>1399</v>
      </c>
      <c r="D41" s="278">
        <v>160001001</v>
      </c>
      <c r="E41" s="278">
        <f>E40+$E$3</f>
        <v>21000</v>
      </c>
    </row>
    <row r="42" spans="2:5">
      <c r="B42" s="277">
        <f t="shared" si="0"/>
        <v>803</v>
      </c>
      <c r="C42" s="277" t="s">
        <v>1400</v>
      </c>
      <c r="D42" s="279">
        <v>160001001</v>
      </c>
      <c r="E42" s="278">
        <f t="shared" ref="E42:E43" si="5">E41+$E$3</f>
        <v>22000</v>
      </c>
    </row>
    <row r="43" spans="2:5">
      <c r="B43" s="277">
        <f t="shared" si="0"/>
        <v>804</v>
      </c>
      <c r="C43" s="277" t="s">
        <v>1401</v>
      </c>
      <c r="D43" s="279">
        <v>160001001</v>
      </c>
      <c r="E43" s="278">
        <f t="shared" si="5"/>
        <v>23000</v>
      </c>
    </row>
    <row r="44" spans="2:5">
      <c r="B44" s="277">
        <f>B39+100</f>
        <v>805</v>
      </c>
      <c r="C44" s="277" t="s">
        <v>1402</v>
      </c>
      <c r="D44" s="281">
        <v>160001002</v>
      </c>
      <c r="E44" s="282">
        <f>E39+$E$2</f>
        <v>80</v>
      </c>
    </row>
  </sheetData>
  <phoneticPr fontId="2" type="noConversion"/>
  <pageMargins left="0.7" right="0.7" top="0.75" bottom="0.75" header="0.3" footer="0.3"/>
  <pageSetup paperSize="9" orientation="portrait" verticalDpi="0" r:id="rId1"/>
  <ignoredErrors>
    <ignoredError sqref="E14 E11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9"/>
  <sheetViews>
    <sheetView workbookViewId="0">
      <selection activeCell="B3" sqref="B3"/>
    </sheetView>
  </sheetViews>
  <sheetFormatPr defaultColWidth="3.625" defaultRowHeight="16.5"/>
  <cols>
    <col min="1" max="1" width="3.625" style="11"/>
    <col min="2" max="2" width="12.75" style="11" bestFit="1" customWidth="1"/>
    <col min="3" max="3" width="19.125" style="11" bestFit="1" customWidth="1"/>
    <col min="4" max="4" width="3.625" style="11" customWidth="1"/>
    <col min="5" max="5" width="14.625" style="11" bestFit="1" customWidth="1"/>
    <col min="6" max="6" width="19.125" style="11" bestFit="1" customWidth="1"/>
    <col min="7" max="7" width="3.625" style="11" customWidth="1"/>
    <col min="8" max="8" width="16.375" style="16" bestFit="1" customWidth="1"/>
    <col min="9" max="9" width="21" style="11" bestFit="1" customWidth="1"/>
    <col min="10" max="10" width="3.625" style="11" customWidth="1"/>
    <col min="11" max="11" width="12.125" style="11" bestFit="1" customWidth="1"/>
    <col min="12" max="12" width="19.125" style="11" bestFit="1" customWidth="1"/>
    <col min="13" max="16384" width="3.625" style="11"/>
  </cols>
  <sheetData>
    <row r="2" spans="2:12">
      <c r="B2" s="10" t="s">
        <v>1087</v>
      </c>
    </row>
    <row r="3" spans="2:12">
      <c r="B3" s="204" t="s">
        <v>219</v>
      </c>
      <c r="C3" s="193" t="s">
        <v>395</v>
      </c>
      <c r="E3" s="33" t="s">
        <v>219</v>
      </c>
      <c r="F3" s="164" t="s">
        <v>395</v>
      </c>
      <c r="H3" s="33" t="s">
        <v>219</v>
      </c>
      <c r="I3" s="164" t="s">
        <v>395</v>
      </c>
      <c r="K3" s="33" t="s">
        <v>219</v>
      </c>
      <c r="L3" s="164" t="s">
        <v>395</v>
      </c>
    </row>
    <row r="4" spans="2:12" ht="16.5" customHeight="1">
      <c r="B4" s="530" t="s">
        <v>1077</v>
      </c>
      <c r="C4" s="206" t="s">
        <v>1009</v>
      </c>
      <c r="E4" s="524" t="s">
        <v>1078</v>
      </c>
      <c r="F4" s="205" t="s">
        <v>1042</v>
      </c>
      <c r="H4" s="533" t="s">
        <v>1083</v>
      </c>
      <c r="I4" s="209" t="s">
        <v>1030</v>
      </c>
      <c r="K4" s="535" t="s">
        <v>1085</v>
      </c>
      <c r="L4" s="211" t="s">
        <v>1037</v>
      </c>
    </row>
    <row r="5" spans="2:12">
      <c r="B5" s="530"/>
      <c r="C5" s="206" t="s">
        <v>1010</v>
      </c>
      <c r="E5" s="525"/>
      <c r="F5" s="205" t="s">
        <v>1043</v>
      </c>
      <c r="H5" s="534"/>
      <c r="I5" s="209" t="s">
        <v>1031</v>
      </c>
      <c r="K5" s="535"/>
      <c r="L5" s="211" t="s">
        <v>1038</v>
      </c>
    </row>
    <row r="6" spans="2:12">
      <c r="B6" s="530"/>
      <c r="C6" s="206" t="s">
        <v>1011</v>
      </c>
      <c r="E6" s="525"/>
      <c r="F6" s="205" t="s">
        <v>1044</v>
      </c>
      <c r="H6" s="534"/>
      <c r="I6" s="209" t="s">
        <v>1032</v>
      </c>
      <c r="K6" s="535"/>
      <c r="L6" s="211" t="s">
        <v>1039</v>
      </c>
    </row>
    <row r="7" spans="2:12">
      <c r="B7" s="530"/>
      <c r="C7" s="206" t="s">
        <v>1012</v>
      </c>
      <c r="E7" s="525"/>
      <c r="F7" s="205" t="s">
        <v>1045</v>
      </c>
      <c r="H7" s="534"/>
      <c r="I7" s="209" t="s">
        <v>1033</v>
      </c>
      <c r="K7" s="535"/>
      <c r="L7" s="211" t="s">
        <v>1040</v>
      </c>
    </row>
    <row r="8" spans="2:12">
      <c r="B8" s="530"/>
      <c r="C8" s="206" t="s">
        <v>1013</v>
      </c>
      <c r="E8" s="525"/>
      <c r="F8" s="205" t="s">
        <v>1046</v>
      </c>
      <c r="H8" s="534"/>
      <c r="I8" s="209" t="s">
        <v>1034</v>
      </c>
      <c r="K8" s="535"/>
      <c r="L8" s="211" t="s">
        <v>1041</v>
      </c>
    </row>
    <row r="9" spans="2:12">
      <c r="B9" s="530"/>
      <c r="C9" s="206" t="s">
        <v>1014</v>
      </c>
      <c r="E9" s="525"/>
      <c r="F9" s="205" t="s">
        <v>1047</v>
      </c>
      <c r="H9" s="534"/>
      <c r="I9" s="209" t="s">
        <v>1035</v>
      </c>
      <c r="K9" s="528" t="s">
        <v>1086</v>
      </c>
      <c r="L9" s="210" t="s">
        <v>1070</v>
      </c>
    </row>
    <row r="10" spans="2:12">
      <c r="B10" s="530"/>
      <c r="C10" s="206" t="s">
        <v>1015</v>
      </c>
      <c r="E10" s="525"/>
      <c r="F10" s="205" t="s">
        <v>1048</v>
      </c>
      <c r="H10" s="534"/>
      <c r="I10" s="209" t="s">
        <v>1036</v>
      </c>
      <c r="K10" s="529"/>
      <c r="L10" s="210" t="s">
        <v>1071</v>
      </c>
    </row>
    <row r="11" spans="2:12">
      <c r="E11" s="531" t="s">
        <v>1079</v>
      </c>
      <c r="F11" s="208" t="s">
        <v>1016</v>
      </c>
      <c r="H11" s="526" t="s">
        <v>1084</v>
      </c>
      <c r="I11" s="207" t="s">
        <v>1063</v>
      </c>
      <c r="K11" s="529"/>
      <c r="L11" s="210" t="s">
        <v>1072</v>
      </c>
    </row>
    <row r="12" spans="2:12">
      <c r="E12" s="532"/>
      <c r="F12" s="208" t="s">
        <v>1017</v>
      </c>
      <c r="H12" s="527"/>
      <c r="I12" s="207" t="s">
        <v>1064</v>
      </c>
      <c r="K12" s="529"/>
      <c r="L12" s="210" t="s">
        <v>1073</v>
      </c>
    </row>
    <row r="13" spans="2:12">
      <c r="E13" s="532"/>
      <c r="F13" s="208" t="s">
        <v>1018</v>
      </c>
      <c r="H13" s="527"/>
      <c r="I13" s="207" t="s">
        <v>1065</v>
      </c>
      <c r="K13" s="529"/>
      <c r="L13" s="210" t="s">
        <v>1074</v>
      </c>
    </row>
    <row r="14" spans="2:12">
      <c r="E14" s="532"/>
      <c r="F14" s="208" t="s">
        <v>1019</v>
      </c>
      <c r="H14" s="527"/>
      <c r="I14" s="207" t="s">
        <v>1066</v>
      </c>
      <c r="K14" s="529"/>
      <c r="L14" s="210" t="s">
        <v>1075</v>
      </c>
    </row>
    <row r="15" spans="2:12">
      <c r="E15" s="532"/>
      <c r="F15" s="208" t="s">
        <v>1020</v>
      </c>
      <c r="H15" s="527"/>
      <c r="I15" s="207" t="s">
        <v>1067</v>
      </c>
      <c r="K15" s="529"/>
      <c r="L15" s="210" t="s">
        <v>1076</v>
      </c>
    </row>
    <row r="16" spans="2:12">
      <c r="E16" s="532"/>
      <c r="F16" s="208" t="s">
        <v>1021</v>
      </c>
      <c r="H16" s="527"/>
      <c r="I16" s="207" t="s">
        <v>1068</v>
      </c>
    </row>
    <row r="17" spans="5:9">
      <c r="E17" s="532"/>
      <c r="F17" s="208" t="s">
        <v>1022</v>
      </c>
      <c r="H17" s="527"/>
      <c r="I17" s="207" t="s">
        <v>1069</v>
      </c>
    </row>
    <row r="18" spans="5:9">
      <c r="E18" s="524" t="s">
        <v>1080</v>
      </c>
      <c r="F18" s="205" t="s">
        <v>1049</v>
      </c>
    </row>
    <row r="19" spans="5:9">
      <c r="E19" s="525"/>
      <c r="F19" s="205" t="s">
        <v>1050</v>
      </c>
    </row>
    <row r="20" spans="5:9">
      <c r="E20" s="525"/>
      <c r="F20" s="205" t="s">
        <v>1051</v>
      </c>
    </row>
    <row r="21" spans="5:9">
      <c r="E21" s="525"/>
      <c r="F21" s="205" t="s">
        <v>1052</v>
      </c>
    </row>
    <row r="22" spans="5:9">
      <c r="E22" s="525"/>
      <c r="F22" s="205" t="s">
        <v>1053</v>
      </c>
    </row>
    <row r="23" spans="5:9">
      <c r="E23" s="525"/>
      <c r="F23" s="205" t="s">
        <v>1054</v>
      </c>
    </row>
    <row r="24" spans="5:9">
      <c r="E24" s="525"/>
      <c r="F24" s="205" t="s">
        <v>1055</v>
      </c>
    </row>
    <row r="25" spans="5:9">
      <c r="E25" s="531" t="s">
        <v>1081</v>
      </c>
      <c r="F25" s="208" t="s">
        <v>1023</v>
      </c>
    </row>
    <row r="26" spans="5:9">
      <c r="E26" s="532"/>
      <c r="F26" s="208" t="s">
        <v>1024</v>
      </c>
    </row>
    <row r="27" spans="5:9">
      <c r="E27" s="532"/>
      <c r="F27" s="208" t="s">
        <v>1025</v>
      </c>
    </row>
    <row r="28" spans="5:9">
      <c r="E28" s="532"/>
      <c r="F28" s="208" t="s">
        <v>1026</v>
      </c>
    </row>
    <row r="29" spans="5:9">
      <c r="E29" s="532"/>
      <c r="F29" s="208" t="s">
        <v>1027</v>
      </c>
    </row>
    <row r="30" spans="5:9">
      <c r="E30" s="532"/>
      <c r="F30" s="208" t="s">
        <v>1028</v>
      </c>
      <c r="H30" s="11"/>
    </row>
    <row r="31" spans="5:9">
      <c r="E31" s="532"/>
      <c r="F31" s="208" t="s">
        <v>1029</v>
      </c>
      <c r="H31" s="11"/>
    </row>
    <row r="32" spans="5:9">
      <c r="E32" s="524" t="s">
        <v>1082</v>
      </c>
      <c r="F32" s="205" t="s">
        <v>1056</v>
      </c>
      <c r="H32" s="11"/>
    </row>
    <row r="33" spans="5:8">
      <c r="E33" s="525"/>
      <c r="F33" s="205" t="s">
        <v>1057</v>
      </c>
      <c r="H33" s="11"/>
    </row>
    <row r="34" spans="5:8">
      <c r="E34" s="525"/>
      <c r="F34" s="205" t="s">
        <v>1058</v>
      </c>
      <c r="H34" s="11"/>
    </row>
    <row r="35" spans="5:8">
      <c r="E35" s="525"/>
      <c r="F35" s="205" t="s">
        <v>1059</v>
      </c>
      <c r="H35" s="11"/>
    </row>
    <row r="36" spans="5:8">
      <c r="E36" s="525"/>
      <c r="F36" s="205" t="s">
        <v>1060</v>
      </c>
      <c r="H36" s="11"/>
    </row>
    <row r="37" spans="5:8">
      <c r="E37" s="525"/>
      <c r="F37" s="205" t="s">
        <v>1061</v>
      </c>
      <c r="H37" s="11"/>
    </row>
    <row r="38" spans="5:8">
      <c r="E38" s="525"/>
      <c r="F38" s="205" t="s">
        <v>1062</v>
      </c>
      <c r="H38" s="11"/>
    </row>
    <row r="39" spans="5:8">
      <c r="H39" s="11"/>
    </row>
  </sheetData>
  <mergeCells count="10">
    <mergeCell ref="E32:E38"/>
    <mergeCell ref="H11:H17"/>
    <mergeCell ref="K9:K15"/>
    <mergeCell ref="B4:B10"/>
    <mergeCell ref="E11:E17"/>
    <mergeCell ref="E25:E31"/>
    <mergeCell ref="H4:H10"/>
    <mergeCell ref="K4:K8"/>
    <mergeCell ref="E4:E10"/>
    <mergeCell ref="E18:E24"/>
  </mergeCells>
  <phoneticPr fontId="2" type="noConversion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A51"/>
  <sheetViews>
    <sheetView zoomScale="95" zoomScaleNormal="95" workbookViewId="0">
      <selection activeCell="K12" sqref="K12"/>
    </sheetView>
  </sheetViews>
  <sheetFormatPr defaultRowHeight="16.5"/>
  <cols>
    <col min="1" max="1" width="3.625" style="2" customWidth="1"/>
    <col min="2" max="2" width="8" style="3" bestFit="1" customWidth="1"/>
    <col min="3" max="3" width="17.75" style="3" bestFit="1" customWidth="1"/>
    <col min="4" max="12" width="8.625" style="2" customWidth="1"/>
    <col min="13" max="15" width="9.625" style="2" customWidth="1"/>
    <col min="16" max="16" width="16.625" style="2" bestFit="1" customWidth="1"/>
    <col min="17" max="22" width="9.625" style="2" customWidth="1"/>
    <col min="23" max="26" width="7.625" style="2" customWidth="1"/>
    <col min="27" max="27" width="9.625" style="2" bestFit="1" customWidth="1"/>
    <col min="28" max="16384" width="9" style="2"/>
  </cols>
  <sheetData>
    <row r="1" spans="2:27" ht="17.25" thickBot="1"/>
    <row r="2" spans="2:27">
      <c r="B2" s="367"/>
      <c r="C2" s="370"/>
      <c r="D2" s="367" t="s">
        <v>400</v>
      </c>
      <c r="E2" s="368"/>
      <c r="F2" s="368"/>
      <c r="G2" s="368"/>
      <c r="H2" s="368"/>
      <c r="I2" s="368"/>
      <c r="J2" s="369"/>
      <c r="K2" s="369"/>
      <c r="L2" s="370"/>
      <c r="M2" s="367" t="s">
        <v>56</v>
      </c>
      <c r="N2" s="368"/>
      <c r="O2" s="368"/>
      <c r="P2" s="368"/>
      <c r="Q2" s="368"/>
      <c r="R2" s="369"/>
      <c r="S2" s="367" t="s">
        <v>57</v>
      </c>
      <c r="T2" s="368"/>
      <c r="U2" s="368"/>
      <c r="V2" s="370"/>
      <c r="W2" s="367" t="s">
        <v>64</v>
      </c>
      <c r="X2" s="368"/>
      <c r="Y2" s="369"/>
      <c r="Z2" s="369"/>
      <c r="AA2" s="370"/>
    </row>
    <row r="3" spans="2:27" ht="17.25" thickBot="1">
      <c r="B3" s="376"/>
      <c r="C3" s="377"/>
      <c r="D3" s="70" t="s">
        <v>25</v>
      </c>
      <c r="E3" s="71" t="s">
        <v>58</v>
      </c>
      <c r="F3" s="71" t="s">
        <v>26</v>
      </c>
      <c r="G3" s="71" t="s">
        <v>27</v>
      </c>
      <c r="H3" s="71" t="s">
        <v>28</v>
      </c>
      <c r="I3" s="71" t="s">
        <v>409</v>
      </c>
      <c r="J3" s="73" t="s">
        <v>254</v>
      </c>
      <c r="K3" s="73" t="s">
        <v>1444</v>
      </c>
      <c r="L3" s="72" t="s">
        <v>51</v>
      </c>
      <c r="M3" s="70" t="s">
        <v>72</v>
      </c>
      <c r="N3" s="71" t="s">
        <v>71</v>
      </c>
      <c r="O3" s="71" t="s">
        <v>29</v>
      </c>
      <c r="P3" s="71" t="s">
        <v>369</v>
      </c>
      <c r="Q3" s="71" t="s">
        <v>61</v>
      </c>
      <c r="R3" s="73" t="s">
        <v>59</v>
      </c>
      <c r="S3" s="70" t="s">
        <v>30</v>
      </c>
      <c r="T3" s="71" t="s">
        <v>31</v>
      </c>
      <c r="U3" s="71" t="s">
        <v>60</v>
      </c>
      <c r="V3" s="72" t="s">
        <v>73</v>
      </c>
      <c r="W3" s="265" t="s">
        <v>65</v>
      </c>
      <c r="X3" s="266" t="s">
        <v>68</v>
      </c>
      <c r="Y3" s="264" t="s">
        <v>1197</v>
      </c>
      <c r="Z3" s="264" t="s">
        <v>1198</v>
      </c>
      <c r="AA3" s="267" t="s">
        <v>967</v>
      </c>
    </row>
    <row r="4" spans="2:27">
      <c r="B4" s="380" t="s">
        <v>46</v>
      </c>
      <c r="C4" s="62" t="s">
        <v>47</v>
      </c>
      <c r="D4" s="63" t="s">
        <v>53</v>
      </c>
      <c r="E4" s="64" t="s">
        <v>53</v>
      </c>
      <c r="F4" s="64" t="s">
        <v>53</v>
      </c>
      <c r="G4" s="65"/>
      <c r="H4" s="65"/>
      <c r="I4" s="64" t="s">
        <v>53</v>
      </c>
      <c r="J4" s="68"/>
      <c r="K4" s="302"/>
      <c r="L4" s="66"/>
      <c r="M4" s="67"/>
      <c r="N4" s="65"/>
      <c r="O4" s="65"/>
      <c r="P4" s="64" t="s">
        <v>53</v>
      </c>
      <c r="Q4" s="64" t="s">
        <v>53</v>
      </c>
      <c r="R4" s="68"/>
      <c r="S4" s="63" t="s">
        <v>53</v>
      </c>
      <c r="T4" s="64" t="s">
        <v>53</v>
      </c>
      <c r="U4" s="64" t="s">
        <v>53</v>
      </c>
      <c r="V4" s="69" t="s">
        <v>53</v>
      </c>
      <c r="W4" s="268"/>
      <c r="X4" s="269"/>
      <c r="Y4" s="270" t="s">
        <v>8</v>
      </c>
      <c r="Z4" s="270" t="s">
        <v>8</v>
      </c>
      <c r="AA4" s="271"/>
    </row>
    <row r="5" spans="2:27">
      <c r="B5" s="371"/>
      <c r="C5" s="43" t="s">
        <v>48</v>
      </c>
      <c r="D5" s="51"/>
      <c r="E5" s="49"/>
      <c r="F5" s="48" t="s">
        <v>53</v>
      </c>
      <c r="G5" s="49"/>
      <c r="H5" s="49"/>
      <c r="I5" s="49"/>
      <c r="J5" s="48" t="s">
        <v>53</v>
      </c>
      <c r="K5" s="290" t="s">
        <v>8</v>
      </c>
      <c r="L5" s="52" t="s">
        <v>53</v>
      </c>
      <c r="M5" s="51"/>
      <c r="N5" s="49"/>
      <c r="O5" s="49"/>
      <c r="P5" s="48" t="s">
        <v>53</v>
      </c>
      <c r="Q5" s="48" t="s">
        <v>53</v>
      </c>
      <c r="R5" s="60" t="s">
        <v>53</v>
      </c>
      <c r="S5" s="47" t="s">
        <v>53</v>
      </c>
      <c r="T5" s="48" t="s">
        <v>53</v>
      </c>
      <c r="U5" s="48" t="s">
        <v>53</v>
      </c>
      <c r="V5" s="52" t="s">
        <v>53</v>
      </c>
      <c r="W5" s="47" t="s">
        <v>8</v>
      </c>
      <c r="X5" s="259"/>
      <c r="Y5" s="260" t="s">
        <v>8</v>
      </c>
      <c r="Z5" s="260" t="s">
        <v>8</v>
      </c>
      <c r="AA5" s="263"/>
    </row>
    <row r="6" spans="2:27">
      <c r="B6" s="371"/>
      <c r="C6" s="43" t="s">
        <v>49</v>
      </c>
      <c r="D6" s="51"/>
      <c r="E6" s="49"/>
      <c r="F6" s="49"/>
      <c r="G6" s="49"/>
      <c r="H6" s="49"/>
      <c r="I6" s="49"/>
      <c r="J6" s="59"/>
      <c r="K6" s="174"/>
      <c r="L6" s="50"/>
      <c r="M6" s="51"/>
      <c r="N6" s="49"/>
      <c r="O6" s="49"/>
      <c r="P6" s="48" t="s">
        <v>53</v>
      </c>
      <c r="Q6" s="48" t="s">
        <v>53</v>
      </c>
      <c r="R6" s="59"/>
      <c r="S6" s="47" t="s">
        <v>53</v>
      </c>
      <c r="T6" s="48" t="s">
        <v>53</v>
      </c>
      <c r="U6" s="49"/>
      <c r="V6" s="52" t="s">
        <v>53</v>
      </c>
      <c r="W6" s="51"/>
      <c r="X6" s="259"/>
      <c r="Y6" s="174"/>
      <c r="Z6" s="174"/>
      <c r="AA6" s="50"/>
    </row>
    <row r="7" spans="2:27">
      <c r="B7" s="371"/>
      <c r="C7" s="43" t="s">
        <v>63</v>
      </c>
      <c r="D7" s="51"/>
      <c r="E7" s="49"/>
      <c r="F7" s="49"/>
      <c r="G7" s="49"/>
      <c r="H7" s="49"/>
      <c r="I7" s="49"/>
      <c r="J7" s="59"/>
      <c r="K7" s="174"/>
      <c r="L7" s="50"/>
      <c r="M7" s="51"/>
      <c r="N7" s="49"/>
      <c r="O7" s="49"/>
      <c r="P7" s="49"/>
      <c r="Q7" s="49"/>
      <c r="R7" s="59"/>
      <c r="S7" s="46"/>
      <c r="T7" s="48" t="s">
        <v>53</v>
      </c>
      <c r="U7" s="49"/>
      <c r="V7" s="50"/>
      <c r="W7" s="47" t="s">
        <v>53</v>
      </c>
      <c r="X7" s="259"/>
      <c r="Y7" s="174"/>
      <c r="Z7" s="174"/>
      <c r="AA7" s="50"/>
    </row>
    <row r="8" spans="2:27">
      <c r="B8" s="371"/>
      <c r="C8" s="43" t="s">
        <v>1175</v>
      </c>
      <c r="D8" s="51"/>
      <c r="E8" s="201"/>
      <c r="F8" s="201"/>
      <c r="G8" s="48" t="s">
        <v>53</v>
      </c>
      <c r="H8" s="49"/>
      <c r="I8" s="49"/>
      <c r="J8" s="59"/>
      <c r="K8" s="174"/>
      <c r="L8" s="50"/>
      <c r="M8" s="51"/>
      <c r="N8" s="49"/>
      <c r="O8" s="49"/>
      <c r="P8" s="49"/>
      <c r="Q8" s="48" t="s">
        <v>53</v>
      </c>
      <c r="R8" s="174"/>
      <c r="S8" s="199"/>
      <c r="T8" s="201"/>
      <c r="U8" s="201"/>
      <c r="V8" s="50"/>
      <c r="W8" s="47"/>
      <c r="X8" s="259"/>
      <c r="Y8" s="174"/>
      <c r="Z8" s="174"/>
      <c r="AA8" s="50"/>
    </row>
    <row r="9" spans="2:27">
      <c r="B9" s="371"/>
      <c r="C9" s="43" t="s">
        <v>967</v>
      </c>
      <c r="D9" s="51"/>
      <c r="E9" s="49"/>
      <c r="F9" s="49"/>
      <c r="G9" s="49"/>
      <c r="H9" s="49"/>
      <c r="I9" s="49"/>
      <c r="J9" s="59"/>
      <c r="K9" s="174"/>
      <c r="L9" s="52" t="s">
        <v>53</v>
      </c>
      <c r="M9" s="51"/>
      <c r="N9" s="49"/>
      <c r="O9" s="49"/>
      <c r="P9" s="49"/>
      <c r="Q9" s="49"/>
      <c r="R9" s="59"/>
      <c r="S9" s="51"/>
      <c r="T9" s="49"/>
      <c r="U9" s="49"/>
      <c r="V9" s="50"/>
      <c r="W9" s="51"/>
      <c r="X9" s="259"/>
      <c r="Y9" s="174"/>
      <c r="Z9" s="174"/>
      <c r="AA9" s="50"/>
    </row>
    <row r="10" spans="2:27">
      <c r="B10" s="372" t="s">
        <v>32</v>
      </c>
      <c r="C10" s="45" t="s">
        <v>32</v>
      </c>
      <c r="D10" s="47" t="s">
        <v>53</v>
      </c>
      <c r="E10" s="48" t="s">
        <v>53</v>
      </c>
      <c r="F10" s="53"/>
      <c r="G10" s="48" t="s">
        <v>53</v>
      </c>
      <c r="H10" s="48" t="s">
        <v>53</v>
      </c>
      <c r="I10" s="61"/>
      <c r="J10" s="61"/>
      <c r="K10" s="175"/>
      <c r="L10" s="54"/>
      <c r="M10" s="55"/>
      <c r="N10" s="53"/>
      <c r="O10" s="48" t="s">
        <v>8</v>
      </c>
      <c r="P10" s="53"/>
      <c r="Q10" s="53"/>
      <c r="R10" s="61"/>
      <c r="S10" s="55"/>
      <c r="T10" s="53"/>
      <c r="U10" s="53"/>
      <c r="V10" s="54"/>
      <c r="W10" s="55"/>
      <c r="X10" s="261"/>
      <c r="Y10" s="175"/>
      <c r="Z10" s="175"/>
      <c r="AA10" s="45"/>
    </row>
    <row r="11" spans="2:27">
      <c r="B11" s="374"/>
      <c r="C11" s="45" t="s">
        <v>401</v>
      </c>
      <c r="D11" s="53"/>
      <c r="E11" s="53"/>
      <c r="F11" s="53"/>
      <c r="G11" s="53"/>
      <c r="H11" s="48" t="s">
        <v>8</v>
      </c>
      <c r="I11" s="61"/>
      <c r="J11" s="61"/>
      <c r="K11" s="175"/>
      <c r="L11" s="54"/>
      <c r="M11" s="55"/>
      <c r="N11" s="53"/>
      <c r="O11" s="48" t="s">
        <v>8</v>
      </c>
      <c r="P11" s="53"/>
      <c r="Q11" s="53"/>
      <c r="R11" s="61"/>
      <c r="S11" s="55"/>
      <c r="T11" s="53"/>
      <c r="U11" s="53"/>
      <c r="V11" s="54"/>
      <c r="W11" s="55"/>
      <c r="X11" s="261"/>
      <c r="Y11" s="175"/>
      <c r="Z11" s="175"/>
      <c r="AA11" s="45"/>
    </row>
    <row r="12" spans="2:27">
      <c r="B12" s="381" t="s">
        <v>36</v>
      </c>
      <c r="C12" s="43" t="s">
        <v>33</v>
      </c>
      <c r="D12" s="47" t="s">
        <v>53</v>
      </c>
      <c r="E12" s="48" t="s">
        <v>53</v>
      </c>
      <c r="F12" s="49"/>
      <c r="G12" s="48" t="s">
        <v>53</v>
      </c>
      <c r="H12" s="48" t="s">
        <v>53</v>
      </c>
      <c r="I12" s="59"/>
      <c r="J12" s="59"/>
      <c r="K12" s="174"/>
      <c r="L12" s="50"/>
      <c r="M12" s="51"/>
      <c r="N12" s="49"/>
      <c r="O12" s="48" t="s">
        <v>8</v>
      </c>
      <c r="P12" s="49"/>
      <c r="Q12" s="49"/>
      <c r="R12" s="59"/>
      <c r="S12" s="51"/>
      <c r="T12" s="49"/>
      <c r="U12" s="49"/>
      <c r="V12" s="50"/>
      <c r="W12" s="51"/>
      <c r="X12" s="259"/>
      <c r="Y12" s="174"/>
      <c r="Z12" s="174"/>
      <c r="AA12" s="52" t="s">
        <v>8</v>
      </c>
    </row>
    <row r="13" spans="2:27">
      <c r="B13" s="382"/>
      <c r="C13" s="43" t="s">
        <v>78</v>
      </c>
      <c r="D13" s="47" t="s">
        <v>53</v>
      </c>
      <c r="E13" s="48" t="s">
        <v>53</v>
      </c>
      <c r="F13" s="49"/>
      <c r="G13" s="48" t="s">
        <v>53</v>
      </c>
      <c r="H13" s="48" t="s">
        <v>53</v>
      </c>
      <c r="I13" s="59"/>
      <c r="J13" s="59"/>
      <c r="K13" s="174"/>
      <c r="L13" s="50"/>
      <c r="M13" s="51"/>
      <c r="N13" s="49"/>
      <c r="O13" s="48" t="s">
        <v>8</v>
      </c>
      <c r="P13" s="49"/>
      <c r="Q13" s="49"/>
      <c r="R13" s="59"/>
      <c r="S13" s="51"/>
      <c r="T13" s="49"/>
      <c r="U13" s="49"/>
      <c r="V13" s="50"/>
      <c r="W13" s="51"/>
      <c r="X13" s="259"/>
      <c r="Y13" s="174"/>
      <c r="Z13" s="174"/>
      <c r="AA13" s="52" t="s">
        <v>8</v>
      </c>
    </row>
    <row r="14" spans="2:27">
      <c r="B14" s="382"/>
      <c r="C14" s="43" t="s">
        <v>34</v>
      </c>
      <c r="D14" s="47" t="s">
        <v>53</v>
      </c>
      <c r="E14" s="48" t="s">
        <v>53</v>
      </c>
      <c r="F14" s="49"/>
      <c r="G14" s="48" t="s">
        <v>53</v>
      </c>
      <c r="H14" s="48" t="s">
        <v>53</v>
      </c>
      <c r="I14" s="59"/>
      <c r="J14" s="59"/>
      <c r="K14" s="174"/>
      <c r="L14" s="50"/>
      <c r="M14" s="51"/>
      <c r="N14" s="49"/>
      <c r="O14" s="48" t="s">
        <v>8</v>
      </c>
      <c r="P14" s="49"/>
      <c r="Q14" s="49"/>
      <c r="R14" s="59"/>
      <c r="S14" s="51"/>
      <c r="T14" s="49"/>
      <c r="U14" s="49"/>
      <c r="V14" s="50"/>
      <c r="W14" s="51"/>
      <c r="X14" s="259"/>
      <c r="Y14" s="174"/>
      <c r="Z14" s="174"/>
      <c r="AA14" s="52" t="s">
        <v>8</v>
      </c>
    </row>
    <row r="15" spans="2:27">
      <c r="B15" s="382"/>
      <c r="C15" s="43" t="s">
        <v>35</v>
      </c>
      <c r="D15" s="47" t="s">
        <v>53</v>
      </c>
      <c r="E15" s="48" t="s">
        <v>53</v>
      </c>
      <c r="F15" s="49"/>
      <c r="G15" s="48" t="s">
        <v>53</v>
      </c>
      <c r="H15" s="48" t="s">
        <v>53</v>
      </c>
      <c r="I15" s="59"/>
      <c r="J15" s="59"/>
      <c r="K15" s="174"/>
      <c r="L15" s="50"/>
      <c r="M15" s="51"/>
      <c r="N15" s="49"/>
      <c r="O15" s="48" t="s">
        <v>8</v>
      </c>
      <c r="P15" s="49"/>
      <c r="Q15" s="49"/>
      <c r="R15" s="59"/>
      <c r="S15" s="51"/>
      <c r="T15" s="49"/>
      <c r="U15" s="49"/>
      <c r="V15" s="50"/>
      <c r="W15" s="51"/>
      <c r="X15" s="259"/>
      <c r="Y15" s="174"/>
      <c r="Z15" s="174"/>
      <c r="AA15" s="52" t="s">
        <v>8</v>
      </c>
    </row>
    <row r="16" spans="2:27">
      <c r="B16" s="382"/>
      <c r="C16" s="43" t="s">
        <v>54</v>
      </c>
      <c r="D16" s="47" t="s">
        <v>53</v>
      </c>
      <c r="E16" s="48" t="s">
        <v>53</v>
      </c>
      <c r="F16" s="49"/>
      <c r="G16" s="48" t="s">
        <v>53</v>
      </c>
      <c r="H16" s="48" t="s">
        <v>53</v>
      </c>
      <c r="I16" s="59"/>
      <c r="J16" s="59"/>
      <c r="K16" s="174"/>
      <c r="L16" s="50"/>
      <c r="M16" s="51"/>
      <c r="N16" s="49"/>
      <c r="O16" s="48" t="s">
        <v>8</v>
      </c>
      <c r="P16" s="49"/>
      <c r="Q16" s="49"/>
      <c r="R16" s="59"/>
      <c r="S16" s="51"/>
      <c r="T16" s="49"/>
      <c r="U16" s="49"/>
      <c r="V16" s="50"/>
      <c r="W16" s="51"/>
      <c r="X16" s="259"/>
      <c r="Y16" s="174"/>
      <c r="Z16" s="174"/>
      <c r="AA16" s="52" t="s">
        <v>8</v>
      </c>
    </row>
    <row r="17" spans="2:27">
      <c r="B17" s="382"/>
      <c r="C17" s="43" t="s">
        <v>402</v>
      </c>
      <c r="D17" s="49"/>
      <c r="E17" s="49"/>
      <c r="F17" s="49"/>
      <c r="G17" s="49"/>
      <c r="H17" s="48" t="s">
        <v>8</v>
      </c>
      <c r="I17" s="49"/>
      <c r="J17" s="59"/>
      <c r="K17" s="174"/>
      <c r="L17" s="50"/>
      <c r="M17" s="51"/>
      <c r="N17" s="49"/>
      <c r="O17" s="48" t="s">
        <v>8</v>
      </c>
      <c r="P17" s="49"/>
      <c r="Q17" s="49"/>
      <c r="R17" s="59"/>
      <c r="S17" s="51"/>
      <c r="T17" s="49"/>
      <c r="U17" s="49"/>
      <c r="V17" s="50"/>
      <c r="W17" s="51"/>
      <c r="X17" s="259"/>
      <c r="Y17" s="174"/>
      <c r="Z17" s="174"/>
      <c r="AA17" s="52" t="s">
        <v>8</v>
      </c>
    </row>
    <row r="18" spans="2:27">
      <c r="B18" s="382"/>
      <c r="C18" s="43" t="s">
        <v>403</v>
      </c>
      <c r="D18" s="49"/>
      <c r="E18" s="49"/>
      <c r="F18" s="49"/>
      <c r="G18" s="49"/>
      <c r="H18" s="48" t="s">
        <v>8</v>
      </c>
      <c r="I18" s="49"/>
      <c r="J18" s="59"/>
      <c r="K18" s="174"/>
      <c r="L18" s="50"/>
      <c r="M18" s="51"/>
      <c r="N18" s="49"/>
      <c r="O18" s="48" t="s">
        <v>8</v>
      </c>
      <c r="P18" s="49"/>
      <c r="Q18" s="49"/>
      <c r="R18" s="59"/>
      <c r="S18" s="51"/>
      <c r="T18" s="49"/>
      <c r="U18" s="49"/>
      <c r="V18" s="50"/>
      <c r="W18" s="51"/>
      <c r="X18" s="259"/>
      <c r="Y18" s="174"/>
      <c r="Z18" s="174"/>
      <c r="AA18" s="52" t="s">
        <v>8</v>
      </c>
    </row>
    <row r="19" spans="2:27">
      <c r="B19" s="382"/>
      <c r="C19" s="43" t="s">
        <v>404</v>
      </c>
      <c r="D19" s="49"/>
      <c r="E19" s="49"/>
      <c r="F19" s="49"/>
      <c r="G19" s="49"/>
      <c r="H19" s="48" t="s">
        <v>8</v>
      </c>
      <c r="I19" s="49"/>
      <c r="J19" s="59"/>
      <c r="K19" s="174"/>
      <c r="L19" s="50"/>
      <c r="M19" s="51"/>
      <c r="N19" s="49"/>
      <c r="O19" s="48" t="s">
        <v>8</v>
      </c>
      <c r="P19" s="49"/>
      <c r="Q19" s="49"/>
      <c r="R19" s="59"/>
      <c r="S19" s="51"/>
      <c r="T19" s="49"/>
      <c r="U19" s="49"/>
      <c r="V19" s="50"/>
      <c r="W19" s="51"/>
      <c r="X19" s="259"/>
      <c r="Y19" s="174"/>
      <c r="Z19" s="174"/>
      <c r="AA19" s="52" t="s">
        <v>8</v>
      </c>
    </row>
    <row r="20" spans="2:27">
      <c r="B20" s="382"/>
      <c r="C20" s="43" t="s">
        <v>405</v>
      </c>
      <c r="D20" s="49"/>
      <c r="E20" s="49"/>
      <c r="F20" s="49"/>
      <c r="G20" s="49"/>
      <c r="H20" s="48" t="s">
        <v>8</v>
      </c>
      <c r="I20" s="49"/>
      <c r="J20" s="59"/>
      <c r="K20" s="174"/>
      <c r="L20" s="50"/>
      <c r="M20" s="51"/>
      <c r="N20" s="49"/>
      <c r="O20" s="48" t="s">
        <v>8</v>
      </c>
      <c r="P20" s="49"/>
      <c r="Q20" s="49"/>
      <c r="R20" s="59"/>
      <c r="S20" s="51"/>
      <c r="T20" s="49"/>
      <c r="U20" s="49"/>
      <c r="V20" s="50"/>
      <c r="W20" s="51"/>
      <c r="X20" s="259"/>
      <c r="Y20" s="174"/>
      <c r="Z20" s="174"/>
      <c r="AA20" s="52" t="s">
        <v>8</v>
      </c>
    </row>
    <row r="21" spans="2:27">
      <c r="B21" s="380"/>
      <c r="C21" s="43" t="s">
        <v>406</v>
      </c>
      <c r="D21" s="49"/>
      <c r="E21" s="49"/>
      <c r="F21" s="49"/>
      <c r="G21" s="49"/>
      <c r="H21" s="48" t="s">
        <v>8</v>
      </c>
      <c r="I21" s="49"/>
      <c r="J21" s="59"/>
      <c r="K21" s="174"/>
      <c r="L21" s="50"/>
      <c r="M21" s="51"/>
      <c r="N21" s="49"/>
      <c r="O21" s="48" t="s">
        <v>8</v>
      </c>
      <c r="P21" s="49"/>
      <c r="Q21" s="49"/>
      <c r="R21" s="59"/>
      <c r="S21" s="51"/>
      <c r="T21" s="49"/>
      <c r="U21" s="49"/>
      <c r="V21" s="50"/>
      <c r="W21" s="51"/>
      <c r="X21" s="259"/>
      <c r="Y21" s="174"/>
      <c r="Z21" s="174"/>
      <c r="AA21" s="52" t="s">
        <v>8</v>
      </c>
    </row>
    <row r="22" spans="2:27">
      <c r="B22" s="372" t="s">
        <v>37</v>
      </c>
      <c r="C22" s="45" t="s">
        <v>38</v>
      </c>
      <c r="D22" s="55"/>
      <c r="E22" s="53"/>
      <c r="F22" s="53"/>
      <c r="G22" s="48" t="s">
        <v>53</v>
      </c>
      <c r="H22" s="53"/>
      <c r="I22" s="61"/>
      <c r="J22" s="61"/>
      <c r="K22" s="175"/>
      <c r="L22" s="54"/>
      <c r="M22" s="55"/>
      <c r="N22" s="53"/>
      <c r="O22" s="48" t="s">
        <v>8</v>
      </c>
      <c r="P22" s="53"/>
      <c r="Q22" s="53"/>
      <c r="R22" s="61"/>
      <c r="S22" s="55"/>
      <c r="T22" s="53"/>
      <c r="U22" s="53"/>
      <c r="V22" s="54"/>
      <c r="W22" s="55"/>
      <c r="X22" s="261"/>
      <c r="Y22" s="175"/>
      <c r="Z22" s="175"/>
      <c r="AA22" s="52" t="s">
        <v>8</v>
      </c>
    </row>
    <row r="23" spans="2:27">
      <c r="B23" s="373"/>
      <c r="C23" s="45" t="s">
        <v>39</v>
      </c>
      <c r="D23" s="55"/>
      <c r="E23" s="53"/>
      <c r="F23" s="53"/>
      <c r="G23" s="53"/>
      <c r="H23" s="48" t="s">
        <v>53</v>
      </c>
      <c r="I23" s="61"/>
      <c r="J23" s="61"/>
      <c r="K23" s="175"/>
      <c r="L23" s="54"/>
      <c r="M23" s="55"/>
      <c r="N23" s="53"/>
      <c r="O23" s="48" t="s">
        <v>8</v>
      </c>
      <c r="P23" s="53"/>
      <c r="Q23" s="53"/>
      <c r="R23" s="61"/>
      <c r="S23" s="55"/>
      <c r="T23" s="53"/>
      <c r="U23" s="53"/>
      <c r="V23" s="54"/>
      <c r="W23" s="55"/>
      <c r="X23" s="261"/>
      <c r="Y23" s="175"/>
      <c r="Z23" s="175"/>
      <c r="AA23" s="52" t="s">
        <v>8</v>
      </c>
    </row>
    <row r="24" spans="2:27">
      <c r="B24" s="373"/>
      <c r="C24" s="45" t="s">
        <v>407</v>
      </c>
      <c r="D24" s="55"/>
      <c r="E24" s="53"/>
      <c r="F24" s="53"/>
      <c r="G24" s="48" t="s">
        <v>8</v>
      </c>
      <c r="H24" s="53"/>
      <c r="I24" s="53"/>
      <c r="J24" s="61"/>
      <c r="K24" s="175"/>
      <c r="L24" s="54"/>
      <c r="M24" s="55"/>
      <c r="N24" s="53"/>
      <c r="O24" s="48" t="s">
        <v>8</v>
      </c>
      <c r="P24" s="53"/>
      <c r="Q24" s="53"/>
      <c r="R24" s="61"/>
      <c r="S24" s="55"/>
      <c r="T24" s="53"/>
      <c r="U24" s="53"/>
      <c r="V24" s="54"/>
      <c r="W24" s="55"/>
      <c r="X24" s="261"/>
      <c r="Y24" s="175"/>
      <c r="Z24" s="175"/>
      <c r="AA24" s="52" t="s">
        <v>8</v>
      </c>
    </row>
    <row r="25" spans="2:27">
      <c r="B25" s="374"/>
      <c r="C25" s="45" t="s">
        <v>408</v>
      </c>
      <c r="D25" s="55"/>
      <c r="E25" s="53"/>
      <c r="F25" s="53"/>
      <c r="G25" s="53"/>
      <c r="H25" s="48" t="s">
        <v>8</v>
      </c>
      <c r="I25" s="53"/>
      <c r="J25" s="61"/>
      <c r="K25" s="175"/>
      <c r="L25" s="54"/>
      <c r="M25" s="55"/>
      <c r="N25" s="53"/>
      <c r="O25" s="48" t="s">
        <v>8</v>
      </c>
      <c r="P25" s="53"/>
      <c r="Q25" s="53"/>
      <c r="R25" s="61"/>
      <c r="S25" s="55"/>
      <c r="T25" s="53"/>
      <c r="U25" s="53"/>
      <c r="V25" s="54"/>
      <c r="W25" s="55"/>
      <c r="X25" s="261"/>
      <c r="Y25" s="175"/>
      <c r="Z25" s="175"/>
      <c r="AA25" s="52" t="s">
        <v>8</v>
      </c>
    </row>
    <row r="26" spans="2:27">
      <c r="B26" s="46" t="s">
        <v>62</v>
      </c>
      <c r="C26" s="43" t="s">
        <v>1199</v>
      </c>
      <c r="D26" s="51"/>
      <c r="E26" s="49"/>
      <c r="F26" s="49"/>
      <c r="G26" s="49"/>
      <c r="H26" s="49"/>
      <c r="I26" s="49"/>
      <c r="J26" s="49"/>
      <c r="K26" s="174"/>
      <c r="L26" s="50"/>
      <c r="M26" s="47" t="s">
        <v>53</v>
      </c>
      <c r="N26" s="49"/>
      <c r="O26" s="58"/>
      <c r="P26" s="49"/>
      <c r="Q26" s="49"/>
      <c r="R26" s="59"/>
      <c r="S26" s="51"/>
      <c r="T26" s="49"/>
      <c r="U26" s="49"/>
      <c r="V26" s="50"/>
      <c r="W26" s="51"/>
      <c r="X26" s="259"/>
      <c r="Y26" s="174"/>
      <c r="Z26" s="259"/>
      <c r="AA26" s="257"/>
    </row>
    <row r="27" spans="2:27">
      <c r="B27" s="378" t="s">
        <v>55</v>
      </c>
      <c r="C27" s="45" t="s">
        <v>1346</v>
      </c>
      <c r="D27" s="55"/>
      <c r="E27" s="53"/>
      <c r="F27" s="48" t="s">
        <v>53</v>
      </c>
      <c r="G27" s="53"/>
      <c r="H27" s="53"/>
      <c r="I27" s="53"/>
      <c r="J27" s="61"/>
      <c r="K27" s="175"/>
      <c r="L27" s="54"/>
      <c r="M27" s="55"/>
      <c r="N27" s="53"/>
      <c r="O27" s="53"/>
      <c r="P27" s="53"/>
      <c r="Q27" s="48" t="s">
        <v>53</v>
      </c>
      <c r="R27" s="60" t="s">
        <v>53</v>
      </c>
      <c r="S27" s="55"/>
      <c r="T27" s="53"/>
      <c r="U27" s="53"/>
      <c r="V27" s="54"/>
      <c r="W27" s="55"/>
      <c r="X27" s="261"/>
      <c r="Y27" s="175"/>
      <c r="Z27" s="260" t="s">
        <v>8</v>
      </c>
      <c r="AA27" s="258"/>
    </row>
    <row r="28" spans="2:27">
      <c r="B28" s="379"/>
      <c r="C28" s="45" t="s">
        <v>1347</v>
      </c>
      <c r="D28" s="55"/>
      <c r="E28" s="53"/>
      <c r="F28" s="48" t="s">
        <v>53</v>
      </c>
      <c r="G28" s="53"/>
      <c r="H28" s="53"/>
      <c r="I28" s="53"/>
      <c r="J28" s="61"/>
      <c r="K28" s="175"/>
      <c r="L28" s="54"/>
      <c r="M28" s="55"/>
      <c r="N28" s="53"/>
      <c r="O28" s="53"/>
      <c r="P28" s="53"/>
      <c r="Q28" s="48" t="s">
        <v>53</v>
      </c>
      <c r="R28" s="60" t="s">
        <v>53</v>
      </c>
      <c r="S28" s="55"/>
      <c r="T28" s="53"/>
      <c r="U28" s="53"/>
      <c r="V28" s="54"/>
      <c r="W28" s="55"/>
      <c r="X28" s="261"/>
      <c r="Y28" s="175"/>
      <c r="Z28" s="260" t="s">
        <v>8</v>
      </c>
      <c r="AA28" s="258"/>
    </row>
    <row r="29" spans="2:27">
      <c r="B29" s="379"/>
      <c r="C29" s="45" t="s">
        <v>1348</v>
      </c>
      <c r="D29" s="55"/>
      <c r="E29" s="53"/>
      <c r="F29" s="48" t="s">
        <v>53</v>
      </c>
      <c r="G29" s="53"/>
      <c r="H29" s="53"/>
      <c r="I29" s="53"/>
      <c r="J29" s="61"/>
      <c r="K29" s="175"/>
      <c r="L29" s="54"/>
      <c r="M29" s="55"/>
      <c r="N29" s="53"/>
      <c r="O29" s="53"/>
      <c r="P29" s="53"/>
      <c r="Q29" s="48" t="s">
        <v>53</v>
      </c>
      <c r="R29" s="60" t="s">
        <v>53</v>
      </c>
      <c r="S29" s="55"/>
      <c r="T29" s="53"/>
      <c r="U29" s="53"/>
      <c r="V29" s="54"/>
      <c r="W29" s="55"/>
      <c r="X29" s="261"/>
      <c r="Y29" s="175"/>
      <c r="Z29" s="260" t="s">
        <v>8</v>
      </c>
      <c r="AA29" s="258"/>
    </row>
    <row r="30" spans="2:27">
      <c r="B30" s="371" t="s">
        <v>41</v>
      </c>
      <c r="C30" s="43" t="s">
        <v>42</v>
      </c>
      <c r="D30" s="289" t="s">
        <v>8</v>
      </c>
      <c r="E30" s="290" t="s">
        <v>8</v>
      </c>
      <c r="F30" s="48" t="s">
        <v>53</v>
      </c>
      <c r="G30" s="49"/>
      <c r="H30" s="49"/>
      <c r="I30" s="49"/>
      <c r="J30" s="59"/>
      <c r="K30" s="174"/>
      <c r="L30" s="50"/>
      <c r="M30" s="51"/>
      <c r="N30" s="49"/>
      <c r="O30" s="48" t="s">
        <v>53</v>
      </c>
      <c r="P30" s="49"/>
      <c r="Q30" s="48" t="s">
        <v>53</v>
      </c>
      <c r="R30" s="59"/>
      <c r="S30" s="51"/>
      <c r="T30" s="49"/>
      <c r="U30" s="49"/>
      <c r="V30" s="50"/>
      <c r="W30" s="51"/>
      <c r="X30" s="259"/>
      <c r="Y30" s="259"/>
      <c r="Z30" s="259"/>
      <c r="AA30" s="257"/>
    </row>
    <row r="31" spans="2:27">
      <c r="B31" s="371"/>
      <c r="C31" s="43" t="s">
        <v>43</v>
      </c>
      <c r="D31" s="289" t="s">
        <v>8</v>
      </c>
      <c r="E31" s="290" t="s">
        <v>8</v>
      </c>
      <c r="F31" s="48" t="s">
        <v>53</v>
      </c>
      <c r="G31" s="49"/>
      <c r="H31" s="49"/>
      <c r="I31" s="49"/>
      <c r="J31" s="59"/>
      <c r="K31" s="174"/>
      <c r="L31" s="50"/>
      <c r="M31" s="51"/>
      <c r="N31" s="49"/>
      <c r="O31" s="48" t="s">
        <v>53</v>
      </c>
      <c r="P31" s="49"/>
      <c r="Q31" s="48" t="s">
        <v>53</v>
      </c>
      <c r="R31" s="59"/>
      <c r="S31" s="51"/>
      <c r="T31" s="49"/>
      <c r="U31" s="49"/>
      <c r="V31" s="50"/>
      <c r="W31" s="51"/>
      <c r="X31" s="259"/>
      <c r="Y31" s="259"/>
      <c r="Z31" s="259"/>
      <c r="AA31" s="257"/>
    </row>
    <row r="32" spans="2:27">
      <c r="B32" s="371"/>
      <c r="C32" s="43" t="s">
        <v>44</v>
      </c>
      <c r="D32" s="289" t="s">
        <v>8</v>
      </c>
      <c r="E32" s="290" t="s">
        <v>8</v>
      </c>
      <c r="F32" s="48" t="s">
        <v>53</v>
      </c>
      <c r="G32" s="49"/>
      <c r="H32" s="49"/>
      <c r="I32" s="49"/>
      <c r="J32" s="59"/>
      <c r="K32" s="174"/>
      <c r="L32" s="50"/>
      <c r="M32" s="51"/>
      <c r="N32" s="49"/>
      <c r="O32" s="48" t="s">
        <v>53</v>
      </c>
      <c r="P32" s="49"/>
      <c r="Q32" s="48" t="s">
        <v>53</v>
      </c>
      <c r="R32" s="59"/>
      <c r="S32" s="51"/>
      <c r="T32" s="49"/>
      <c r="U32" s="49"/>
      <c r="V32" s="50"/>
      <c r="W32" s="51"/>
      <c r="X32" s="259"/>
      <c r="Y32" s="259"/>
      <c r="Z32" s="259"/>
      <c r="AA32" s="257"/>
    </row>
    <row r="33" spans="2:27">
      <c r="B33" s="371"/>
      <c r="C33" s="43" t="s">
        <v>45</v>
      </c>
      <c r="D33" s="289" t="s">
        <v>8</v>
      </c>
      <c r="E33" s="290" t="s">
        <v>8</v>
      </c>
      <c r="F33" s="48" t="s">
        <v>53</v>
      </c>
      <c r="G33" s="49"/>
      <c r="H33" s="49"/>
      <c r="I33" s="49"/>
      <c r="J33" s="59"/>
      <c r="K33" s="174"/>
      <c r="L33" s="50"/>
      <c r="M33" s="51"/>
      <c r="N33" s="49"/>
      <c r="O33" s="48" t="s">
        <v>53</v>
      </c>
      <c r="P33" s="49"/>
      <c r="Q33" s="48" t="s">
        <v>53</v>
      </c>
      <c r="R33" s="59"/>
      <c r="S33" s="51"/>
      <c r="T33" s="49"/>
      <c r="U33" s="49"/>
      <c r="V33" s="50"/>
      <c r="W33" s="51"/>
      <c r="X33" s="259"/>
      <c r="Y33" s="259"/>
      <c r="Z33" s="259"/>
      <c r="AA33" s="257"/>
    </row>
    <row r="34" spans="2:27">
      <c r="B34" s="44" t="s">
        <v>66</v>
      </c>
      <c r="C34" s="45" t="s">
        <v>77</v>
      </c>
      <c r="D34" s="55"/>
      <c r="E34" s="53"/>
      <c r="F34" s="53"/>
      <c r="G34" s="53"/>
      <c r="H34" s="53"/>
      <c r="I34" s="53"/>
      <c r="J34" s="61"/>
      <c r="K34" s="175"/>
      <c r="L34" s="54"/>
      <c r="M34" s="55"/>
      <c r="N34" s="53"/>
      <c r="O34" s="53"/>
      <c r="P34" s="53"/>
      <c r="Q34" s="53"/>
      <c r="R34" s="61"/>
      <c r="S34" s="55"/>
      <c r="T34" s="53"/>
      <c r="U34" s="53"/>
      <c r="V34" s="54"/>
      <c r="W34" s="55"/>
      <c r="X34" s="175"/>
      <c r="Y34" s="175"/>
      <c r="Z34" s="260" t="s">
        <v>8</v>
      </c>
      <c r="AA34" s="258"/>
    </row>
    <row r="35" spans="2:27">
      <c r="B35" s="371" t="s">
        <v>67</v>
      </c>
      <c r="C35" s="43"/>
      <c r="D35" s="51"/>
      <c r="E35" s="49"/>
      <c r="F35" s="49"/>
      <c r="G35" s="49"/>
      <c r="H35" s="49"/>
      <c r="I35" s="49"/>
      <c r="J35" s="59"/>
      <c r="K35" s="174"/>
      <c r="L35" s="50"/>
      <c r="M35" s="51"/>
      <c r="N35" s="49"/>
      <c r="O35" s="49"/>
      <c r="P35" s="49"/>
      <c r="Q35" s="49"/>
      <c r="R35" s="59"/>
      <c r="S35" s="51"/>
      <c r="T35" s="49"/>
      <c r="U35" s="49"/>
      <c r="V35" s="50"/>
      <c r="W35" s="51"/>
      <c r="X35" s="259"/>
      <c r="Y35" s="174"/>
      <c r="Z35" s="259"/>
      <c r="AA35" s="257"/>
    </row>
    <row r="36" spans="2:27">
      <c r="B36" s="371"/>
      <c r="C36" s="43"/>
      <c r="D36" s="51"/>
      <c r="E36" s="49"/>
      <c r="F36" s="49"/>
      <c r="G36" s="49"/>
      <c r="H36" s="49"/>
      <c r="I36" s="49"/>
      <c r="J36" s="59"/>
      <c r="K36" s="174"/>
      <c r="L36" s="50"/>
      <c r="M36" s="51"/>
      <c r="N36" s="49"/>
      <c r="O36" s="49"/>
      <c r="P36" s="49"/>
      <c r="Q36" s="49"/>
      <c r="R36" s="59"/>
      <c r="S36" s="51"/>
      <c r="T36" s="49"/>
      <c r="U36" s="49"/>
      <c r="V36" s="50"/>
      <c r="W36" s="51"/>
      <c r="X36" s="259"/>
      <c r="Y36" s="174"/>
      <c r="Z36" s="259"/>
      <c r="AA36" s="257"/>
    </row>
    <row r="37" spans="2:27">
      <c r="B37" s="44" t="s">
        <v>50</v>
      </c>
      <c r="C37" s="45" t="s">
        <v>50</v>
      </c>
      <c r="D37" s="55"/>
      <c r="E37" s="53"/>
      <c r="F37" s="53"/>
      <c r="G37" s="53"/>
      <c r="H37" s="48" t="s">
        <v>53</v>
      </c>
      <c r="I37" s="53"/>
      <c r="J37" s="61"/>
      <c r="K37" s="175"/>
      <c r="L37" s="54"/>
      <c r="M37" s="55"/>
      <c r="N37" s="53"/>
      <c r="O37" s="53"/>
      <c r="P37" s="53"/>
      <c r="Q37" s="53"/>
      <c r="R37" s="61"/>
      <c r="S37" s="55"/>
      <c r="T37" s="53"/>
      <c r="U37" s="53"/>
      <c r="V37" s="54"/>
      <c r="W37" s="55"/>
      <c r="X37" s="261"/>
      <c r="Y37" s="175"/>
      <c r="Z37" s="261"/>
      <c r="AA37" s="258"/>
    </row>
    <row r="38" spans="2:27">
      <c r="B38" s="371" t="s">
        <v>40</v>
      </c>
      <c r="C38" s="43" t="s">
        <v>70</v>
      </c>
      <c r="D38" s="51"/>
      <c r="E38" s="48" t="s">
        <v>53</v>
      </c>
      <c r="F38" s="49"/>
      <c r="G38" s="49"/>
      <c r="H38" s="49"/>
      <c r="I38" s="49"/>
      <c r="J38" s="59"/>
      <c r="K38" s="174"/>
      <c r="L38" s="50"/>
      <c r="M38" s="51"/>
      <c r="N38" s="48" t="s">
        <v>53</v>
      </c>
      <c r="O38" s="49"/>
      <c r="P38" s="49"/>
      <c r="Q38" s="48" t="s">
        <v>53</v>
      </c>
      <c r="R38" s="60" t="s">
        <v>53</v>
      </c>
      <c r="S38" s="51"/>
      <c r="T38" s="49"/>
      <c r="U38" s="49"/>
      <c r="V38" s="50"/>
      <c r="W38" s="51"/>
      <c r="X38" s="259"/>
      <c r="Y38" s="174"/>
      <c r="Z38" s="260" t="s">
        <v>8</v>
      </c>
      <c r="AA38" s="257"/>
    </row>
    <row r="39" spans="2:27">
      <c r="B39" s="371"/>
      <c r="C39" s="43" t="s">
        <v>69</v>
      </c>
      <c r="D39" s="51"/>
      <c r="E39" s="48" t="s">
        <v>53</v>
      </c>
      <c r="F39" s="49"/>
      <c r="G39" s="49"/>
      <c r="H39" s="49"/>
      <c r="I39" s="49"/>
      <c r="J39" s="59"/>
      <c r="K39" s="174"/>
      <c r="L39" s="50"/>
      <c r="M39" s="51"/>
      <c r="N39" s="48" t="s">
        <v>53</v>
      </c>
      <c r="O39" s="48" t="s">
        <v>53</v>
      </c>
      <c r="P39" s="49"/>
      <c r="Q39" s="49"/>
      <c r="R39" s="59"/>
      <c r="S39" s="51"/>
      <c r="T39" s="49"/>
      <c r="U39" s="49"/>
      <c r="V39" s="50"/>
      <c r="W39" s="51"/>
      <c r="X39" s="259"/>
      <c r="Y39" s="174"/>
      <c r="Z39" s="260" t="s">
        <v>8</v>
      </c>
      <c r="AA39" s="257"/>
    </row>
    <row r="40" spans="2:27">
      <c r="B40" s="372" t="s">
        <v>52</v>
      </c>
      <c r="C40" s="45" t="s">
        <v>76</v>
      </c>
      <c r="D40" s="55"/>
      <c r="E40" s="53"/>
      <c r="F40" s="53"/>
      <c r="G40" s="53"/>
      <c r="H40" s="53"/>
      <c r="I40" s="53"/>
      <c r="J40" s="48" t="s">
        <v>53</v>
      </c>
      <c r="K40" s="175"/>
      <c r="L40" s="54"/>
      <c r="M40" s="55"/>
      <c r="N40" s="53"/>
      <c r="O40" s="53"/>
      <c r="P40" s="53"/>
      <c r="Q40" s="48" t="s">
        <v>53</v>
      </c>
      <c r="R40" s="60" t="s">
        <v>53</v>
      </c>
      <c r="S40" s="47" t="s">
        <v>53</v>
      </c>
      <c r="T40" s="48" t="s">
        <v>53</v>
      </c>
      <c r="U40" s="53"/>
      <c r="V40" s="52" t="s">
        <v>53</v>
      </c>
      <c r="W40" s="55"/>
      <c r="X40" s="261"/>
      <c r="Y40" s="175"/>
      <c r="Z40" s="260" t="s">
        <v>8</v>
      </c>
      <c r="AA40" s="258"/>
    </row>
    <row r="41" spans="2:27">
      <c r="B41" s="373"/>
      <c r="C41" s="45" t="s">
        <v>75</v>
      </c>
      <c r="D41" s="55"/>
      <c r="E41" s="53"/>
      <c r="F41" s="53"/>
      <c r="G41" s="53"/>
      <c r="H41" s="53"/>
      <c r="I41" s="53"/>
      <c r="J41" s="48" t="s">
        <v>53</v>
      </c>
      <c r="K41" s="175"/>
      <c r="L41" s="54"/>
      <c r="M41" s="55"/>
      <c r="N41" s="53"/>
      <c r="O41" s="53"/>
      <c r="P41" s="53"/>
      <c r="Q41" s="48" t="s">
        <v>8</v>
      </c>
      <c r="R41" s="60" t="s">
        <v>53</v>
      </c>
      <c r="S41" s="47" t="s">
        <v>53</v>
      </c>
      <c r="T41" s="48" t="s">
        <v>53</v>
      </c>
      <c r="U41" s="53"/>
      <c r="V41" s="52" t="s">
        <v>53</v>
      </c>
      <c r="W41" s="55"/>
      <c r="X41" s="261"/>
      <c r="Y41" s="175"/>
      <c r="Z41" s="260" t="s">
        <v>8</v>
      </c>
      <c r="AA41" s="258"/>
    </row>
    <row r="42" spans="2:27">
      <c r="B42" s="373"/>
      <c r="C42" s="45" t="s">
        <v>74</v>
      </c>
      <c r="D42" s="55"/>
      <c r="E42" s="53"/>
      <c r="F42" s="53"/>
      <c r="G42" s="53"/>
      <c r="H42" s="53"/>
      <c r="I42" s="53"/>
      <c r="J42" s="48" t="s">
        <v>53</v>
      </c>
      <c r="K42" s="175"/>
      <c r="L42" s="54"/>
      <c r="M42" s="55"/>
      <c r="N42" s="53"/>
      <c r="O42" s="53"/>
      <c r="P42" s="53"/>
      <c r="Q42" s="48" t="s">
        <v>8</v>
      </c>
      <c r="R42" s="60" t="s">
        <v>53</v>
      </c>
      <c r="S42" s="47" t="s">
        <v>53</v>
      </c>
      <c r="T42" s="48" t="s">
        <v>53</v>
      </c>
      <c r="U42" s="53"/>
      <c r="V42" s="52" t="s">
        <v>53</v>
      </c>
      <c r="W42" s="55"/>
      <c r="X42" s="261"/>
      <c r="Y42" s="175"/>
      <c r="Z42" s="260" t="s">
        <v>8</v>
      </c>
      <c r="AA42" s="258"/>
    </row>
    <row r="43" spans="2:27">
      <c r="B43" s="373"/>
      <c r="C43" s="45" t="s">
        <v>513</v>
      </c>
      <c r="D43" s="55"/>
      <c r="E43" s="53"/>
      <c r="F43" s="53"/>
      <c r="G43" s="53"/>
      <c r="H43" s="53"/>
      <c r="I43" s="53"/>
      <c r="J43" s="48" t="s">
        <v>53</v>
      </c>
      <c r="K43" s="290" t="s">
        <v>8</v>
      </c>
      <c r="L43" s="54"/>
      <c r="M43" s="55"/>
      <c r="N43" s="53"/>
      <c r="O43" s="53"/>
      <c r="P43" s="53"/>
      <c r="Q43" s="48" t="s">
        <v>53</v>
      </c>
      <c r="R43" s="60" t="s">
        <v>53</v>
      </c>
      <c r="S43" s="47" t="s">
        <v>53</v>
      </c>
      <c r="T43" s="48" t="s">
        <v>53</v>
      </c>
      <c r="U43" s="53"/>
      <c r="V43" s="52" t="s">
        <v>53</v>
      </c>
      <c r="W43" s="55"/>
      <c r="X43" s="261"/>
      <c r="Y43" s="175"/>
      <c r="Z43" s="260" t="s">
        <v>8</v>
      </c>
      <c r="AA43" s="258"/>
    </row>
    <row r="44" spans="2:27">
      <c r="B44" s="373"/>
      <c r="C44" s="45" t="s">
        <v>514</v>
      </c>
      <c r="D44" s="55"/>
      <c r="E44" s="53"/>
      <c r="F44" s="53"/>
      <c r="G44" s="53"/>
      <c r="H44" s="53"/>
      <c r="I44" s="53"/>
      <c r="J44" s="61"/>
      <c r="K44" s="175"/>
      <c r="L44" s="54"/>
      <c r="M44" s="55"/>
      <c r="N44" s="53"/>
      <c r="O44" s="53"/>
      <c r="P44" s="53"/>
      <c r="Q44" s="48" t="s">
        <v>8</v>
      </c>
      <c r="R44" s="60" t="s">
        <v>53</v>
      </c>
      <c r="S44" s="55"/>
      <c r="T44" s="53"/>
      <c r="U44" s="53"/>
      <c r="V44" s="54"/>
      <c r="W44" s="55"/>
      <c r="X44" s="261"/>
      <c r="Y44" s="175"/>
      <c r="Z44" s="261"/>
      <c r="AA44" s="258"/>
    </row>
    <row r="45" spans="2:27">
      <c r="B45" s="373"/>
      <c r="C45" s="45" t="s">
        <v>515</v>
      </c>
      <c r="D45" s="55"/>
      <c r="E45" s="53"/>
      <c r="F45" s="53"/>
      <c r="G45" s="53"/>
      <c r="H45" s="53"/>
      <c r="I45" s="53"/>
      <c r="J45" s="61"/>
      <c r="K45" s="175"/>
      <c r="L45" s="54"/>
      <c r="M45" s="55"/>
      <c r="N45" s="53"/>
      <c r="O45" s="53"/>
      <c r="P45" s="53"/>
      <c r="Q45" s="48" t="s">
        <v>8</v>
      </c>
      <c r="R45" s="60" t="s">
        <v>53</v>
      </c>
      <c r="S45" s="55"/>
      <c r="T45" s="53"/>
      <c r="U45" s="53"/>
      <c r="V45" s="54"/>
      <c r="W45" s="55"/>
      <c r="X45" s="261"/>
      <c r="Y45" s="175"/>
      <c r="Z45" s="261"/>
      <c r="AA45" s="258"/>
    </row>
    <row r="46" spans="2:27">
      <c r="B46" s="374"/>
      <c r="C46" s="45" t="s">
        <v>516</v>
      </c>
      <c r="D46" s="55"/>
      <c r="E46" s="53"/>
      <c r="F46" s="53"/>
      <c r="G46" s="53"/>
      <c r="H46" s="53"/>
      <c r="I46" s="53"/>
      <c r="J46" s="61"/>
      <c r="K46" s="175"/>
      <c r="L46" s="54"/>
      <c r="M46" s="55"/>
      <c r="N46" s="53"/>
      <c r="O46" s="53"/>
      <c r="P46" s="53"/>
      <c r="Q46" s="48" t="s">
        <v>8</v>
      </c>
      <c r="R46" s="60" t="s">
        <v>53</v>
      </c>
      <c r="S46" s="55"/>
      <c r="T46" s="53"/>
      <c r="U46" s="53"/>
      <c r="V46" s="54"/>
      <c r="W46" s="55"/>
      <c r="X46" s="261"/>
      <c r="Y46" s="175"/>
      <c r="Z46" s="261"/>
      <c r="AA46" s="258"/>
    </row>
    <row r="47" spans="2:27">
      <c r="B47" s="101" t="s">
        <v>80</v>
      </c>
      <c r="C47" s="43" t="s">
        <v>79</v>
      </c>
      <c r="D47" s="51"/>
      <c r="E47" s="49"/>
      <c r="F47" s="49"/>
      <c r="G47" s="49"/>
      <c r="H47" s="49"/>
      <c r="I47" s="48" t="s">
        <v>53</v>
      </c>
      <c r="J47" s="49"/>
      <c r="K47" s="174"/>
      <c r="L47" s="50"/>
      <c r="M47" s="51"/>
      <c r="N47" s="49"/>
      <c r="O47" s="49"/>
      <c r="P47" s="49"/>
      <c r="Q47" s="49"/>
      <c r="R47" s="59"/>
      <c r="S47" s="51"/>
      <c r="T47" s="49"/>
      <c r="U47" s="49"/>
      <c r="V47" s="50"/>
      <c r="W47" s="51"/>
      <c r="X47" s="259"/>
      <c r="Y47" s="174"/>
      <c r="Z47" s="259"/>
      <c r="AA47" s="257"/>
    </row>
    <row r="48" spans="2:27">
      <c r="B48" s="372" t="s">
        <v>81</v>
      </c>
      <c r="C48" s="45" t="s">
        <v>82</v>
      </c>
      <c r="D48" s="47" t="s">
        <v>53</v>
      </c>
      <c r="E48" s="48" t="s">
        <v>53</v>
      </c>
      <c r="F48" s="53"/>
      <c r="G48" s="53"/>
      <c r="H48" s="53"/>
      <c r="I48" s="53"/>
      <c r="J48" s="61"/>
      <c r="K48" s="175"/>
      <c r="L48" s="54"/>
      <c r="M48" s="55"/>
      <c r="N48" s="53"/>
      <c r="O48" s="53"/>
      <c r="P48" s="53"/>
      <c r="Q48" s="48" t="s">
        <v>53</v>
      </c>
      <c r="R48" s="61"/>
      <c r="S48" s="55"/>
      <c r="T48" s="53"/>
      <c r="U48" s="53"/>
      <c r="V48" s="52" t="s">
        <v>269</v>
      </c>
      <c r="W48" s="55"/>
      <c r="X48" s="261"/>
      <c r="Y48" s="175"/>
      <c r="Z48" s="260" t="s">
        <v>8</v>
      </c>
      <c r="AA48" s="258"/>
    </row>
    <row r="49" spans="2:27">
      <c r="B49" s="373"/>
      <c r="C49" s="45" t="s">
        <v>1200</v>
      </c>
      <c r="D49" s="47" t="s">
        <v>53</v>
      </c>
      <c r="E49" s="48" t="s">
        <v>53</v>
      </c>
      <c r="F49" s="53"/>
      <c r="G49" s="53"/>
      <c r="H49" s="53"/>
      <c r="I49" s="53"/>
      <c r="J49" s="61"/>
      <c r="K49" s="175"/>
      <c r="L49" s="54"/>
      <c r="M49" s="55"/>
      <c r="N49" s="53"/>
      <c r="O49" s="53"/>
      <c r="P49" s="53"/>
      <c r="Q49" s="48" t="s">
        <v>53</v>
      </c>
      <c r="R49" s="61"/>
      <c r="S49" s="55"/>
      <c r="T49" s="53"/>
      <c r="U49" s="53"/>
      <c r="V49" s="52" t="s">
        <v>269</v>
      </c>
      <c r="W49" s="55"/>
      <c r="X49" s="261"/>
      <c r="Y49" s="175"/>
      <c r="Z49" s="260" t="s">
        <v>8</v>
      </c>
      <c r="AA49" s="258"/>
    </row>
    <row r="50" spans="2:27">
      <c r="B50" s="373"/>
      <c r="C50" s="45" t="s">
        <v>83</v>
      </c>
      <c r="D50" s="47" t="s">
        <v>53</v>
      </c>
      <c r="E50" s="48" t="s">
        <v>53</v>
      </c>
      <c r="F50" s="53"/>
      <c r="G50" s="53"/>
      <c r="H50" s="53"/>
      <c r="I50" s="53"/>
      <c r="J50" s="61"/>
      <c r="K50" s="175"/>
      <c r="L50" s="54"/>
      <c r="M50" s="55"/>
      <c r="N50" s="53"/>
      <c r="O50" s="53"/>
      <c r="P50" s="53"/>
      <c r="Q50" s="48" t="s">
        <v>53</v>
      </c>
      <c r="R50" s="61"/>
      <c r="S50" s="55"/>
      <c r="T50" s="53"/>
      <c r="U50" s="53"/>
      <c r="V50" s="52" t="s">
        <v>269</v>
      </c>
      <c r="W50" s="55"/>
      <c r="X50" s="261"/>
      <c r="Y50" s="175"/>
      <c r="Z50" s="260" t="s">
        <v>8</v>
      </c>
      <c r="AA50" s="258"/>
    </row>
    <row r="51" spans="2:27" ht="17.25" thickBot="1">
      <c r="B51" s="375"/>
      <c r="C51" s="106" t="s">
        <v>84</v>
      </c>
      <c r="D51" s="56" t="s">
        <v>53</v>
      </c>
      <c r="E51" s="57" t="s">
        <v>53</v>
      </c>
      <c r="F51" s="107"/>
      <c r="G51" s="107"/>
      <c r="H51" s="107"/>
      <c r="I51" s="107"/>
      <c r="J51" s="110"/>
      <c r="K51" s="110"/>
      <c r="L51" s="108"/>
      <c r="M51" s="109"/>
      <c r="N51" s="107"/>
      <c r="O51" s="107"/>
      <c r="P51" s="107"/>
      <c r="Q51" s="57" t="s">
        <v>53</v>
      </c>
      <c r="R51" s="124" t="s">
        <v>255</v>
      </c>
      <c r="S51" s="109"/>
      <c r="T51" s="107"/>
      <c r="U51" s="107"/>
      <c r="V51" s="128" t="s">
        <v>269</v>
      </c>
      <c r="W51" s="109"/>
      <c r="X51" s="107"/>
      <c r="Y51" s="110"/>
      <c r="Z51" s="272" t="s">
        <v>8</v>
      </c>
      <c r="AA51" s="262"/>
    </row>
  </sheetData>
  <mergeCells count="15">
    <mergeCell ref="W2:AA2"/>
    <mergeCell ref="B35:B36"/>
    <mergeCell ref="B40:B46"/>
    <mergeCell ref="B48:B51"/>
    <mergeCell ref="D2:L2"/>
    <mergeCell ref="M2:R2"/>
    <mergeCell ref="S2:V2"/>
    <mergeCell ref="B2:C3"/>
    <mergeCell ref="B27:B29"/>
    <mergeCell ref="B30:B33"/>
    <mergeCell ref="B38:B39"/>
    <mergeCell ref="B4:B9"/>
    <mergeCell ref="B10:B11"/>
    <mergeCell ref="B12:B21"/>
    <mergeCell ref="B22:B25"/>
  </mergeCells>
  <phoneticPr fontId="2" type="noConversion"/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72"/>
  <sheetViews>
    <sheetView workbookViewId="0">
      <pane ySplit="3" topLeftCell="A4" activePane="bottomLeft" state="frozen"/>
      <selection pane="bottomLeft" activeCell="N23" sqref="N23:N24"/>
    </sheetView>
  </sheetViews>
  <sheetFormatPr defaultRowHeight="16.5"/>
  <cols>
    <col min="1" max="2" width="9" style="11"/>
    <col min="3" max="3" width="9.5" style="11" bestFit="1" customWidth="1"/>
    <col min="4" max="4" width="15.625" style="11" customWidth="1"/>
    <col min="5" max="5" width="30.625" style="11" customWidth="1"/>
    <col min="6" max="7" width="9" style="11"/>
    <col min="8" max="8" width="10.625" style="11" customWidth="1"/>
    <col min="9" max="9" width="2.625" style="11" customWidth="1"/>
    <col min="10" max="10" width="15.625" style="11" customWidth="1"/>
    <col min="11" max="11" width="30.625" style="11" customWidth="1"/>
    <col min="12" max="13" width="9" style="11"/>
    <col min="14" max="14" width="10.625" style="11" customWidth="1"/>
    <col min="15" max="16384" width="9" style="11"/>
  </cols>
  <sheetData>
    <row r="2" spans="2:14">
      <c r="C2" s="410" t="s">
        <v>351</v>
      </c>
      <c r="D2" s="412" t="s">
        <v>291</v>
      </c>
      <c r="E2" s="412"/>
      <c r="F2" s="412"/>
      <c r="G2" s="412"/>
      <c r="H2" s="412"/>
      <c r="J2" s="413" t="s">
        <v>292</v>
      </c>
      <c r="K2" s="413"/>
      <c r="L2" s="413"/>
      <c r="M2" s="413"/>
      <c r="N2" s="413"/>
    </row>
    <row r="3" spans="2:14">
      <c r="C3" s="411"/>
      <c r="D3" s="130" t="s">
        <v>293</v>
      </c>
      <c r="E3" s="130" t="s">
        <v>294</v>
      </c>
      <c r="F3" s="130" t="s">
        <v>295</v>
      </c>
      <c r="G3" s="130" t="s">
        <v>296</v>
      </c>
      <c r="H3" s="130" t="s">
        <v>297</v>
      </c>
      <c r="J3" s="130" t="s">
        <v>293</v>
      </c>
      <c r="K3" s="130" t="s">
        <v>294</v>
      </c>
      <c r="L3" s="130" t="s">
        <v>295</v>
      </c>
      <c r="M3" s="130" t="s">
        <v>296</v>
      </c>
      <c r="N3" s="130" t="s">
        <v>297</v>
      </c>
    </row>
    <row r="4" spans="2:14">
      <c r="B4" s="414" t="s">
        <v>298</v>
      </c>
      <c r="C4" s="415" t="s">
        <v>352</v>
      </c>
      <c r="D4" s="415" t="s">
        <v>299</v>
      </c>
      <c r="E4" s="30" t="s">
        <v>300</v>
      </c>
      <c r="F4" s="415">
        <v>1</v>
      </c>
      <c r="G4" s="415">
        <v>3</v>
      </c>
      <c r="H4" s="416">
        <v>0.9</v>
      </c>
      <c r="J4" s="417" t="s">
        <v>301</v>
      </c>
      <c r="K4" s="417" t="s">
        <v>301</v>
      </c>
      <c r="L4" s="417" t="s">
        <v>301</v>
      </c>
      <c r="M4" s="417" t="s">
        <v>301</v>
      </c>
      <c r="N4" s="417" t="s">
        <v>301</v>
      </c>
    </row>
    <row r="5" spans="2:14">
      <c r="B5" s="414"/>
      <c r="C5" s="415"/>
      <c r="D5" s="415"/>
      <c r="E5" s="30" t="s">
        <v>302</v>
      </c>
      <c r="F5" s="415"/>
      <c r="G5" s="415"/>
      <c r="H5" s="416"/>
      <c r="J5" s="417"/>
      <c r="K5" s="417"/>
      <c r="L5" s="417"/>
      <c r="M5" s="417"/>
      <c r="N5" s="417"/>
    </row>
    <row r="6" spans="2:14">
      <c r="B6" s="414"/>
      <c r="C6" s="415"/>
      <c r="D6" s="415"/>
      <c r="E6" s="30" t="s">
        <v>303</v>
      </c>
      <c r="F6" s="415"/>
      <c r="G6" s="415"/>
      <c r="H6" s="416"/>
      <c r="J6" s="417"/>
      <c r="K6" s="417"/>
      <c r="L6" s="417"/>
      <c r="M6" s="417"/>
      <c r="N6" s="417"/>
    </row>
    <row r="7" spans="2:14">
      <c r="B7" s="414"/>
      <c r="C7" s="415"/>
      <c r="D7" s="415"/>
      <c r="E7" s="30" t="s">
        <v>304</v>
      </c>
      <c r="F7" s="415"/>
      <c r="G7" s="415"/>
      <c r="H7" s="416"/>
      <c r="J7" s="417"/>
      <c r="K7" s="417"/>
      <c r="L7" s="417"/>
      <c r="M7" s="417"/>
      <c r="N7" s="417"/>
    </row>
    <row r="8" spans="2:14">
      <c r="B8" s="414"/>
      <c r="C8" s="415"/>
      <c r="D8" s="415"/>
      <c r="E8" s="30" t="s">
        <v>305</v>
      </c>
      <c r="F8" s="415"/>
      <c r="G8" s="415"/>
      <c r="H8" s="416"/>
      <c r="J8" s="417"/>
      <c r="K8" s="417"/>
      <c r="L8" s="417"/>
      <c r="M8" s="417"/>
      <c r="N8" s="417"/>
    </row>
    <row r="9" spans="2:14">
      <c r="B9" s="414"/>
      <c r="C9" s="415"/>
      <c r="D9" s="415"/>
      <c r="E9" s="30" t="s">
        <v>306</v>
      </c>
      <c r="F9" s="415"/>
      <c r="G9" s="415"/>
      <c r="H9" s="416"/>
      <c r="J9" s="417"/>
      <c r="K9" s="417"/>
      <c r="L9" s="417"/>
      <c r="M9" s="417"/>
      <c r="N9" s="417"/>
    </row>
    <row r="10" spans="2:14">
      <c r="B10" s="414"/>
      <c r="C10" s="415"/>
      <c r="D10" s="415" t="s">
        <v>307</v>
      </c>
      <c r="E10" s="30" t="s">
        <v>308</v>
      </c>
      <c r="F10" s="415"/>
      <c r="G10" s="415"/>
      <c r="H10" s="416">
        <v>0.1</v>
      </c>
      <c r="J10" s="417"/>
      <c r="K10" s="417"/>
      <c r="L10" s="417"/>
      <c r="M10" s="417"/>
      <c r="N10" s="417"/>
    </row>
    <row r="11" spans="2:14">
      <c r="B11" s="414"/>
      <c r="C11" s="415"/>
      <c r="D11" s="415"/>
      <c r="E11" s="30" t="s">
        <v>309</v>
      </c>
      <c r="F11" s="415"/>
      <c r="G11" s="415"/>
      <c r="H11" s="415"/>
      <c r="J11" s="417"/>
      <c r="K11" s="417"/>
      <c r="L11" s="417"/>
      <c r="M11" s="417"/>
      <c r="N11" s="417"/>
    </row>
    <row r="12" spans="2:14">
      <c r="B12" s="414"/>
      <c r="C12" s="415"/>
      <c r="D12" s="415"/>
      <c r="E12" s="30" t="s">
        <v>310</v>
      </c>
      <c r="F12" s="415"/>
      <c r="G12" s="415"/>
      <c r="H12" s="415"/>
      <c r="J12" s="417"/>
      <c r="K12" s="417"/>
      <c r="L12" s="417"/>
      <c r="M12" s="417"/>
      <c r="N12" s="417"/>
    </row>
    <row r="13" spans="2:14">
      <c r="B13" s="414"/>
      <c r="C13" s="415"/>
      <c r="D13" s="415"/>
      <c r="E13" s="30" t="s">
        <v>311</v>
      </c>
      <c r="F13" s="415"/>
      <c r="G13" s="415"/>
      <c r="H13" s="415"/>
      <c r="J13" s="417"/>
      <c r="K13" s="417"/>
      <c r="L13" s="417"/>
      <c r="M13" s="417"/>
      <c r="N13" s="417"/>
    </row>
    <row r="15" spans="2:14">
      <c r="B15" s="406" t="s">
        <v>312</v>
      </c>
      <c r="C15" s="407" t="s">
        <v>353</v>
      </c>
      <c r="D15" s="406" t="s">
        <v>313</v>
      </c>
      <c r="E15" s="134" t="s">
        <v>314</v>
      </c>
      <c r="F15" s="406">
        <v>2</v>
      </c>
      <c r="G15" s="406">
        <v>3</v>
      </c>
      <c r="H15" s="409">
        <v>0.9</v>
      </c>
      <c r="J15" s="408" t="s">
        <v>315</v>
      </c>
      <c r="K15" s="418" t="s">
        <v>316</v>
      </c>
      <c r="L15" s="408">
        <v>1</v>
      </c>
      <c r="M15" s="408">
        <v>1</v>
      </c>
      <c r="N15" s="409">
        <v>0.33</v>
      </c>
    </row>
    <row r="16" spans="2:14">
      <c r="B16" s="406"/>
      <c r="C16" s="408"/>
      <c r="D16" s="406"/>
      <c r="E16" s="134" t="s">
        <v>302</v>
      </c>
      <c r="F16" s="406"/>
      <c r="G16" s="406"/>
      <c r="H16" s="409"/>
      <c r="J16" s="408"/>
      <c r="K16" s="418"/>
      <c r="L16" s="408"/>
      <c r="M16" s="408"/>
      <c r="N16" s="409"/>
    </row>
    <row r="17" spans="2:14">
      <c r="B17" s="406"/>
      <c r="C17" s="408"/>
      <c r="D17" s="406"/>
      <c r="E17" s="134" t="s">
        <v>303</v>
      </c>
      <c r="F17" s="406"/>
      <c r="G17" s="406"/>
      <c r="H17" s="409"/>
      <c r="J17" s="408"/>
      <c r="K17" s="418"/>
      <c r="L17" s="408"/>
      <c r="M17" s="408"/>
      <c r="N17" s="409"/>
    </row>
    <row r="18" spans="2:14">
      <c r="B18" s="406"/>
      <c r="C18" s="408"/>
      <c r="D18" s="406"/>
      <c r="E18" s="134" t="s">
        <v>317</v>
      </c>
      <c r="F18" s="406"/>
      <c r="G18" s="406"/>
      <c r="H18" s="409"/>
      <c r="J18" s="408"/>
      <c r="K18" s="418"/>
      <c r="L18" s="408"/>
      <c r="M18" s="408"/>
      <c r="N18" s="409"/>
    </row>
    <row r="19" spans="2:14">
      <c r="B19" s="406"/>
      <c r="C19" s="408"/>
      <c r="D19" s="406"/>
      <c r="E19" s="134" t="s">
        <v>318</v>
      </c>
      <c r="F19" s="406"/>
      <c r="G19" s="406"/>
      <c r="H19" s="409"/>
      <c r="J19" s="408"/>
      <c r="K19" s="418"/>
      <c r="L19" s="408"/>
      <c r="M19" s="408"/>
      <c r="N19" s="409"/>
    </row>
    <row r="20" spans="2:14">
      <c r="B20" s="406"/>
      <c r="C20" s="408"/>
      <c r="D20" s="406"/>
      <c r="E20" s="134" t="s">
        <v>319</v>
      </c>
      <c r="F20" s="406"/>
      <c r="G20" s="406"/>
      <c r="H20" s="409"/>
      <c r="J20" s="408"/>
      <c r="K20" s="418"/>
      <c r="L20" s="408"/>
      <c r="M20" s="408"/>
      <c r="N20" s="409"/>
    </row>
    <row r="21" spans="2:14">
      <c r="B21" s="406"/>
      <c r="C21" s="408"/>
      <c r="D21" s="406" t="s">
        <v>320</v>
      </c>
      <c r="E21" s="134" t="s">
        <v>321</v>
      </c>
      <c r="F21" s="406"/>
      <c r="G21" s="406"/>
      <c r="H21" s="409">
        <v>0.1</v>
      </c>
      <c r="J21" s="408"/>
      <c r="K21" s="418"/>
      <c r="L21" s="408"/>
      <c r="M21" s="408"/>
      <c r="N21" s="409"/>
    </row>
    <row r="22" spans="2:14">
      <c r="B22" s="406"/>
      <c r="C22" s="408"/>
      <c r="D22" s="406"/>
      <c r="E22" s="134" t="s">
        <v>309</v>
      </c>
      <c r="F22" s="406"/>
      <c r="G22" s="406"/>
      <c r="H22" s="409"/>
      <c r="J22" s="408"/>
      <c r="K22" s="418"/>
      <c r="L22" s="408"/>
      <c r="M22" s="408"/>
      <c r="N22" s="409"/>
    </row>
    <row r="23" spans="2:14">
      <c r="B23" s="406"/>
      <c r="C23" s="408"/>
      <c r="D23" s="406"/>
      <c r="E23" s="134" t="s">
        <v>310</v>
      </c>
      <c r="F23" s="406"/>
      <c r="G23" s="406"/>
      <c r="H23" s="409"/>
      <c r="J23" s="406" t="s">
        <v>370</v>
      </c>
      <c r="K23" s="134" t="s">
        <v>371</v>
      </c>
      <c r="L23" s="163">
        <v>2</v>
      </c>
      <c r="M23" s="163">
        <v>5</v>
      </c>
      <c r="N23" s="409">
        <v>0.5</v>
      </c>
    </row>
    <row r="24" spans="2:14">
      <c r="B24" s="406"/>
      <c r="C24" s="408"/>
      <c r="D24" s="406"/>
      <c r="E24" s="134" t="s">
        <v>311</v>
      </c>
      <c r="F24" s="406"/>
      <c r="G24" s="406"/>
      <c r="H24" s="409"/>
      <c r="J24" s="406"/>
      <c r="K24" s="134" t="s">
        <v>372</v>
      </c>
      <c r="L24" s="163">
        <v>3</v>
      </c>
      <c r="M24" s="163">
        <v>7</v>
      </c>
      <c r="N24" s="409"/>
    </row>
    <row r="26" spans="2:14" ht="16.5" customHeight="1">
      <c r="B26" s="400" t="s">
        <v>322</v>
      </c>
      <c r="C26" s="403" t="s">
        <v>354</v>
      </c>
      <c r="D26" s="399" t="s">
        <v>323</v>
      </c>
      <c r="E26" s="135" t="s">
        <v>324</v>
      </c>
      <c r="F26" s="99">
        <v>1</v>
      </c>
      <c r="G26" s="99">
        <v>1</v>
      </c>
      <c r="H26" s="136">
        <v>1</v>
      </c>
      <c r="J26" s="397" t="s">
        <v>301</v>
      </c>
      <c r="K26" s="397" t="s">
        <v>301</v>
      </c>
      <c r="L26" s="397" t="s">
        <v>301</v>
      </c>
      <c r="M26" s="397" t="s">
        <v>301</v>
      </c>
      <c r="N26" s="397" t="s">
        <v>301</v>
      </c>
    </row>
    <row r="27" spans="2:14">
      <c r="B27" s="401"/>
      <c r="C27" s="404"/>
      <c r="D27" s="399"/>
      <c r="E27" s="135" t="s">
        <v>128</v>
      </c>
      <c r="F27" s="99">
        <v>2</v>
      </c>
      <c r="G27" s="99">
        <v>2</v>
      </c>
      <c r="H27" s="136">
        <v>1</v>
      </c>
      <c r="J27" s="397"/>
      <c r="K27" s="397"/>
      <c r="L27" s="397"/>
      <c r="M27" s="397"/>
      <c r="N27" s="397"/>
    </row>
    <row r="28" spans="2:14">
      <c r="B28" s="401"/>
      <c r="C28" s="404"/>
      <c r="D28" s="399"/>
      <c r="E28" s="135" t="s">
        <v>129</v>
      </c>
      <c r="F28" s="99">
        <v>3</v>
      </c>
      <c r="G28" s="99">
        <v>3</v>
      </c>
      <c r="H28" s="136">
        <v>1</v>
      </c>
      <c r="J28" s="397"/>
      <c r="K28" s="397"/>
      <c r="L28" s="397"/>
      <c r="M28" s="397"/>
      <c r="N28" s="397"/>
    </row>
    <row r="29" spans="2:14">
      <c r="B29" s="401"/>
      <c r="C29" s="404"/>
      <c r="D29" s="399"/>
      <c r="E29" s="135" t="s">
        <v>130</v>
      </c>
      <c r="F29" s="99">
        <v>4</v>
      </c>
      <c r="G29" s="99">
        <v>4</v>
      </c>
      <c r="H29" s="136">
        <v>1</v>
      </c>
      <c r="J29" s="397"/>
      <c r="K29" s="397"/>
      <c r="L29" s="397"/>
      <c r="M29" s="397"/>
      <c r="N29" s="397"/>
    </row>
    <row r="30" spans="2:14">
      <c r="B30" s="401"/>
      <c r="C30" s="404"/>
      <c r="D30" s="399"/>
      <c r="E30" s="135" t="s">
        <v>131</v>
      </c>
      <c r="F30" s="99">
        <v>5</v>
      </c>
      <c r="G30" s="99">
        <v>5</v>
      </c>
      <c r="H30" s="136">
        <v>1</v>
      </c>
      <c r="J30" s="397"/>
      <c r="K30" s="397"/>
      <c r="L30" s="397"/>
      <c r="M30" s="397"/>
      <c r="N30" s="397"/>
    </row>
    <row r="31" spans="2:14">
      <c r="B31" s="401"/>
      <c r="C31" s="404"/>
      <c r="D31" s="399"/>
      <c r="E31" s="135" t="s">
        <v>132</v>
      </c>
      <c r="F31" s="99">
        <v>6</v>
      </c>
      <c r="G31" s="99">
        <v>6</v>
      </c>
      <c r="H31" s="136">
        <v>1</v>
      </c>
      <c r="J31" s="397"/>
      <c r="K31" s="397"/>
      <c r="L31" s="397"/>
      <c r="M31" s="397"/>
      <c r="N31" s="397"/>
    </row>
    <row r="32" spans="2:14">
      <c r="B32" s="401"/>
      <c r="C32" s="404"/>
      <c r="D32" s="398" t="s">
        <v>325</v>
      </c>
      <c r="E32" s="142" t="s">
        <v>133</v>
      </c>
      <c r="F32" s="143">
        <v>4</v>
      </c>
      <c r="G32" s="143">
        <v>4</v>
      </c>
      <c r="H32" s="144">
        <v>1</v>
      </c>
      <c r="J32" s="397"/>
      <c r="K32" s="397"/>
      <c r="L32" s="397"/>
      <c r="M32" s="397"/>
      <c r="N32" s="397"/>
    </row>
    <row r="33" spans="2:14">
      <c r="B33" s="401"/>
      <c r="C33" s="404"/>
      <c r="D33" s="398"/>
      <c r="E33" s="142" t="s">
        <v>134</v>
      </c>
      <c r="F33" s="143">
        <v>10</v>
      </c>
      <c r="G33" s="143">
        <v>10</v>
      </c>
      <c r="H33" s="144">
        <v>1</v>
      </c>
      <c r="J33" s="397"/>
      <c r="K33" s="397"/>
      <c r="L33" s="397"/>
      <c r="M33" s="397"/>
      <c r="N33" s="397"/>
    </row>
    <row r="34" spans="2:14">
      <c r="B34" s="401"/>
      <c r="C34" s="404"/>
      <c r="D34" s="398"/>
      <c r="E34" s="142" t="s">
        <v>135</v>
      </c>
      <c r="F34" s="143">
        <v>14</v>
      </c>
      <c r="G34" s="143">
        <v>14</v>
      </c>
      <c r="H34" s="144">
        <v>1</v>
      </c>
      <c r="J34" s="397"/>
      <c r="K34" s="397"/>
      <c r="L34" s="397"/>
      <c r="M34" s="397"/>
      <c r="N34" s="397"/>
    </row>
    <row r="35" spans="2:14">
      <c r="B35" s="401"/>
      <c r="C35" s="404"/>
      <c r="D35" s="398"/>
      <c r="E35" s="142" t="s">
        <v>136</v>
      </c>
      <c r="F35" s="143">
        <v>20</v>
      </c>
      <c r="G35" s="143">
        <v>20</v>
      </c>
      <c r="H35" s="144">
        <v>1</v>
      </c>
      <c r="J35" s="397"/>
      <c r="K35" s="397"/>
      <c r="L35" s="397"/>
      <c r="M35" s="397"/>
      <c r="N35" s="397"/>
    </row>
    <row r="36" spans="2:14">
      <c r="B36" s="401"/>
      <c r="C36" s="404"/>
      <c r="D36" s="398"/>
      <c r="E36" s="142" t="s">
        <v>137</v>
      </c>
      <c r="F36" s="143">
        <v>24</v>
      </c>
      <c r="G36" s="143">
        <v>24</v>
      </c>
      <c r="H36" s="144">
        <v>1</v>
      </c>
      <c r="J36" s="397"/>
      <c r="K36" s="397"/>
      <c r="L36" s="397"/>
      <c r="M36" s="397"/>
      <c r="N36" s="397"/>
    </row>
    <row r="37" spans="2:14">
      <c r="B37" s="401"/>
      <c r="C37" s="404"/>
      <c r="D37" s="398"/>
      <c r="E37" s="142" t="s">
        <v>138</v>
      </c>
      <c r="F37" s="143">
        <v>30</v>
      </c>
      <c r="G37" s="143">
        <v>30</v>
      </c>
      <c r="H37" s="144">
        <v>1</v>
      </c>
      <c r="J37" s="397"/>
      <c r="K37" s="397"/>
      <c r="L37" s="397"/>
      <c r="M37" s="397"/>
      <c r="N37" s="397"/>
    </row>
    <row r="38" spans="2:14">
      <c r="B38" s="401"/>
      <c r="C38" s="404"/>
      <c r="D38" s="399" t="s">
        <v>326</v>
      </c>
      <c r="E38" s="135" t="s">
        <v>327</v>
      </c>
      <c r="F38" s="99">
        <v>2</v>
      </c>
      <c r="G38" s="99">
        <v>2</v>
      </c>
      <c r="H38" s="136">
        <v>1</v>
      </c>
      <c r="J38" s="397"/>
      <c r="K38" s="397"/>
      <c r="L38" s="397"/>
      <c r="M38" s="397"/>
      <c r="N38" s="397"/>
    </row>
    <row r="39" spans="2:14">
      <c r="B39" s="401"/>
      <c r="C39" s="404"/>
      <c r="D39" s="399"/>
      <c r="E39" s="135" t="s">
        <v>140</v>
      </c>
      <c r="F39" s="99">
        <v>4</v>
      </c>
      <c r="G39" s="99">
        <v>4</v>
      </c>
      <c r="H39" s="136">
        <v>1</v>
      </c>
      <c r="J39" s="397"/>
      <c r="K39" s="397"/>
      <c r="L39" s="397"/>
      <c r="M39" s="397"/>
      <c r="N39" s="397"/>
    </row>
    <row r="40" spans="2:14">
      <c r="B40" s="401"/>
      <c r="C40" s="404"/>
      <c r="D40" s="399"/>
      <c r="E40" s="135" t="s">
        <v>141</v>
      </c>
      <c r="F40" s="99">
        <v>6</v>
      </c>
      <c r="G40" s="99">
        <v>6</v>
      </c>
      <c r="H40" s="136">
        <v>1</v>
      </c>
      <c r="J40" s="397"/>
      <c r="K40" s="397"/>
      <c r="L40" s="397"/>
      <c r="M40" s="397"/>
      <c r="N40" s="397"/>
    </row>
    <row r="41" spans="2:14">
      <c r="B41" s="401"/>
      <c r="C41" s="404"/>
      <c r="D41" s="399"/>
      <c r="E41" s="135" t="s">
        <v>142</v>
      </c>
      <c r="F41" s="99">
        <v>8</v>
      </c>
      <c r="G41" s="99">
        <v>8</v>
      </c>
      <c r="H41" s="136">
        <v>1</v>
      </c>
      <c r="J41" s="397"/>
      <c r="K41" s="397"/>
      <c r="L41" s="397"/>
      <c r="M41" s="397"/>
      <c r="N41" s="397"/>
    </row>
    <row r="42" spans="2:14">
      <c r="B42" s="401"/>
      <c r="C42" s="404"/>
      <c r="D42" s="399"/>
      <c r="E42" s="135" t="s">
        <v>143</v>
      </c>
      <c r="F42" s="99">
        <v>10</v>
      </c>
      <c r="G42" s="99">
        <v>10</v>
      </c>
      <c r="H42" s="136">
        <v>1</v>
      </c>
      <c r="J42" s="397"/>
      <c r="K42" s="397"/>
      <c r="L42" s="397"/>
      <c r="M42" s="397"/>
      <c r="N42" s="397"/>
    </row>
    <row r="43" spans="2:14">
      <c r="B43" s="401"/>
      <c r="C43" s="404"/>
      <c r="D43" s="399"/>
      <c r="E43" s="135" t="s">
        <v>144</v>
      </c>
      <c r="F43" s="99">
        <v>12</v>
      </c>
      <c r="G43" s="99">
        <v>12</v>
      </c>
      <c r="H43" s="136">
        <v>1</v>
      </c>
      <c r="J43" s="397"/>
      <c r="K43" s="397"/>
      <c r="L43" s="397"/>
      <c r="M43" s="397"/>
      <c r="N43" s="397"/>
    </row>
    <row r="44" spans="2:14">
      <c r="B44" s="401"/>
      <c r="C44" s="404"/>
      <c r="D44" s="398" t="s">
        <v>328</v>
      </c>
      <c r="E44" s="145" t="s">
        <v>329</v>
      </c>
      <c r="F44" s="300">
        <v>2</v>
      </c>
      <c r="G44" s="300">
        <v>3</v>
      </c>
      <c r="H44" s="144">
        <v>1</v>
      </c>
      <c r="J44" s="397"/>
      <c r="K44" s="397"/>
      <c r="L44" s="397"/>
      <c r="M44" s="397"/>
      <c r="N44" s="397"/>
    </row>
    <row r="45" spans="2:14">
      <c r="B45" s="401"/>
      <c r="C45" s="404"/>
      <c r="D45" s="398"/>
      <c r="E45" s="145" t="s">
        <v>145</v>
      </c>
      <c r="F45" s="300">
        <v>2</v>
      </c>
      <c r="G45" s="300">
        <v>3</v>
      </c>
      <c r="H45" s="144">
        <v>1</v>
      </c>
      <c r="J45" s="397"/>
      <c r="K45" s="397"/>
      <c r="L45" s="397"/>
      <c r="M45" s="397"/>
      <c r="N45" s="397"/>
    </row>
    <row r="46" spans="2:14">
      <c r="B46" s="401"/>
      <c r="C46" s="404"/>
      <c r="D46" s="398"/>
      <c r="E46" s="145" t="s">
        <v>146</v>
      </c>
      <c r="F46" s="300">
        <v>3</v>
      </c>
      <c r="G46" s="300">
        <v>4</v>
      </c>
      <c r="H46" s="144">
        <v>1</v>
      </c>
      <c r="J46" s="397"/>
      <c r="K46" s="397"/>
      <c r="L46" s="397"/>
      <c r="M46" s="397"/>
      <c r="N46" s="397"/>
    </row>
    <row r="47" spans="2:14">
      <c r="B47" s="401"/>
      <c r="C47" s="404"/>
      <c r="D47" s="398"/>
      <c r="E47" s="145" t="s">
        <v>147</v>
      </c>
      <c r="F47" s="300">
        <v>3</v>
      </c>
      <c r="G47" s="300">
        <v>4</v>
      </c>
      <c r="H47" s="144">
        <v>1</v>
      </c>
      <c r="J47" s="397"/>
      <c r="K47" s="397"/>
      <c r="L47" s="397"/>
      <c r="M47" s="397"/>
      <c r="N47" s="397"/>
    </row>
    <row r="48" spans="2:14">
      <c r="B48" s="401"/>
      <c r="C48" s="404"/>
      <c r="D48" s="398"/>
      <c r="E48" s="145" t="s">
        <v>148</v>
      </c>
      <c r="F48" s="300">
        <v>3</v>
      </c>
      <c r="G48" s="300">
        <v>4</v>
      </c>
      <c r="H48" s="144">
        <v>1</v>
      </c>
      <c r="J48" s="397"/>
      <c r="K48" s="397"/>
      <c r="L48" s="397"/>
      <c r="M48" s="397"/>
      <c r="N48" s="397"/>
    </row>
    <row r="49" spans="2:14">
      <c r="B49" s="401"/>
      <c r="C49" s="404"/>
      <c r="D49" s="398"/>
      <c r="E49" s="145" t="s">
        <v>149</v>
      </c>
      <c r="F49" s="300">
        <v>3</v>
      </c>
      <c r="G49" s="300">
        <v>4</v>
      </c>
      <c r="H49" s="144">
        <v>1</v>
      </c>
      <c r="J49" s="397"/>
      <c r="K49" s="397"/>
      <c r="L49" s="397"/>
      <c r="M49" s="397"/>
      <c r="N49" s="397"/>
    </row>
    <row r="50" spans="2:14">
      <c r="B50" s="401"/>
      <c r="C50" s="404"/>
      <c r="D50" s="399" t="s">
        <v>330</v>
      </c>
      <c r="E50" s="137" t="s">
        <v>121</v>
      </c>
      <c r="F50" s="138">
        <v>5000</v>
      </c>
      <c r="G50" s="138">
        <v>5250</v>
      </c>
      <c r="H50" s="136">
        <v>1</v>
      </c>
      <c r="J50" s="397"/>
      <c r="K50" s="397"/>
      <c r="L50" s="397"/>
      <c r="M50" s="397"/>
      <c r="N50" s="397"/>
    </row>
    <row r="51" spans="2:14">
      <c r="B51" s="401"/>
      <c r="C51" s="404"/>
      <c r="D51" s="399"/>
      <c r="E51" s="137" t="s">
        <v>122</v>
      </c>
      <c r="F51" s="138">
        <v>10000</v>
      </c>
      <c r="G51" s="138">
        <v>10500</v>
      </c>
      <c r="H51" s="136">
        <v>1</v>
      </c>
      <c r="J51" s="397"/>
      <c r="K51" s="397"/>
      <c r="L51" s="397"/>
      <c r="M51" s="397"/>
      <c r="N51" s="397"/>
    </row>
    <row r="52" spans="2:14">
      <c r="B52" s="401"/>
      <c r="C52" s="404"/>
      <c r="D52" s="399"/>
      <c r="E52" s="137" t="s">
        <v>123</v>
      </c>
      <c r="F52" s="138">
        <v>20000</v>
      </c>
      <c r="G52" s="138">
        <v>21000</v>
      </c>
      <c r="H52" s="136">
        <v>1</v>
      </c>
      <c r="J52" s="397"/>
      <c r="K52" s="397"/>
      <c r="L52" s="397"/>
      <c r="M52" s="397"/>
      <c r="N52" s="397"/>
    </row>
    <row r="53" spans="2:14">
      <c r="B53" s="401"/>
      <c r="C53" s="404"/>
      <c r="D53" s="399"/>
      <c r="E53" s="137" t="s">
        <v>124</v>
      </c>
      <c r="F53" s="138">
        <v>40000</v>
      </c>
      <c r="G53" s="138">
        <v>42000</v>
      </c>
      <c r="H53" s="136">
        <v>1</v>
      </c>
      <c r="J53" s="397"/>
      <c r="K53" s="397"/>
      <c r="L53" s="397"/>
      <c r="M53" s="397"/>
      <c r="N53" s="397"/>
    </row>
    <row r="54" spans="2:14">
      <c r="B54" s="401"/>
      <c r="C54" s="404"/>
      <c r="D54" s="399"/>
      <c r="E54" s="137" t="s">
        <v>125</v>
      </c>
      <c r="F54" s="138">
        <v>80000</v>
      </c>
      <c r="G54" s="138">
        <v>84000</v>
      </c>
      <c r="H54" s="136">
        <v>1</v>
      </c>
      <c r="J54" s="397"/>
      <c r="K54" s="397"/>
      <c r="L54" s="397"/>
      <c r="M54" s="397"/>
      <c r="N54" s="397"/>
    </row>
    <row r="55" spans="2:14">
      <c r="B55" s="402"/>
      <c r="C55" s="405"/>
      <c r="D55" s="399"/>
      <c r="E55" s="137" t="s">
        <v>126</v>
      </c>
      <c r="F55" s="138">
        <v>160000</v>
      </c>
      <c r="G55" s="138">
        <v>168000</v>
      </c>
      <c r="H55" s="136">
        <v>1</v>
      </c>
      <c r="J55" s="397"/>
      <c r="K55" s="397"/>
      <c r="L55" s="397"/>
      <c r="M55" s="397"/>
      <c r="N55" s="397"/>
    </row>
    <row r="57" spans="2:14" ht="16.5" customHeight="1">
      <c r="B57" s="391" t="s">
        <v>331</v>
      </c>
      <c r="C57" s="392" t="s">
        <v>355</v>
      </c>
      <c r="D57" s="393" t="s">
        <v>313</v>
      </c>
      <c r="E57" s="32" t="s">
        <v>314</v>
      </c>
      <c r="F57" s="393">
        <v>1</v>
      </c>
      <c r="G57" s="393">
        <v>3</v>
      </c>
      <c r="H57" s="394">
        <v>0.8</v>
      </c>
      <c r="J57" s="393" t="s">
        <v>332</v>
      </c>
      <c r="K57" s="139" t="s">
        <v>333</v>
      </c>
      <c r="L57" s="385">
        <v>1</v>
      </c>
      <c r="M57" s="385">
        <v>2</v>
      </c>
      <c r="N57" s="31" t="s">
        <v>334</v>
      </c>
    </row>
    <row r="58" spans="2:14">
      <c r="B58" s="391"/>
      <c r="C58" s="392"/>
      <c r="D58" s="393"/>
      <c r="E58" s="32" t="s">
        <v>302</v>
      </c>
      <c r="F58" s="393"/>
      <c r="G58" s="393"/>
      <c r="H58" s="394"/>
      <c r="J58" s="393"/>
      <c r="K58" s="139" t="s">
        <v>335</v>
      </c>
      <c r="L58" s="386"/>
      <c r="M58" s="386"/>
      <c r="N58" s="31" t="s">
        <v>336</v>
      </c>
    </row>
    <row r="59" spans="2:14">
      <c r="B59" s="391"/>
      <c r="C59" s="392"/>
      <c r="D59" s="393"/>
      <c r="E59" s="32" t="s">
        <v>303</v>
      </c>
      <c r="F59" s="393"/>
      <c r="G59" s="393"/>
      <c r="H59" s="394"/>
      <c r="J59" s="393"/>
      <c r="K59" s="139" t="s">
        <v>337</v>
      </c>
      <c r="L59" s="386"/>
      <c r="M59" s="386"/>
      <c r="N59" s="31" t="s">
        <v>338</v>
      </c>
    </row>
    <row r="60" spans="2:14">
      <c r="B60" s="391"/>
      <c r="C60" s="392"/>
      <c r="D60" s="393"/>
      <c r="E60" s="32" t="s">
        <v>304</v>
      </c>
      <c r="F60" s="393"/>
      <c r="G60" s="393"/>
      <c r="H60" s="394"/>
      <c r="J60" s="393"/>
      <c r="K60" s="139" t="s">
        <v>339</v>
      </c>
      <c r="L60" s="386"/>
      <c r="M60" s="386"/>
      <c r="N60" s="31" t="s">
        <v>350</v>
      </c>
    </row>
    <row r="61" spans="2:14">
      <c r="B61" s="391"/>
      <c r="C61" s="392"/>
      <c r="D61" s="393"/>
      <c r="E61" s="32" t="s">
        <v>305</v>
      </c>
      <c r="F61" s="393"/>
      <c r="G61" s="393"/>
      <c r="H61" s="394"/>
      <c r="J61" s="393"/>
      <c r="K61" s="139" t="s">
        <v>340</v>
      </c>
      <c r="L61" s="386"/>
      <c r="M61" s="386"/>
      <c r="N61" s="388">
        <v>1</v>
      </c>
    </row>
    <row r="62" spans="2:14">
      <c r="B62" s="391"/>
      <c r="C62" s="392"/>
      <c r="D62" s="393"/>
      <c r="E62" s="32" t="s">
        <v>306</v>
      </c>
      <c r="F62" s="393"/>
      <c r="G62" s="393"/>
      <c r="H62" s="394"/>
      <c r="J62" s="393"/>
      <c r="K62" s="139" t="s">
        <v>341</v>
      </c>
      <c r="L62" s="386"/>
      <c r="M62" s="387"/>
      <c r="N62" s="389"/>
    </row>
    <row r="63" spans="2:14">
      <c r="B63" s="391"/>
      <c r="C63" s="392"/>
      <c r="D63" s="31" t="s">
        <v>342</v>
      </c>
      <c r="E63" s="32" t="s">
        <v>343</v>
      </c>
      <c r="F63" s="393"/>
      <c r="G63" s="393"/>
      <c r="H63" s="140">
        <v>0.2</v>
      </c>
      <c r="J63" s="393"/>
      <c r="K63" s="139" t="s">
        <v>344</v>
      </c>
      <c r="L63" s="386"/>
      <c r="M63" s="385">
        <v>3</v>
      </c>
      <c r="N63" s="389"/>
    </row>
    <row r="64" spans="2:14">
      <c r="J64" s="393"/>
      <c r="K64" s="139" t="s">
        <v>345</v>
      </c>
      <c r="L64" s="387"/>
      <c r="M64" s="387"/>
      <c r="N64" s="390"/>
    </row>
    <row r="66" spans="2:14">
      <c r="B66" s="395" t="s">
        <v>346</v>
      </c>
      <c r="C66" s="396" t="s">
        <v>356</v>
      </c>
      <c r="D66" s="383" t="s">
        <v>313</v>
      </c>
      <c r="E66" s="141" t="s">
        <v>314</v>
      </c>
      <c r="F66" s="383">
        <v>1</v>
      </c>
      <c r="G66" s="383">
        <v>3</v>
      </c>
      <c r="H66" s="384">
        <v>0.8</v>
      </c>
      <c r="J66" s="383" t="s">
        <v>347</v>
      </c>
      <c r="K66" s="146" t="s">
        <v>348</v>
      </c>
      <c r="L66" s="383">
        <v>1</v>
      </c>
      <c r="M66" s="383">
        <v>1</v>
      </c>
      <c r="N66" s="148">
        <v>1</v>
      </c>
    </row>
    <row r="67" spans="2:14">
      <c r="B67" s="395"/>
      <c r="C67" s="396"/>
      <c r="D67" s="383"/>
      <c r="E67" s="141" t="s">
        <v>302</v>
      </c>
      <c r="F67" s="383"/>
      <c r="G67" s="383"/>
      <c r="H67" s="384"/>
      <c r="J67" s="383"/>
      <c r="K67" s="146" t="s">
        <v>349</v>
      </c>
      <c r="L67" s="383"/>
      <c r="M67" s="383"/>
      <c r="N67" s="148">
        <v>0.2</v>
      </c>
    </row>
    <row r="68" spans="2:14">
      <c r="B68" s="395"/>
      <c r="C68" s="396"/>
      <c r="D68" s="383"/>
      <c r="E68" s="141" t="s">
        <v>303</v>
      </c>
      <c r="F68" s="383"/>
      <c r="G68" s="383"/>
      <c r="H68" s="384"/>
    </row>
    <row r="69" spans="2:14">
      <c r="B69" s="395"/>
      <c r="C69" s="396"/>
      <c r="D69" s="383"/>
      <c r="E69" s="141" t="s">
        <v>304</v>
      </c>
      <c r="F69" s="383"/>
      <c r="G69" s="383"/>
      <c r="H69" s="384"/>
    </row>
    <row r="70" spans="2:14">
      <c r="B70" s="395"/>
      <c r="C70" s="396"/>
      <c r="D70" s="383"/>
      <c r="E70" s="141" t="s">
        <v>305</v>
      </c>
      <c r="F70" s="383"/>
      <c r="G70" s="383"/>
      <c r="H70" s="384"/>
    </row>
    <row r="71" spans="2:14">
      <c r="B71" s="395"/>
      <c r="C71" s="396"/>
      <c r="D71" s="383"/>
      <c r="E71" s="141" t="s">
        <v>306</v>
      </c>
      <c r="F71" s="383"/>
      <c r="G71" s="383"/>
      <c r="H71" s="384"/>
    </row>
    <row r="72" spans="2:14">
      <c r="B72" s="395"/>
      <c r="C72" s="396"/>
      <c r="D72" s="147" t="s">
        <v>342</v>
      </c>
      <c r="E72" s="141" t="s">
        <v>39</v>
      </c>
      <c r="F72" s="383"/>
      <c r="G72" s="383"/>
      <c r="H72" s="148">
        <v>0.2</v>
      </c>
    </row>
  </sheetData>
  <mergeCells count="63">
    <mergeCell ref="N23:N24"/>
    <mergeCell ref="J23:J24"/>
    <mergeCell ref="J15:J22"/>
    <mergeCell ref="K15:K22"/>
    <mergeCell ref="L15:L22"/>
    <mergeCell ref="M15:M22"/>
    <mergeCell ref="N15:N22"/>
    <mergeCell ref="J2:N2"/>
    <mergeCell ref="B4:B13"/>
    <mergeCell ref="C4:C13"/>
    <mergeCell ref="D4:D9"/>
    <mergeCell ref="H4:H9"/>
    <mergeCell ref="J4:J13"/>
    <mergeCell ref="K4:K13"/>
    <mergeCell ref="L4:L13"/>
    <mergeCell ref="M4:M13"/>
    <mergeCell ref="N4:N13"/>
    <mergeCell ref="D10:D13"/>
    <mergeCell ref="H10:H13"/>
    <mergeCell ref="F4:F13"/>
    <mergeCell ref="G4:G13"/>
    <mergeCell ref="H15:H20"/>
    <mergeCell ref="F15:F24"/>
    <mergeCell ref="G15:G24"/>
    <mergeCell ref="H21:H24"/>
    <mergeCell ref="C2:C3"/>
    <mergeCell ref="D2:H2"/>
    <mergeCell ref="B26:B55"/>
    <mergeCell ref="C26:C55"/>
    <mergeCell ref="D21:D24"/>
    <mergeCell ref="B15:B24"/>
    <mergeCell ref="C15:C24"/>
    <mergeCell ref="D15:D20"/>
    <mergeCell ref="M26:M55"/>
    <mergeCell ref="N26:N55"/>
    <mergeCell ref="D32:D37"/>
    <mergeCell ref="D38:D43"/>
    <mergeCell ref="D44:D49"/>
    <mergeCell ref="D50:D55"/>
    <mergeCell ref="L26:L55"/>
    <mergeCell ref="D26:D31"/>
    <mergeCell ref="J26:J55"/>
    <mergeCell ref="K26:K55"/>
    <mergeCell ref="B66:B72"/>
    <mergeCell ref="D66:D71"/>
    <mergeCell ref="C66:C72"/>
    <mergeCell ref="F66:F72"/>
    <mergeCell ref="G66:G72"/>
    <mergeCell ref="N61:N64"/>
    <mergeCell ref="B57:B63"/>
    <mergeCell ref="C57:C63"/>
    <mergeCell ref="F57:F63"/>
    <mergeCell ref="G57:G63"/>
    <mergeCell ref="J57:J64"/>
    <mergeCell ref="D57:D62"/>
    <mergeCell ref="H57:H62"/>
    <mergeCell ref="J66:J67"/>
    <mergeCell ref="L66:L67"/>
    <mergeCell ref="H66:H71"/>
    <mergeCell ref="M66:M67"/>
    <mergeCell ref="M57:M62"/>
    <mergeCell ref="M63:M64"/>
    <mergeCell ref="L57:L64"/>
  </mergeCells>
  <phoneticPr fontId="2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57"/>
  <sheetViews>
    <sheetView topLeftCell="A25" workbookViewId="0">
      <selection activeCell="R66" sqref="R66"/>
    </sheetView>
  </sheetViews>
  <sheetFormatPr defaultRowHeight="16.5"/>
  <cols>
    <col min="1" max="1" width="3.625" style="11" customWidth="1"/>
    <col min="2" max="3" width="9" style="11"/>
    <col min="4" max="4" width="9.5" style="11" bestFit="1" customWidth="1"/>
    <col min="5" max="5" width="3.625" style="11" customWidth="1"/>
    <col min="6" max="6" width="12.75" style="11" bestFit="1" customWidth="1"/>
    <col min="7" max="7" width="8" style="11" bestFit="1" customWidth="1"/>
    <col min="8" max="15" width="9.375" style="11" bestFit="1" customWidth="1"/>
    <col min="16" max="16" width="3.625" style="11" customWidth="1"/>
    <col min="17" max="17" width="10.25" style="11" bestFit="1" customWidth="1"/>
    <col min="18" max="16384" width="9" style="11"/>
  </cols>
  <sheetData>
    <row r="2" spans="2:26">
      <c r="B2" s="8" t="s">
        <v>94</v>
      </c>
      <c r="C2" s="8" t="s">
        <v>93</v>
      </c>
      <c r="D2" s="8" t="s">
        <v>89</v>
      </c>
      <c r="E2" s="10"/>
      <c r="F2" s="8" t="s">
        <v>95</v>
      </c>
      <c r="G2" s="8" t="s">
        <v>96</v>
      </c>
      <c r="H2" s="8" t="s">
        <v>97</v>
      </c>
      <c r="I2" s="9" t="s">
        <v>98</v>
      </c>
      <c r="J2" s="9" t="s">
        <v>99</v>
      </c>
      <c r="K2" s="9" t="s">
        <v>100</v>
      </c>
      <c r="L2" s="9" t="s">
        <v>101</v>
      </c>
      <c r="M2" s="9" t="s">
        <v>102</v>
      </c>
      <c r="Q2" s="21" t="s">
        <v>95</v>
      </c>
      <c r="R2" s="22" t="s">
        <v>96</v>
      </c>
      <c r="S2" s="22" t="s">
        <v>9</v>
      </c>
      <c r="T2" s="22" t="s">
        <v>10</v>
      </c>
      <c r="U2" s="22" t="s">
        <v>11</v>
      </c>
      <c r="V2" s="22" t="s">
        <v>12</v>
      </c>
      <c r="W2" s="22" t="s">
        <v>13</v>
      </c>
      <c r="X2" s="22" t="s">
        <v>14</v>
      </c>
      <c r="Y2" s="22" t="s">
        <v>15</v>
      </c>
      <c r="Z2" s="22" t="s">
        <v>16</v>
      </c>
    </row>
    <row r="3" spans="2:26" ht="16.5" customHeight="1">
      <c r="B3" s="422" t="s">
        <v>85</v>
      </c>
      <c r="C3" s="27" t="s">
        <v>22</v>
      </c>
      <c r="D3" s="1">
        <v>151101001</v>
      </c>
      <c r="E3" s="10"/>
      <c r="F3" s="423" t="s">
        <v>1416</v>
      </c>
      <c r="G3" s="13" t="s">
        <v>0</v>
      </c>
      <c r="H3" s="17" t="s">
        <v>8</v>
      </c>
      <c r="I3" s="13"/>
      <c r="J3" s="13"/>
      <c r="K3" s="13"/>
      <c r="L3" s="13"/>
      <c r="M3" s="17" t="s">
        <v>8</v>
      </c>
      <c r="Q3" s="392" t="s">
        <v>90</v>
      </c>
      <c r="R3" s="31" t="s">
        <v>0</v>
      </c>
      <c r="S3" s="23">
        <v>155101002</v>
      </c>
      <c r="T3" s="23">
        <v>155101006</v>
      </c>
      <c r="U3" s="23">
        <v>155101005</v>
      </c>
      <c r="V3" s="23" t="s">
        <v>270</v>
      </c>
      <c r="W3" s="23" t="s">
        <v>271</v>
      </c>
      <c r="X3" s="23" t="s">
        <v>272</v>
      </c>
      <c r="Y3" s="23" t="s">
        <v>275</v>
      </c>
      <c r="Z3" s="23" t="s">
        <v>277</v>
      </c>
    </row>
    <row r="4" spans="2:26">
      <c r="B4" s="422"/>
      <c r="C4" s="27" t="s">
        <v>21</v>
      </c>
      <c r="D4" s="12">
        <f>D3+1000</f>
        <v>151102001</v>
      </c>
      <c r="E4" s="10"/>
      <c r="F4" s="424"/>
      <c r="G4" s="13" t="s">
        <v>1</v>
      </c>
      <c r="H4" s="13"/>
      <c r="I4" s="17" t="s">
        <v>8</v>
      </c>
      <c r="J4" s="17" t="s">
        <v>8</v>
      </c>
      <c r="K4" s="15"/>
      <c r="L4" s="13"/>
      <c r="M4" s="13"/>
      <c r="Q4" s="392"/>
      <c r="R4" s="31" t="s">
        <v>1</v>
      </c>
      <c r="S4" s="23">
        <v>155101004</v>
      </c>
      <c r="T4" s="23">
        <v>155101005</v>
      </c>
      <c r="U4" s="23">
        <v>155101001</v>
      </c>
      <c r="V4" s="23">
        <v>155101005</v>
      </c>
      <c r="W4" s="23">
        <v>155101003</v>
      </c>
      <c r="X4" s="23">
        <v>155101002</v>
      </c>
      <c r="Y4" s="23">
        <v>155101006</v>
      </c>
      <c r="Z4" s="23" t="s">
        <v>276</v>
      </c>
    </row>
    <row r="5" spans="2:26">
      <c r="B5" s="422"/>
      <c r="C5" s="27" t="s">
        <v>20</v>
      </c>
      <c r="D5" s="12">
        <f t="shared" ref="D5:D8" si="0">D4+1000</f>
        <v>151103001</v>
      </c>
      <c r="E5" s="10"/>
      <c r="F5" s="424"/>
      <c r="G5" s="18" t="s">
        <v>2</v>
      </c>
      <c r="H5" s="18"/>
      <c r="I5" s="18"/>
      <c r="J5" s="19"/>
      <c r="K5" s="17" t="s">
        <v>8</v>
      </c>
      <c r="L5" s="17" t="s">
        <v>8</v>
      </c>
      <c r="M5" s="18"/>
      <c r="Q5" s="392"/>
      <c r="R5" s="31" t="s">
        <v>2</v>
      </c>
      <c r="S5" s="25">
        <v>155101006</v>
      </c>
      <c r="T5" s="25">
        <v>155101002</v>
      </c>
      <c r="U5" s="25">
        <v>155101004</v>
      </c>
      <c r="V5" s="25">
        <v>155101001</v>
      </c>
      <c r="W5" s="25" t="s">
        <v>275</v>
      </c>
      <c r="X5" s="25" t="s">
        <v>274</v>
      </c>
      <c r="Y5" s="25" t="s">
        <v>274</v>
      </c>
      <c r="Z5" s="25">
        <v>155101003</v>
      </c>
    </row>
    <row r="6" spans="2:26">
      <c r="B6" s="422"/>
      <c r="C6" s="27" t="s">
        <v>19</v>
      </c>
      <c r="D6" s="12">
        <f>D5+2000</f>
        <v>151105001</v>
      </c>
      <c r="E6" s="10"/>
      <c r="F6" s="424"/>
      <c r="G6" s="18" t="s">
        <v>3</v>
      </c>
      <c r="H6" s="17" t="s">
        <v>8</v>
      </c>
      <c r="I6" s="18"/>
      <c r="J6" s="17" t="s">
        <v>8</v>
      </c>
      <c r="K6" s="18"/>
      <c r="L6" s="18"/>
      <c r="M6" s="18"/>
      <c r="Q6" s="392"/>
      <c r="R6" s="31" t="s">
        <v>3</v>
      </c>
      <c r="S6" s="25">
        <v>155101001</v>
      </c>
      <c r="T6" s="25">
        <v>155101004</v>
      </c>
      <c r="U6" s="25" t="s">
        <v>272</v>
      </c>
      <c r="V6" s="25">
        <v>155101006</v>
      </c>
      <c r="W6" s="25" t="s">
        <v>276</v>
      </c>
      <c r="X6" s="25">
        <v>155101003</v>
      </c>
      <c r="Y6" s="25" t="s">
        <v>278</v>
      </c>
      <c r="Z6" s="25" t="s">
        <v>274</v>
      </c>
    </row>
    <row r="7" spans="2:26">
      <c r="B7" s="422"/>
      <c r="C7" s="27" t="s">
        <v>18</v>
      </c>
      <c r="D7" s="12">
        <f t="shared" si="0"/>
        <v>151106001</v>
      </c>
      <c r="E7" s="10"/>
      <c r="F7" s="424"/>
      <c r="G7" s="13" t="s">
        <v>23</v>
      </c>
      <c r="H7" s="13"/>
      <c r="I7" s="17" t="s">
        <v>8</v>
      </c>
      <c r="J7" s="13"/>
      <c r="K7" s="17" t="s">
        <v>8</v>
      </c>
      <c r="L7" s="13"/>
      <c r="M7" s="13"/>
      <c r="Q7" s="392"/>
      <c r="R7" s="31" t="s">
        <v>87</v>
      </c>
      <c r="S7" s="23">
        <v>155101003</v>
      </c>
      <c r="T7" s="23" t="s">
        <v>270</v>
      </c>
      <c r="U7" s="23">
        <v>155101006</v>
      </c>
      <c r="V7" s="23" t="s">
        <v>275</v>
      </c>
      <c r="W7" s="23">
        <v>155101002</v>
      </c>
      <c r="X7" s="23" t="s">
        <v>274</v>
      </c>
      <c r="Y7" s="23" t="s">
        <v>276</v>
      </c>
      <c r="Z7" s="23">
        <v>155101005</v>
      </c>
    </row>
    <row r="8" spans="2:26">
      <c r="B8" s="422"/>
      <c r="C8" s="27" t="s">
        <v>17</v>
      </c>
      <c r="D8" s="12">
        <f t="shared" si="0"/>
        <v>151107001</v>
      </c>
      <c r="E8" s="10"/>
      <c r="F8" s="424"/>
      <c r="G8" s="13" t="s">
        <v>4</v>
      </c>
      <c r="H8" s="13"/>
      <c r="I8" s="13"/>
      <c r="J8" s="13"/>
      <c r="K8" s="15"/>
      <c r="L8" s="17" t="s">
        <v>8</v>
      </c>
      <c r="M8" s="17" t="s">
        <v>8</v>
      </c>
      <c r="Q8" s="392"/>
      <c r="R8" s="31" t="s">
        <v>4</v>
      </c>
      <c r="S8" s="23" t="s">
        <v>271</v>
      </c>
      <c r="T8" s="23">
        <v>155101001</v>
      </c>
      <c r="U8" s="23" t="s">
        <v>273</v>
      </c>
      <c r="V8" s="23" t="s">
        <v>274</v>
      </c>
      <c r="W8" s="23" t="s">
        <v>272</v>
      </c>
      <c r="X8" s="23">
        <v>155101004</v>
      </c>
      <c r="Y8" s="23" t="s">
        <v>277</v>
      </c>
      <c r="Z8" s="23">
        <v>155101002</v>
      </c>
    </row>
    <row r="9" spans="2:26">
      <c r="B9" s="10"/>
      <c r="C9" s="4"/>
      <c r="D9" s="4"/>
      <c r="E9" s="10"/>
      <c r="F9" s="424"/>
      <c r="G9" s="18" t="s">
        <v>5</v>
      </c>
      <c r="H9" s="17" t="s">
        <v>8</v>
      </c>
      <c r="I9" s="18"/>
      <c r="J9" s="19"/>
      <c r="K9" s="18"/>
      <c r="L9" s="17" t="s">
        <v>8</v>
      </c>
      <c r="M9" s="18"/>
      <c r="Q9" s="392"/>
      <c r="R9" s="31" t="s">
        <v>5</v>
      </c>
      <c r="S9" s="25" t="s">
        <v>273</v>
      </c>
      <c r="T9" s="25">
        <v>155101003</v>
      </c>
      <c r="U9" s="25">
        <v>155101002</v>
      </c>
      <c r="V9" s="25">
        <v>155101004</v>
      </c>
      <c r="W9" s="25">
        <v>155101006</v>
      </c>
      <c r="X9" s="25">
        <v>155101001</v>
      </c>
      <c r="Y9" s="25">
        <v>155101005</v>
      </c>
      <c r="Z9" s="25" t="s">
        <v>279</v>
      </c>
    </row>
    <row r="10" spans="2:26">
      <c r="B10" s="422" t="s">
        <v>110</v>
      </c>
      <c r="C10" s="27" t="s">
        <v>22</v>
      </c>
      <c r="D10" s="7">
        <f>D3+1000000</f>
        <v>152101001</v>
      </c>
      <c r="E10" s="10"/>
      <c r="F10" s="424"/>
      <c r="G10" s="18" t="s">
        <v>6</v>
      </c>
      <c r="H10" s="18"/>
      <c r="I10" s="17" t="s">
        <v>8</v>
      </c>
      <c r="J10" s="18"/>
      <c r="K10" s="18"/>
      <c r="L10" s="18"/>
      <c r="M10" s="17" t="s">
        <v>8</v>
      </c>
      <c r="Q10" s="392"/>
      <c r="R10" s="31" t="s">
        <v>6</v>
      </c>
      <c r="S10" s="25">
        <v>155101005</v>
      </c>
      <c r="T10" s="25" t="s">
        <v>271</v>
      </c>
      <c r="U10" s="25" t="s">
        <v>275</v>
      </c>
      <c r="V10" s="25" t="s">
        <v>272</v>
      </c>
      <c r="W10" s="25" t="s">
        <v>270</v>
      </c>
      <c r="X10" s="25" t="s">
        <v>277</v>
      </c>
      <c r="Y10" s="25">
        <v>155101002</v>
      </c>
      <c r="Z10" s="25">
        <v>155101004</v>
      </c>
    </row>
    <row r="11" spans="2:26">
      <c r="B11" s="422"/>
      <c r="C11" s="27" t="s">
        <v>21</v>
      </c>
      <c r="D11" s="12">
        <f t="shared" ref="D11:D15" si="1">D10+1000</f>
        <v>152102001</v>
      </c>
      <c r="E11" s="10"/>
      <c r="F11" s="424"/>
      <c r="G11" s="13" t="s">
        <v>24</v>
      </c>
      <c r="H11" s="13"/>
      <c r="I11" s="13"/>
      <c r="J11" s="17" t="s">
        <v>8</v>
      </c>
      <c r="K11" s="17" t="s">
        <v>8</v>
      </c>
      <c r="L11" s="13"/>
      <c r="M11" s="13"/>
      <c r="Q11" s="392"/>
      <c r="R11" s="31" t="s">
        <v>120</v>
      </c>
      <c r="S11" s="23" t="s">
        <v>275</v>
      </c>
      <c r="T11" s="23" t="s">
        <v>273</v>
      </c>
      <c r="U11" s="23">
        <v>155101003</v>
      </c>
      <c r="V11" s="23" t="s">
        <v>273</v>
      </c>
      <c r="W11" s="23">
        <v>155101004</v>
      </c>
      <c r="X11" s="23">
        <v>155101006</v>
      </c>
      <c r="Y11" s="23">
        <v>155101001</v>
      </c>
      <c r="Z11" s="23" t="s">
        <v>278</v>
      </c>
    </row>
    <row r="12" spans="2:26">
      <c r="B12" s="422"/>
      <c r="C12" s="27" t="s">
        <v>20</v>
      </c>
      <c r="D12" s="12">
        <f t="shared" si="1"/>
        <v>152103001</v>
      </c>
      <c r="E12" s="10"/>
      <c r="F12" s="424"/>
      <c r="G12" s="13" t="s">
        <v>7</v>
      </c>
      <c r="H12" s="13"/>
      <c r="I12" s="17" t="s">
        <v>8</v>
      </c>
      <c r="J12" s="13"/>
      <c r="K12" s="13"/>
      <c r="L12" s="17" t="s">
        <v>8</v>
      </c>
      <c r="M12" s="13"/>
      <c r="Q12" s="392"/>
      <c r="R12" s="31" t="s">
        <v>7</v>
      </c>
      <c r="S12" s="23" t="s">
        <v>270</v>
      </c>
      <c r="T12" s="23" t="s">
        <v>275</v>
      </c>
      <c r="U12" s="23" t="s">
        <v>271</v>
      </c>
      <c r="V12" s="23">
        <v>155101002</v>
      </c>
      <c r="W12" s="23" t="s">
        <v>273</v>
      </c>
      <c r="X12" s="23" t="s">
        <v>276</v>
      </c>
      <c r="Y12" s="23">
        <v>155101004</v>
      </c>
      <c r="Z12" s="23">
        <v>155101006</v>
      </c>
    </row>
    <row r="13" spans="2:26">
      <c r="B13" s="422"/>
      <c r="C13" s="27" t="s">
        <v>19</v>
      </c>
      <c r="D13" s="12">
        <f t="shared" si="1"/>
        <v>152104001</v>
      </c>
      <c r="E13" s="10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2:26">
      <c r="B14" s="422"/>
      <c r="C14" s="27" t="s">
        <v>18</v>
      </c>
      <c r="D14" s="12">
        <f t="shared" si="1"/>
        <v>152105001</v>
      </c>
      <c r="E14" s="10"/>
      <c r="F14" s="8" t="s">
        <v>95</v>
      </c>
      <c r="G14" s="8" t="s">
        <v>96</v>
      </c>
      <c r="H14" s="5" t="s">
        <v>9</v>
      </c>
      <c r="I14" s="5" t="s">
        <v>10</v>
      </c>
      <c r="J14" s="5" t="s">
        <v>11</v>
      </c>
      <c r="K14" s="5" t="s">
        <v>12</v>
      </c>
      <c r="L14" s="5" t="s">
        <v>13</v>
      </c>
      <c r="M14" s="5" t="s">
        <v>14</v>
      </c>
      <c r="N14" s="5" t="s">
        <v>15</v>
      </c>
      <c r="O14" s="5" t="s">
        <v>16</v>
      </c>
      <c r="Q14" s="412" t="s">
        <v>88</v>
      </c>
      <c r="R14" s="412"/>
      <c r="S14" s="412"/>
      <c r="T14" s="412"/>
      <c r="U14" s="22" t="s">
        <v>89</v>
      </c>
    </row>
    <row r="15" spans="2:26" ht="16.5" customHeight="1">
      <c r="B15" s="422"/>
      <c r="C15" s="27" t="s">
        <v>17</v>
      </c>
      <c r="D15" s="12">
        <f t="shared" si="1"/>
        <v>152106001</v>
      </c>
      <c r="E15" s="10"/>
      <c r="F15" s="425" t="s">
        <v>86</v>
      </c>
      <c r="G15" s="14" t="s">
        <v>103</v>
      </c>
      <c r="H15" s="17" t="s">
        <v>8</v>
      </c>
      <c r="I15" s="17" t="s">
        <v>8</v>
      </c>
      <c r="J15" s="17" t="s">
        <v>8</v>
      </c>
      <c r="K15" s="17" t="s">
        <v>8</v>
      </c>
      <c r="L15" s="6"/>
      <c r="M15" s="6"/>
      <c r="N15" s="6"/>
      <c r="O15" s="6"/>
      <c r="Q15" s="426" t="s">
        <v>373</v>
      </c>
      <c r="R15" s="426"/>
      <c r="S15" s="426"/>
      <c r="T15" s="426"/>
      <c r="U15" s="24">
        <v>155101001</v>
      </c>
    </row>
    <row r="16" spans="2:26">
      <c r="B16" s="10"/>
      <c r="C16" s="4"/>
      <c r="D16" s="4"/>
      <c r="E16" s="10"/>
      <c r="F16" s="386"/>
      <c r="G16" s="14" t="s">
        <v>104</v>
      </c>
      <c r="H16" s="17" t="s">
        <v>8</v>
      </c>
      <c r="I16" s="17" t="s">
        <v>8</v>
      </c>
      <c r="J16" s="17" t="s">
        <v>8</v>
      </c>
      <c r="K16" s="17" t="s">
        <v>8</v>
      </c>
      <c r="L16" s="17" t="s">
        <v>8</v>
      </c>
      <c r="M16" s="17" t="s">
        <v>8</v>
      </c>
      <c r="N16" s="6"/>
      <c r="O16" s="6"/>
      <c r="Q16" s="426" t="s">
        <v>374</v>
      </c>
      <c r="R16" s="426"/>
      <c r="S16" s="426"/>
      <c r="T16" s="426"/>
      <c r="U16" s="24">
        <v>155101002</v>
      </c>
    </row>
    <row r="17" spans="2:21">
      <c r="B17" s="422" t="s">
        <v>91</v>
      </c>
      <c r="C17" s="27" t="s">
        <v>22</v>
      </c>
      <c r="D17" s="7">
        <f>D10+1000000</f>
        <v>153101001</v>
      </c>
      <c r="E17" s="10"/>
      <c r="F17" s="386"/>
      <c r="G17" s="18" t="s">
        <v>105</v>
      </c>
      <c r="H17" s="18"/>
      <c r="I17" s="18"/>
      <c r="J17" s="17" t="s">
        <v>8</v>
      </c>
      <c r="K17" s="17" t="s">
        <v>8</v>
      </c>
      <c r="L17" s="17" t="s">
        <v>8</v>
      </c>
      <c r="M17" s="17" t="s">
        <v>8</v>
      </c>
      <c r="N17" s="17" t="s">
        <v>8</v>
      </c>
      <c r="O17" s="17" t="s">
        <v>8</v>
      </c>
      <c r="Q17" s="426" t="s">
        <v>376</v>
      </c>
      <c r="R17" s="426"/>
      <c r="S17" s="426"/>
      <c r="T17" s="426"/>
      <c r="U17" s="24">
        <v>155101003</v>
      </c>
    </row>
    <row r="18" spans="2:21">
      <c r="B18" s="422"/>
      <c r="C18" s="27" t="s">
        <v>21</v>
      </c>
      <c r="D18" s="12">
        <f t="shared" ref="D18:D22" si="2">D17+1000</f>
        <v>153102001</v>
      </c>
      <c r="E18" s="10"/>
      <c r="F18" s="386"/>
      <c r="G18" s="18" t="s">
        <v>106</v>
      </c>
      <c r="H18" s="18"/>
      <c r="I18" s="18"/>
      <c r="J18" s="18"/>
      <c r="K18" s="18"/>
      <c r="L18" s="17" t="s">
        <v>8</v>
      </c>
      <c r="M18" s="17" t="s">
        <v>8</v>
      </c>
      <c r="N18" s="17" t="s">
        <v>8</v>
      </c>
      <c r="O18" s="17" t="s">
        <v>8</v>
      </c>
      <c r="Q18" s="427" t="s">
        <v>377</v>
      </c>
      <c r="R18" s="427"/>
      <c r="S18" s="427"/>
      <c r="T18" s="427"/>
      <c r="U18" s="26">
        <v>155101004</v>
      </c>
    </row>
    <row r="19" spans="2:21">
      <c r="B19" s="422"/>
      <c r="C19" s="27" t="s">
        <v>20</v>
      </c>
      <c r="D19" s="12">
        <f t="shared" si="2"/>
        <v>153103001</v>
      </c>
      <c r="E19" s="10"/>
      <c r="F19" s="386"/>
      <c r="G19" s="14" t="s">
        <v>107</v>
      </c>
      <c r="H19" s="6"/>
      <c r="I19" s="6"/>
      <c r="J19" s="6"/>
      <c r="K19" s="6"/>
      <c r="L19" s="6"/>
      <c r="M19" s="6"/>
      <c r="N19" s="6"/>
      <c r="O19" s="6"/>
      <c r="Q19" s="427" t="s">
        <v>378</v>
      </c>
      <c r="R19" s="427"/>
      <c r="S19" s="427"/>
      <c r="T19" s="427"/>
      <c r="U19" s="26">
        <v>155101005</v>
      </c>
    </row>
    <row r="20" spans="2:21">
      <c r="B20" s="422"/>
      <c r="C20" s="27" t="s">
        <v>19</v>
      </c>
      <c r="D20" s="12">
        <f t="shared" si="2"/>
        <v>153104001</v>
      </c>
      <c r="E20" s="10"/>
      <c r="F20" s="386"/>
      <c r="G20" s="14" t="s">
        <v>108</v>
      </c>
      <c r="H20" s="6"/>
      <c r="I20" s="6"/>
      <c r="J20" s="6"/>
      <c r="K20" s="6"/>
      <c r="L20" s="6"/>
      <c r="M20" s="6"/>
      <c r="N20" s="6"/>
      <c r="O20" s="6"/>
      <c r="Q20" s="427" t="s">
        <v>379</v>
      </c>
      <c r="R20" s="427"/>
      <c r="S20" s="427"/>
      <c r="T20" s="427"/>
      <c r="U20" s="26">
        <v>155101006</v>
      </c>
    </row>
    <row r="21" spans="2:21">
      <c r="B21" s="422"/>
      <c r="C21" s="27" t="s">
        <v>18</v>
      </c>
      <c r="D21" s="12">
        <f t="shared" si="2"/>
        <v>153105001</v>
      </c>
      <c r="E21" s="10"/>
      <c r="F21" s="387"/>
      <c r="G21" s="129" t="s">
        <v>109</v>
      </c>
      <c r="H21" s="20"/>
      <c r="I21" s="20"/>
      <c r="J21" s="20"/>
      <c r="K21" s="20"/>
      <c r="L21" s="20"/>
      <c r="M21" s="20"/>
      <c r="N21" s="20"/>
      <c r="O21" s="20"/>
      <c r="Q21" s="426" t="s">
        <v>375</v>
      </c>
      <c r="R21" s="426"/>
      <c r="S21" s="426"/>
      <c r="T21" s="426"/>
      <c r="U21" s="24" t="s">
        <v>280</v>
      </c>
    </row>
    <row r="22" spans="2:21">
      <c r="B22" s="422"/>
      <c r="C22" s="27" t="s">
        <v>17</v>
      </c>
      <c r="D22" s="12">
        <f t="shared" si="2"/>
        <v>153106001</v>
      </c>
      <c r="E22" s="10"/>
      <c r="Q22" s="426" t="s">
        <v>380</v>
      </c>
      <c r="R22" s="426"/>
      <c r="S22" s="426"/>
      <c r="T22" s="426"/>
      <c r="U22" s="24" t="s">
        <v>281</v>
      </c>
    </row>
    <row r="23" spans="2:21">
      <c r="B23" s="10"/>
      <c r="C23" s="4"/>
      <c r="D23" s="4"/>
      <c r="E23" s="10"/>
      <c r="F23" s="21" t="s">
        <v>95</v>
      </c>
      <c r="G23" s="21" t="s">
        <v>96</v>
      </c>
      <c r="H23" s="22" t="s">
        <v>9</v>
      </c>
      <c r="I23" s="22" t="s">
        <v>10</v>
      </c>
      <c r="J23" s="22" t="s">
        <v>11</v>
      </c>
      <c r="K23" s="22" t="s">
        <v>12</v>
      </c>
      <c r="L23" s="22" t="s">
        <v>13</v>
      </c>
      <c r="M23" s="22" t="s">
        <v>14</v>
      </c>
      <c r="N23" s="22" t="s">
        <v>15</v>
      </c>
      <c r="O23" s="22" t="s">
        <v>16</v>
      </c>
      <c r="Q23" s="426" t="s">
        <v>381</v>
      </c>
      <c r="R23" s="426"/>
      <c r="S23" s="426"/>
      <c r="T23" s="426"/>
      <c r="U23" s="24" t="s">
        <v>282</v>
      </c>
    </row>
    <row r="24" spans="2:21" ht="16.5" customHeight="1">
      <c r="B24" s="422" t="s">
        <v>92</v>
      </c>
      <c r="C24" s="27" t="s">
        <v>22</v>
      </c>
      <c r="D24" s="7">
        <f>D17+1000000</f>
        <v>154101001</v>
      </c>
      <c r="E24" s="10"/>
      <c r="F24" s="392" t="s">
        <v>118</v>
      </c>
      <c r="G24" s="23" t="s">
        <v>111</v>
      </c>
      <c r="H24" s="17" t="s">
        <v>8</v>
      </c>
      <c r="I24" s="28"/>
      <c r="J24" s="17" t="s">
        <v>8</v>
      </c>
      <c r="K24" s="28"/>
      <c r="L24" s="17" t="s">
        <v>8</v>
      </c>
      <c r="M24" s="28"/>
      <c r="N24" s="17" t="s">
        <v>8</v>
      </c>
      <c r="O24" s="28"/>
      <c r="Q24" s="427" t="s">
        <v>382</v>
      </c>
      <c r="R24" s="427"/>
      <c r="S24" s="427"/>
      <c r="T24" s="427"/>
      <c r="U24" s="26" t="s">
        <v>283</v>
      </c>
    </row>
    <row r="25" spans="2:21" ht="16.5" customHeight="1">
      <c r="B25" s="422"/>
      <c r="C25" s="27" t="s">
        <v>21</v>
      </c>
      <c r="D25" s="12">
        <f>D24+1000</f>
        <v>154102001</v>
      </c>
      <c r="E25" s="10"/>
      <c r="F25" s="392"/>
      <c r="G25" s="23" t="s">
        <v>112</v>
      </c>
      <c r="H25" s="17" t="s">
        <v>8</v>
      </c>
      <c r="I25" s="28"/>
      <c r="J25" s="17" t="s">
        <v>8</v>
      </c>
      <c r="K25" s="28"/>
      <c r="L25" s="17" t="s">
        <v>8</v>
      </c>
      <c r="M25" s="28"/>
      <c r="N25" s="17" t="s">
        <v>8</v>
      </c>
      <c r="O25" s="28"/>
      <c r="Q25" s="427" t="s">
        <v>383</v>
      </c>
      <c r="R25" s="427"/>
      <c r="S25" s="427"/>
      <c r="T25" s="427"/>
      <c r="U25" s="26" t="s">
        <v>284</v>
      </c>
    </row>
    <row r="26" spans="2:21" ht="16.5" customHeight="1">
      <c r="B26" s="422"/>
      <c r="C26" s="27" t="s">
        <v>20</v>
      </c>
      <c r="D26" s="12">
        <f t="shared" ref="D26:D29" si="3">D25+1000</f>
        <v>154103001</v>
      </c>
      <c r="E26" s="10"/>
      <c r="F26" s="392"/>
      <c r="G26" s="25" t="s">
        <v>113</v>
      </c>
      <c r="H26" s="17" t="s">
        <v>8</v>
      </c>
      <c r="I26" s="25"/>
      <c r="J26" s="17" t="s">
        <v>8</v>
      </c>
      <c r="K26" s="25"/>
      <c r="L26" s="17" t="s">
        <v>8</v>
      </c>
      <c r="M26" s="25"/>
      <c r="N26" s="17" t="s">
        <v>8</v>
      </c>
      <c r="O26" s="25"/>
      <c r="Q26" s="427" t="s">
        <v>384</v>
      </c>
      <c r="R26" s="427"/>
      <c r="S26" s="427"/>
      <c r="T26" s="427"/>
      <c r="U26" s="26" t="s">
        <v>289</v>
      </c>
    </row>
    <row r="27" spans="2:21" ht="16.5" customHeight="1">
      <c r="B27" s="422"/>
      <c r="C27" s="27" t="s">
        <v>19</v>
      </c>
      <c r="D27" s="12">
        <f t="shared" si="3"/>
        <v>154104001</v>
      </c>
      <c r="E27" s="10"/>
      <c r="F27" s="392"/>
      <c r="G27" s="25" t="s">
        <v>114</v>
      </c>
      <c r="H27" s="25"/>
      <c r="I27" s="17" t="s">
        <v>8</v>
      </c>
      <c r="J27" s="25"/>
      <c r="K27" s="17" t="s">
        <v>8</v>
      </c>
      <c r="L27" s="25"/>
      <c r="M27" s="17" t="s">
        <v>8</v>
      </c>
      <c r="N27" s="25"/>
      <c r="O27" s="17" t="s">
        <v>8</v>
      </c>
      <c r="Q27" s="428" t="s">
        <v>385</v>
      </c>
      <c r="R27" s="428"/>
      <c r="S27" s="428"/>
      <c r="T27" s="428"/>
      <c r="U27" s="131" t="s">
        <v>287</v>
      </c>
    </row>
    <row r="28" spans="2:21" ht="16.5" customHeight="1">
      <c r="B28" s="422"/>
      <c r="C28" s="27" t="s">
        <v>18</v>
      </c>
      <c r="D28" s="12">
        <f t="shared" si="3"/>
        <v>154105001</v>
      </c>
      <c r="E28" s="10"/>
      <c r="F28" s="392"/>
      <c r="G28" s="23" t="s">
        <v>115</v>
      </c>
      <c r="H28" s="28"/>
      <c r="I28" s="17" t="s">
        <v>8</v>
      </c>
      <c r="J28" s="28"/>
      <c r="K28" s="17" t="s">
        <v>8</v>
      </c>
      <c r="L28" s="28"/>
      <c r="M28" s="17" t="s">
        <v>8</v>
      </c>
      <c r="N28" s="28"/>
      <c r="O28" s="17" t="s">
        <v>8</v>
      </c>
      <c r="Q28" s="428" t="s">
        <v>386</v>
      </c>
      <c r="R28" s="428"/>
      <c r="S28" s="428"/>
      <c r="T28" s="428"/>
      <c r="U28" s="131" t="s">
        <v>285</v>
      </c>
    </row>
    <row r="29" spans="2:21" ht="16.5" customHeight="1">
      <c r="B29" s="422"/>
      <c r="C29" s="27" t="s">
        <v>17</v>
      </c>
      <c r="D29" s="12">
        <f t="shared" si="3"/>
        <v>154106001</v>
      </c>
      <c r="E29" s="10"/>
      <c r="F29" s="392"/>
      <c r="G29" s="23" t="s">
        <v>116</v>
      </c>
      <c r="H29" s="28"/>
      <c r="I29" s="17" t="s">
        <v>8</v>
      </c>
      <c r="J29" s="28"/>
      <c r="K29" s="17" t="s">
        <v>8</v>
      </c>
      <c r="L29" s="28"/>
      <c r="M29" s="17" t="s">
        <v>8</v>
      </c>
      <c r="N29" s="28"/>
      <c r="O29" s="17" t="s">
        <v>8</v>
      </c>
      <c r="Q29" s="428" t="s">
        <v>387</v>
      </c>
      <c r="R29" s="428"/>
      <c r="S29" s="428"/>
      <c r="T29" s="428"/>
      <c r="U29" s="131" t="s">
        <v>288</v>
      </c>
    </row>
    <row r="30" spans="2:21" ht="16.5" customHeight="1">
      <c r="B30" s="10"/>
      <c r="C30" s="10"/>
      <c r="D30" s="10"/>
      <c r="E30" s="10"/>
      <c r="F30" s="429" t="s">
        <v>117</v>
      </c>
      <c r="G30" s="29" t="s">
        <v>111</v>
      </c>
      <c r="H30" s="17" t="s">
        <v>8</v>
      </c>
      <c r="I30" s="17" t="s">
        <v>8</v>
      </c>
      <c r="J30" s="17" t="s">
        <v>8</v>
      </c>
      <c r="K30" s="17" t="s">
        <v>8</v>
      </c>
      <c r="L30" s="30"/>
      <c r="M30" s="17" t="s">
        <v>8</v>
      </c>
      <c r="N30" s="17" t="s">
        <v>8</v>
      </c>
      <c r="O30" s="17" t="s">
        <v>8</v>
      </c>
      <c r="Q30" s="428" t="s">
        <v>388</v>
      </c>
      <c r="R30" s="428"/>
      <c r="S30" s="428"/>
      <c r="T30" s="428"/>
      <c r="U30" s="131" t="s">
        <v>286</v>
      </c>
    </row>
    <row r="31" spans="2:21" ht="16.5" customHeight="1">
      <c r="B31" s="10"/>
      <c r="C31" s="10"/>
      <c r="D31" s="10"/>
      <c r="E31" s="10"/>
      <c r="F31" s="429"/>
      <c r="G31" s="29" t="s">
        <v>112</v>
      </c>
      <c r="H31" s="17" t="s">
        <v>8</v>
      </c>
      <c r="I31" s="17" t="s">
        <v>8</v>
      </c>
      <c r="J31" s="17" t="s">
        <v>8</v>
      </c>
      <c r="K31" s="30"/>
      <c r="L31" s="17" t="s">
        <v>8</v>
      </c>
      <c r="M31" s="17" t="s">
        <v>8</v>
      </c>
      <c r="N31" s="17" t="s">
        <v>8</v>
      </c>
      <c r="O31" s="17" t="s">
        <v>8</v>
      </c>
    </row>
    <row r="32" spans="2:21">
      <c r="F32" s="429"/>
      <c r="G32" s="25" t="s">
        <v>113</v>
      </c>
      <c r="H32" s="17" t="s">
        <v>8</v>
      </c>
      <c r="I32" s="17" t="s">
        <v>8</v>
      </c>
      <c r="J32" s="25"/>
      <c r="K32" s="17" t="s">
        <v>8</v>
      </c>
      <c r="L32" s="17" t="s">
        <v>8</v>
      </c>
      <c r="M32" s="17" t="s">
        <v>8</v>
      </c>
      <c r="N32" s="17" t="s">
        <v>8</v>
      </c>
      <c r="O32" s="25"/>
      <c r="P32" s="16"/>
    </row>
    <row r="33" spans="6:25">
      <c r="F33" s="429"/>
      <c r="G33" s="25" t="s">
        <v>114</v>
      </c>
      <c r="H33" s="17" t="s">
        <v>8</v>
      </c>
      <c r="I33" s="25"/>
      <c r="J33" s="17" t="s">
        <v>8</v>
      </c>
      <c r="K33" s="17" t="s">
        <v>8</v>
      </c>
      <c r="L33" s="17" t="s">
        <v>8</v>
      </c>
      <c r="M33" s="17" t="s">
        <v>8</v>
      </c>
      <c r="N33" s="25"/>
      <c r="O33" s="17" t="s">
        <v>8</v>
      </c>
      <c r="Q33" s="428" t="s">
        <v>357</v>
      </c>
      <c r="R33" s="428"/>
      <c r="S33" s="428"/>
      <c r="T33" s="428"/>
      <c r="U33" s="131" t="s">
        <v>358</v>
      </c>
    </row>
    <row r="34" spans="6:25" ht="16.5" customHeight="1">
      <c r="F34" s="429"/>
      <c r="G34" s="29" t="s">
        <v>115</v>
      </c>
      <c r="H34" s="30"/>
      <c r="I34" s="17" t="s">
        <v>8</v>
      </c>
      <c r="J34" s="17" t="s">
        <v>8</v>
      </c>
      <c r="K34" s="17" t="s">
        <v>8</v>
      </c>
      <c r="L34" s="17" t="s">
        <v>8</v>
      </c>
      <c r="M34" s="30"/>
      <c r="N34" s="17" t="s">
        <v>8</v>
      </c>
      <c r="O34" s="17" t="s">
        <v>8</v>
      </c>
      <c r="Q34" s="428" t="s">
        <v>359</v>
      </c>
      <c r="R34" s="428"/>
      <c r="S34" s="428"/>
      <c r="T34" s="428"/>
      <c r="U34" s="131" t="s">
        <v>362</v>
      </c>
    </row>
    <row r="35" spans="6:25">
      <c r="F35" s="392" t="s">
        <v>119</v>
      </c>
      <c r="G35" s="31" t="s">
        <v>111</v>
      </c>
      <c r="H35" s="17" t="s">
        <v>8</v>
      </c>
      <c r="I35" s="17" t="s">
        <v>8</v>
      </c>
      <c r="J35" s="32"/>
      <c r="K35" s="17" t="s">
        <v>8</v>
      </c>
      <c r="L35" s="32"/>
      <c r="M35" s="17" t="s">
        <v>8</v>
      </c>
      <c r="N35" s="17" t="s">
        <v>8</v>
      </c>
      <c r="O35" s="32"/>
      <c r="Q35" s="428" t="s">
        <v>360</v>
      </c>
      <c r="R35" s="428"/>
      <c r="S35" s="428"/>
      <c r="T35" s="428"/>
      <c r="U35" s="131" t="s">
        <v>363</v>
      </c>
    </row>
    <row r="36" spans="6:25">
      <c r="F36" s="392"/>
      <c r="G36" s="31" t="s">
        <v>112</v>
      </c>
      <c r="H36" s="17" t="s">
        <v>8</v>
      </c>
      <c r="I36" s="32"/>
      <c r="J36" s="17" t="s">
        <v>8</v>
      </c>
      <c r="K36" s="17" t="s">
        <v>8</v>
      </c>
      <c r="L36" s="32"/>
      <c r="M36" s="17" t="s">
        <v>8</v>
      </c>
      <c r="N36" s="32"/>
      <c r="O36" s="17" t="s">
        <v>8</v>
      </c>
      <c r="Q36" s="428" t="s">
        <v>361</v>
      </c>
      <c r="R36" s="428"/>
      <c r="S36" s="428"/>
      <c r="T36" s="428"/>
      <c r="U36" s="131" t="s">
        <v>364</v>
      </c>
    </row>
    <row r="37" spans="6:25">
      <c r="F37" s="392"/>
      <c r="G37" s="25" t="s">
        <v>113</v>
      </c>
      <c r="H37" s="17" t="s">
        <v>8</v>
      </c>
      <c r="I37" s="25"/>
      <c r="J37" s="17" t="s">
        <v>8</v>
      </c>
      <c r="K37" s="25"/>
      <c r="L37" s="17" t="s">
        <v>8</v>
      </c>
      <c r="M37" s="17" t="s">
        <v>8</v>
      </c>
      <c r="N37" s="25"/>
      <c r="O37" s="17" t="s">
        <v>8</v>
      </c>
    </row>
    <row r="38" spans="6:25">
      <c r="F38" s="392"/>
      <c r="G38" s="25" t="s">
        <v>114</v>
      </c>
      <c r="H38" s="25"/>
      <c r="I38" s="17" t="s">
        <v>8</v>
      </c>
      <c r="J38" s="17" t="s">
        <v>8</v>
      </c>
      <c r="K38" s="25"/>
      <c r="L38" s="17" t="s">
        <v>8</v>
      </c>
      <c r="M38" s="25"/>
      <c r="N38" s="17" t="s">
        <v>8</v>
      </c>
      <c r="O38" s="17" t="s">
        <v>8</v>
      </c>
      <c r="Q38" s="133"/>
      <c r="R38" s="132" t="s">
        <v>9</v>
      </c>
      <c r="S38" s="132" t="s">
        <v>10</v>
      </c>
      <c r="T38" s="132" t="s">
        <v>11</v>
      </c>
      <c r="U38" s="132" t="s">
        <v>12</v>
      </c>
      <c r="V38" s="132" t="s">
        <v>13</v>
      </c>
      <c r="W38" s="132" t="s">
        <v>14</v>
      </c>
      <c r="X38" s="132" t="s">
        <v>15</v>
      </c>
      <c r="Y38" s="132" t="s">
        <v>16</v>
      </c>
    </row>
    <row r="39" spans="6:25">
      <c r="F39" s="392"/>
      <c r="G39" s="31" t="s">
        <v>115</v>
      </c>
      <c r="H39" s="32"/>
      <c r="I39" s="17" t="s">
        <v>8</v>
      </c>
      <c r="J39" s="32"/>
      <c r="K39" s="17" t="s">
        <v>8</v>
      </c>
      <c r="L39" s="17" t="s">
        <v>8</v>
      </c>
      <c r="M39" s="32"/>
      <c r="N39" s="17" t="s">
        <v>8</v>
      </c>
      <c r="O39" s="32"/>
      <c r="Q39" s="23" t="s">
        <v>365</v>
      </c>
      <c r="R39" s="28">
        <v>100</v>
      </c>
      <c r="S39" s="28">
        <v>100</v>
      </c>
      <c r="T39" s="28">
        <f t="shared" ref="T39:U39" si="4">S39+50</f>
        <v>150</v>
      </c>
      <c r="U39" s="28">
        <f t="shared" si="4"/>
        <v>200</v>
      </c>
      <c r="V39" s="28">
        <f>U39+100</f>
        <v>300</v>
      </c>
      <c r="W39" s="28">
        <f t="shared" ref="W39:Y39" si="5">V39+100</f>
        <v>400</v>
      </c>
      <c r="X39" s="28">
        <f t="shared" si="5"/>
        <v>500</v>
      </c>
      <c r="Y39" s="28">
        <f t="shared" si="5"/>
        <v>600</v>
      </c>
    </row>
    <row r="40" spans="6:25">
      <c r="Q40" s="23" t="s">
        <v>366</v>
      </c>
      <c r="R40" s="28">
        <v>150</v>
      </c>
      <c r="S40" s="28">
        <f t="shared" ref="S40:U40" si="6">R40+50</f>
        <v>200</v>
      </c>
      <c r="T40" s="28">
        <f t="shared" si="6"/>
        <v>250</v>
      </c>
      <c r="U40" s="28">
        <f t="shared" si="6"/>
        <v>300</v>
      </c>
      <c r="V40" s="28">
        <f>U40+100</f>
        <v>400</v>
      </c>
      <c r="W40" s="28">
        <f t="shared" ref="W40:Y40" si="7">V40+100</f>
        <v>500</v>
      </c>
      <c r="X40" s="28">
        <f t="shared" si="7"/>
        <v>600</v>
      </c>
      <c r="Y40" s="28">
        <f t="shared" si="7"/>
        <v>700</v>
      </c>
    </row>
    <row r="41" spans="6:25">
      <c r="F41" s="8" t="s">
        <v>95</v>
      </c>
      <c r="G41" s="8" t="s">
        <v>96</v>
      </c>
      <c r="H41" s="5" t="s">
        <v>9</v>
      </c>
      <c r="I41" s="5" t="s">
        <v>10</v>
      </c>
      <c r="J41" s="5" t="s">
        <v>11</v>
      </c>
      <c r="K41" s="5" t="s">
        <v>12</v>
      </c>
      <c r="L41" s="5" t="s">
        <v>13</v>
      </c>
      <c r="M41" s="5" t="s">
        <v>14</v>
      </c>
      <c r="N41" s="5" t="s">
        <v>15</v>
      </c>
      <c r="O41" s="5" t="s">
        <v>16</v>
      </c>
      <c r="Q41" s="10" t="s">
        <v>1196</v>
      </c>
    </row>
    <row r="42" spans="6:25" ht="16.5" customHeight="1">
      <c r="F42" s="419" t="s">
        <v>1420</v>
      </c>
      <c r="G42" s="14" t="s">
        <v>103</v>
      </c>
      <c r="H42" s="288">
        <v>1</v>
      </c>
      <c r="I42" s="288">
        <v>1</v>
      </c>
      <c r="J42" s="288">
        <v>1</v>
      </c>
      <c r="K42" s="288">
        <v>1</v>
      </c>
      <c r="L42" s="288">
        <v>0.72</v>
      </c>
      <c r="M42" s="288">
        <v>0.4</v>
      </c>
      <c r="N42" s="288">
        <v>0.12</v>
      </c>
      <c r="O42" s="6"/>
    </row>
    <row r="43" spans="6:25">
      <c r="F43" s="420"/>
      <c r="G43" s="14" t="s">
        <v>104</v>
      </c>
      <c r="H43" s="6"/>
      <c r="I43" s="6"/>
      <c r="J43" s="6"/>
      <c r="K43" s="6"/>
      <c r="L43" s="288">
        <f>100%-L42</f>
        <v>0.28000000000000003</v>
      </c>
      <c r="M43" s="288">
        <f>100%-M42</f>
        <v>0.6</v>
      </c>
      <c r="N43" s="288">
        <f>100%-N42</f>
        <v>0.88</v>
      </c>
      <c r="O43" s="288">
        <v>1</v>
      </c>
    </row>
    <row r="44" spans="6:25">
      <c r="F44" s="420"/>
      <c r="G44" s="18" t="s">
        <v>105</v>
      </c>
      <c r="H44" s="18"/>
      <c r="I44" s="18"/>
      <c r="J44" s="18"/>
      <c r="K44" s="18"/>
      <c r="L44" s="18"/>
      <c r="M44" s="18"/>
      <c r="N44" s="18"/>
      <c r="O44" s="18"/>
    </row>
    <row r="45" spans="6:25">
      <c r="F45" s="420"/>
      <c r="G45" s="18" t="s">
        <v>106</v>
      </c>
      <c r="H45" s="18"/>
      <c r="I45" s="18"/>
      <c r="J45" s="18"/>
      <c r="K45" s="18"/>
      <c r="L45" s="18"/>
      <c r="M45" s="18"/>
      <c r="N45" s="18"/>
      <c r="O45" s="18"/>
    </row>
    <row r="46" spans="6:25">
      <c r="F46" s="420"/>
      <c r="G46" s="14" t="s">
        <v>107</v>
      </c>
      <c r="H46" s="6"/>
      <c r="I46" s="6"/>
      <c r="J46" s="6"/>
      <c r="K46" s="6"/>
      <c r="L46" s="6"/>
      <c r="M46" s="6"/>
      <c r="N46" s="6"/>
      <c r="O46" s="6"/>
    </row>
    <row r="47" spans="6:25">
      <c r="F47" s="420"/>
      <c r="G47" s="14" t="s">
        <v>108</v>
      </c>
      <c r="H47" s="6"/>
      <c r="I47" s="6"/>
      <c r="J47" s="6"/>
      <c r="K47" s="6"/>
      <c r="L47" s="6"/>
      <c r="M47" s="6"/>
      <c r="N47" s="6"/>
      <c r="O47" s="6"/>
    </row>
    <row r="48" spans="6:25">
      <c r="F48" s="421"/>
      <c r="G48" s="129" t="s">
        <v>109</v>
      </c>
      <c r="H48" s="20"/>
      <c r="I48" s="20"/>
      <c r="J48" s="20"/>
      <c r="K48" s="20"/>
      <c r="L48" s="20"/>
      <c r="M48" s="20"/>
      <c r="N48" s="20"/>
      <c r="O48" s="20"/>
    </row>
    <row r="50" spans="6:15">
      <c r="F50" s="8" t="s">
        <v>95</v>
      </c>
      <c r="G50" s="8" t="s">
        <v>96</v>
      </c>
      <c r="H50" s="5" t="s">
        <v>9</v>
      </c>
      <c r="I50" s="5" t="s">
        <v>10</v>
      </c>
      <c r="J50" s="5" t="s">
        <v>11</v>
      </c>
      <c r="K50" s="5" t="s">
        <v>12</v>
      </c>
      <c r="L50" s="5" t="s">
        <v>13</v>
      </c>
      <c r="M50" s="5" t="s">
        <v>14</v>
      </c>
      <c r="N50" s="5" t="s">
        <v>15</v>
      </c>
      <c r="O50" s="5" t="s">
        <v>16</v>
      </c>
    </row>
    <row r="51" spans="6:15">
      <c r="F51" s="419" t="s">
        <v>1563</v>
      </c>
      <c r="G51" s="14" t="s">
        <v>103</v>
      </c>
      <c r="H51" s="325">
        <f t="shared" ref="H51:L51" si="8">90-H52-H53</f>
        <v>89.8</v>
      </c>
      <c r="I51" s="325">
        <f t="shared" si="8"/>
        <v>89</v>
      </c>
      <c r="J51" s="325">
        <f t="shared" si="8"/>
        <v>86</v>
      </c>
      <c r="K51" s="325">
        <f t="shared" si="8"/>
        <v>80.8</v>
      </c>
      <c r="L51" s="325">
        <f t="shared" si="8"/>
        <v>73</v>
      </c>
      <c r="M51" s="325">
        <f>90-M52-M53</f>
        <v>61</v>
      </c>
      <c r="N51" s="325">
        <f>90-N52-N53</f>
        <v>48</v>
      </c>
      <c r="O51" s="325">
        <f>90-O52-O53</f>
        <v>29</v>
      </c>
    </row>
    <row r="52" spans="6:15">
      <c r="F52" s="420"/>
      <c r="G52" s="14" t="s">
        <v>104</v>
      </c>
      <c r="H52" s="325">
        <v>0.2</v>
      </c>
      <c r="I52" s="325">
        <v>1</v>
      </c>
      <c r="J52" s="325">
        <v>4</v>
      </c>
      <c r="K52" s="325">
        <v>9</v>
      </c>
      <c r="L52" s="325">
        <v>16</v>
      </c>
      <c r="M52" s="325">
        <v>26</v>
      </c>
      <c r="N52" s="325">
        <v>36</v>
      </c>
      <c r="O52" s="325">
        <v>50</v>
      </c>
    </row>
    <row r="53" spans="6:15">
      <c r="F53" s="420"/>
      <c r="G53" s="18" t="s">
        <v>105</v>
      </c>
      <c r="H53" s="326"/>
      <c r="I53" s="326"/>
      <c r="J53" s="326"/>
      <c r="K53" s="326">
        <v>0.2</v>
      </c>
      <c r="L53" s="326">
        <v>1</v>
      </c>
      <c r="M53" s="326">
        <v>3</v>
      </c>
      <c r="N53" s="326">
        <v>6</v>
      </c>
      <c r="O53" s="326">
        <v>11</v>
      </c>
    </row>
    <row r="54" spans="6:15">
      <c r="F54" s="420"/>
      <c r="G54" s="18" t="s">
        <v>106</v>
      </c>
      <c r="H54" s="326"/>
      <c r="I54" s="326"/>
      <c r="J54" s="326"/>
      <c r="K54" s="326"/>
      <c r="L54" s="326"/>
      <c r="M54" s="326"/>
      <c r="N54" s="326"/>
      <c r="O54" s="326"/>
    </row>
    <row r="55" spans="6:15">
      <c r="F55" s="420"/>
      <c r="G55" s="14" t="s">
        <v>107</v>
      </c>
      <c r="H55" s="325"/>
      <c r="I55" s="325"/>
      <c r="J55" s="325"/>
      <c r="K55" s="325"/>
      <c r="L55" s="325"/>
      <c r="M55" s="325"/>
      <c r="N55" s="325"/>
      <c r="O55" s="325"/>
    </row>
    <row r="56" spans="6:15">
      <c r="F56" s="420"/>
      <c r="G56" s="14" t="s">
        <v>108</v>
      </c>
      <c r="H56" s="325"/>
      <c r="I56" s="325"/>
      <c r="J56" s="325"/>
      <c r="K56" s="325"/>
      <c r="L56" s="325"/>
      <c r="M56" s="325"/>
      <c r="N56" s="325"/>
      <c r="O56" s="325"/>
    </row>
    <row r="57" spans="6:15">
      <c r="F57" s="421"/>
      <c r="G57" s="129" t="s">
        <v>109</v>
      </c>
      <c r="H57" s="327"/>
      <c r="I57" s="327"/>
      <c r="J57" s="327"/>
      <c r="K57" s="327"/>
      <c r="L57" s="327"/>
      <c r="M57" s="327"/>
      <c r="N57" s="327"/>
      <c r="O57" s="327"/>
    </row>
  </sheetData>
  <mergeCells count="33">
    <mergeCell ref="Q23:T23"/>
    <mergeCell ref="Q24:T24"/>
    <mergeCell ref="Q30:T30"/>
    <mergeCell ref="Q25:T25"/>
    <mergeCell ref="Q26:T26"/>
    <mergeCell ref="Q27:T27"/>
    <mergeCell ref="Q28:T28"/>
    <mergeCell ref="Q29:T29"/>
    <mergeCell ref="Q33:T33"/>
    <mergeCell ref="Q34:T34"/>
    <mergeCell ref="Q35:T35"/>
    <mergeCell ref="Q36:T36"/>
    <mergeCell ref="F24:F29"/>
    <mergeCell ref="F30:F34"/>
    <mergeCell ref="F35:F39"/>
    <mergeCell ref="Q18:T18"/>
    <mergeCell ref="Q19:T19"/>
    <mergeCell ref="Q20:T20"/>
    <mergeCell ref="Q21:T21"/>
    <mergeCell ref="Q22:T22"/>
    <mergeCell ref="Q3:Q12"/>
    <mergeCell ref="Q14:T14"/>
    <mergeCell ref="Q15:T15"/>
    <mergeCell ref="Q16:T16"/>
    <mergeCell ref="Q17:T17"/>
    <mergeCell ref="F51:F57"/>
    <mergeCell ref="F42:F48"/>
    <mergeCell ref="B3:B8"/>
    <mergeCell ref="B10:B15"/>
    <mergeCell ref="B17:B22"/>
    <mergeCell ref="B24:B29"/>
    <mergeCell ref="F3:F12"/>
    <mergeCell ref="F15:F21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0"/>
  <sheetViews>
    <sheetView workbookViewId="0">
      <selection activeCell="H37" sqref="H37"/>
    </sheetView>
  </sheetViews>
  <sheetFormatPr defaultColWidth="3.625" defaultRowHeight="16.5"/>
  <cols>
    <col min="1" max="1" width="3.625" style="11"/>
    <col min="2" max="2" width="8.625" style="11" customWidth="1"/>
    <col min="3" max="3" width="29.125" style="11" bestFit="1" customWidth="1"/>
    <col min="4" max="4" width="10.625" style="16" customWidth="1"/>
    <col min="5" max="5" width="13" style="11" bestFit="1" customWidth="1"/>
    <col min="6" max="6" width="13.375" style="11" bestFit="1" customWidth="1"/>
    <col min="7" max="7" width="10.625" style="11" customWidth="1"/>
    <col min="8" max="8" width="3.625" style="11"/>
    <col min="9" max="9" width="8.625" style="11" customWidth="1"/>
    <col min="10" max="10" width="29.125" style="11" bestFit="1" customWidth="1"/>
    <col min="11" max="11" width="10.625" style="16" customWidth="1"/>
    <col min="12" max="12" width="13" style="11" bestFit="1" customWidth="1"/>
    <col min="13" max="13" width="13.375" style="11" bestFit="1" customWidth="1"/>
    <col min="14" max="14" width="10.625" style="11" customWidth="1"/>
    <col min="15" max="15" width="4.5" style="11" bestFit="1" customWidth="1"/>
    <col min="16" max="17" width="3.625" style="11"/>
    <col min="18" max="18" width="9.75" style="11" customWidth="1"/>
    <col min="19" max="19" width="6.625" style="11" customWidth="1"/>
    <col min="20" max="20" width="5.5" style="11" bestFit="1" customWidth="1"/>
    <col min="21" max="16384" width="3.625" style="11"/>
  </cols>
  <sheetData>
    <row r="2" spans="2:14">
      <c r="B2" s="33" t="s">
        <v>160</v>
      </c>
      <c r="C2" s="33" t="s">
        <v>161</v>
      </c>
      <c r="D2" s="33" t="s">
        <v>158</v>
      </c>
      <c r="E2" s="33" t="s">
        <v>156</v>
      </c>
      <c r="F2" s="33" t="s">
        <v>157</v>
      </c>
      <c r="G2" s="33" t="s">
        <v>159</v>
      </c>
      <c r="I2" s="33" t="s">
        <v>160</v>
      </c>
      <c r="J2" s="33" t="s">
        <v>161</v>
      </c>
      <c r="K2" s="33" t="s">
        <v>158</v>
      </c>
      <c r="L2" s="33" t="s">
        <v>156</v>
      </c>
      <c r="M2" s="33" t="s">
        <v>157</v>
      </c>
      <c r="N2" s="33" t="s">
        <v>159</v>
      </c>
    </row>
    <row r="3" spans="2:14">
      <c r="B3" s="414" t="s">
        <v>150</v>
      </c>
      <c r="C3" s="34" t="s">
        <v>133</v>
      </c>
      <c r="D3" s="39" t="s">
        <v>164</v>
      </c>
      <c r="E3" s="35">
        <f t="shared" ref="E3:F8" si="0">INT(L23*2.5)</f>
        <v>2</v>
      </c>
      <c r="F3" s="35">
        <f t="shared" si="0"/>
        <v>2</v>
      </c>
      <c r="G3" s="35">
        <v>100</v>
      </c>
      <c r="I3" s="430" t="s">
        <v>154</v>
      </c>
      <c r="J3" s="38" t="s">
        <v>133</v>
      </c>
      <c r="K3" s="40" t="s">
        <v>164</v>
      </c>
      <c r="L3" s="37">
        <f t="shared" ref="L3:M8" si="1">E3</f>
        <v>2</v>
      </c>
      <c r="M3" s="37">
        <f t="shared" si="1"/>
        <v>2</v>
      </c>
      <c r="N3" s="37">
        <v>100</v>
      </c>
    </row>
    <row r="4" spans="2:14">
      <c r="B4" s="414"/>
      <c r="C4" s="34" t="s">
        <v>134</v>
      </c>
      <c r="D4" s="39" t="s">
        <v>164</v>
      </c>
      <c r="E4" s="35">
        <f t="shared" si="0"/>
        <v>5</v>
      </c>
      <c r="F4" s="35">
        <f t="shared" si="0"/>
        <v>5</v>
      </c>
      <c r="G4" s="35">
        <v>100</v>
      </c>
      <c r="I4" s="430"/>
      <c r="J4" s="38" t="s">
        <v>134</v>
      </c>
      <c r="K4" s="40" t="s">
        <v>164</v>
      </c>
      <c r="L4" s="37">
        <f t="shared" si="1"/>
        <v>5</v>
      </c>
      <c r="M4" s="37">
        <f t="shared" si="1"/>
        <v>5</v>
      </c>
      <c r="N4" s="37">
        <v>100</v>
      </c>
    </row>
    <row r="5" spans="2:14">
      <c r="B5" s="414"/>
      <c r="C5" s="34" t="s">
        <v>135</v>
      </c>
      <c r="D5" s="39" t="s">
        <v>164</v>
      </c>
      <c r="E5" s="35">
        <f t="shared" si="0"/>
        <v>7</v>
      </c>
      <c r="F5" s="35">
        <f t="shared" si="0"/>
        <v>7</v>
      </c>
      <c r="G5" s="35">
        <v>100</v>
      </c>
      <c r="I5" s="430"/>
      <c r="J5" s="38" t="s">
        <v>135</v>
      </c>
      <c r="K5" s="40" t="s">
        <v>164</v>
      </c>
      <c r="L5" s="37">
        <f t="shared" si="1"/>
        <v>7</v>
      </c>
      <c r="M5" s="37">
        <f t="shared" si="1"/>
        <v>7</v>
      </c>
      <c r="N5" s="37">
        <v>100</v>
      </c>
    </row>
    <row r="6" spans="2:14">
      <c r="B6" s="414"/>
      <c r="C6" s="34" t="s">
        <v>136</v>
      </c>
      <c r="D6" s="39" t="s">
        <v>164</v>
      </c>
      <c r="E6" s="35">
        <f t="shared" si="0"/>
        <v>10</v>
      </c>
      <c r="F6" s="35">
        <f t="shared" si="0"/>
        <v>10</v>
      </c>
      <c r="G6" s="35">
        <v>100</v>
      </c>
      <c r="I6" s="430"/>
      <c r="J6" s="38" t="s">
        <v>136</v>
      </c>
      <c r="K6" s="40" t="s">
        <v>164</v>
      </c>
      <c r="L6" s="37">
        <f t="shared" si="1"/>
        <v>10</v>
      </c>
      <c r="M6" s="37">
        <f t="shared" si="1"/>
        <v>10</v>
      </c>
      <c r="N6" s="37">
        <v>100</v>
      </c>
    </row>
    <row r="7" spans="2:14">
      <c r="B7" s="414"/>
      <c r="C7" s="34" t="s">
        <v>137</v>
      </c>
      <c r="D7" s="39" t="s">
        <v>164</v>
      </c>
      <c r="E7" s="35">
        <f t="shared" si="0"/>
        <v>12</v>
      </c>
      <c r="F7" s="35">
        <f t="shared" si="0"/>
        <v>12</v>
      </c>
      <c r="G7" s="35">
        <v>100</v>
      </c>
      <c r="I7" s="430"/>
      <c r="J7" s="38" t="s">
        <v>137</v>
      </c>
      <c r="K7" s="40" t="s">
        <v>164</v>
      </c>
      <c r="L7" s="37">
        <f t="shared" si="1"/>
        <v>12</v>
      </c>
      <c r="M7" s="37">
        <f t="shared" si="1"/>
        <v>12</v>
      </c>
      <c r="N7" s="37">
        <v>100</v>
      </c>
    </row>
    <row r="8" spans="2:14">
      <c r="B8" s="414"/>
      <c r="C8" s="34" t="s">
        <v>138</v>
      </c>
      <c r="D8" s="39" t="s">
        <v>164</v>
      </c>
      <c r="E8" s="35">
        <f t="shared" si="0"/>
        <v>15</v>
      </c>
      <c r="F8" s="35">
        <f t="shared" si="0"/>
        <v>15</v>
      </c>
      <c r="G8" s="35">
        <v>100</v>
      </c>
      <c r="I8" s="430"/>
      <c r="J8" s="38" t="s">
        <v>138</v>
      </c>
      <c r="K8" s="40" t="s">
        <v>164</v>
      </c>
      <c r="L8" s="37">
        <f t="shared" si="1"/>
        <v>15</v>
      </c>
      <c r="M8" s="37">
        <f t="shared" si="1"/>
        <v>15</v>
      </c>
      <c r="N8" s="37">
        <v>100</v>
      </c>
    </row>
    <row r="9" spans="2:14">
      <c r="B9" s="430" t="s">
        <v>151</v>
      </c>
      <c r="C9" s="36" t="s">
        <v>290</v>
      </c>
      <c r="D9" s="37">
        <v>1</v>
      </c>
      <c r="E9" s="37">
        <v>2</v>
      </c>
      <c r="F9" s="37">
        <v>3</v>
      </c>
      <c r="G9" s="37">
        <v>100</v>
      </c>
      <c r="I9" s="414" t="s">
        <v>1601</v>
      </c>
      <c r="J9" s="537" t="s">
        <v>290</v>
      </c>
      <c r="K9" s="35">
        <v>1</v>
      </c>
      <c r="L9" s="35">
        <v>2</v>
      </c>
      <c r="M9" s="35">
        <v>3</v>
      </c>
      <c r="N9" s="35">
        <v>100</v>
      </c>
    </row>
    <row r="10" spans="2:14">
      <c r="B10" s="430"/>
      <c r="C10" s="431" t="s">
        <v>145</v>
      </c>
      <c r="D10" s="37">
        <v>1</v>
      </c>
      <c r="E10" s="435">
        <v>2</v>
      </c>
      <c r="F10" s="37">
        <v>3</v>
      </c>
      <c r="G10" s="37">
        <v>72</v>
      </c>
      <c r="I10" s="414"/>
      <c r="J10" s="538" t="s">
        <v>145</v>
      </c>
      <c r="K10" s="35">
        <v>1</v>
      </c>
      <c r="L10" s="539">
        <v>2</v>
      </c>
      <c r="M10" s="35">
        <v>3</v>
      </c>
      <c r="N10" s="35">
        <v>72</v>
      </c>
    </row>
    <row r="11" spans="2:14">
      <c r="B11" s="430"/>
      <c r="C11" s="431"/>
      <c r="D11" s="37">
        <v>2</v>
      </c>
      <c r="E11" s="433"/>
      <c r="F11" s="37">
        <v>2</v>
      </c>
      <c r="G11" s="37">
        <v>28</v>
      </c>
      <c r="I11" s="414"/>
      <c r="J11" s="538"/>
      <c r="K11" s="35">
        <v>2</v>
      </c>
      <c r="L11" s="540"/>
      <c r="M11" s="35">
        <v>2</v>
      </c>
      <c r="N11" s="35">
        <v>28</v>
      </c>
    </row>
    <row r="12" spans="2:14">
      <c r="B12" s="430"/>
      <c r="C12" s="431" t="s">
        <v>146</v>
      </c>
      <c r="D12" s="37">
        <v>2</v>
      </c>
      <c r="E12" s="432">
        <v>2</v>
      </c>
      <c r="F12" s="37">
        <v>3</v>
      </c>
      <c r="G12" s="37">
        <v>40</v>
      </c>
      <c r="I12" s="414"/>
      <c r="J12" s="538" t="s">
        <v>146</v>
      </c>
      <c r="K12" s="35">
        <v>2</v>
      </c>
      <c r="L12" s="541">
        <v>2</v>
      </c>
      <c r="M12" s="35">
        <v>3</v>
      </c>
      <c r="N12" s="35">
        <v>40</v>
      </c>
    </row>
    <row r="13" spans="2:14">
      <c r="B13" s="430"/>
      <c r="C13" s="431"/>
      <c r="D13" s="37">
        <v>3</v>
      </c>
      <c r="E13" s="433"/>
      <c r="F13" s="37">
        <v>3</v>
      </c>
      <c r="G13" s="37">
        <v>60</v>
      </c>
      <c r="I13" s="414"/>
      <c r="J13" s="538"/>
      <c r="K13" s="35">
        <v>3</v>
      </c>
      <c r="L13" s="540"/>
      <c r="M13" s="35">
        <v>3</v>
      </c>
      <c r="N13" s="35">
        <v>60</v>
      </c>
    </row>
    <row r="14" spans="2:14">
      <c r="B14" s="430"/>
      <c r="C14" s="431" t="s">
        <v>147</v>
      </c>
      <c r="D14" s="37">
        <v>2</v>
      </c>
      <c r="E14" s="432">
        <v>3</v>
      </c>
      <c r="F14" s="37">
        <v>4</v>
      </c>
      <c r="G14" s="37">
        <v>32</v>
      </c>
      <c r="I14" s="414"/>
      <c r="J14" s="538" t="s">
        <v>147</v>
      </c>
      <c r="K14" s="35">
        <v>2</v>
      </c>
      <c r="L14" s="541">
        <v>3</v>
      </c>
      <c r="M14" s="35">
        <v>4</v>
      </c>
      <c r="N14" s="35">
        <v>32</v>
      </c>
    </row>
    <row r="15" spans="2:14">
      <c r="B15" s="430"/>
      <c r="C15" s="431"/>
      <c r="D15" s="37">
        <v>3</v>
      </c>
      <c r="E15" s="434"/>
      <c r="F15" s="37">
        <v>4</v>
      </c>
      <c r="G15" s="37">
        <v>52</v>
      </c>
      <c r="I15" s="414"/>
      <c r="J15" s="538"/>
      <c r="K15" s="35">
        <v>3</v>
      </c>
      <c r="L15" s="542"/>
      <c r="M15" s="35">
        <v>4</v>
      </c>
      <c r="N15" s="35">
        <v>52</v>
      </c>
    </row>
    <row r="16" spans="2:14">
      <c r="B16" s="430"/>
      <c r="C16" s="431"/>
      <c r="D16" s="37">
        <v>4</v>
      </c>
      <c r="E16" s="433"/>
      <c r="F16" s="37">
        <v>3</v>
      </c>
      <c r="G16" s="37">
        <v>16</v>
      </c>
      <c r="I16" s="414"/>
      <c r="J16" s="538"/>
      <c r="K16" s="35">
        <v>4</v>
      </c>
      <c r="L16" s="540"/>
      <c r="M16" s="35">
        <v>3</v>
      </c>
      <c r="N16" s="35">
        <v>16</v>
      </c>
    </row>
    <row r="17" spans="2:20">
      <c r="B17" s="430"/>
      <c r="C17" s="431" t="s">
        <v>148</v>
      </c>
      <c r="D17" s="37">
        <v>2</v>
      </c>
      <c r="E17" s="432">
        <v>3</v>
      </c>
      <c r="F17" s="37">
        <v>4</v>
      </c>
      <c r="G17" s="37">
        <v>32</v>
      </c>
      <c r="I17" s="414"/>
      <c r="J17" s="538" t="s">
        <v>148</v>
      </c>
      <c r="K17" s="35">
        <v>2</v>
      </c>
      <c r="L17" s="541">
        <v>3</v>
      </c>
      <c r="M17" s="35">
        <v>4</v>
      </c>
      <c r="N17" s="35">
        <v>32</v>
      </c>
    </row>
    <row r="18" spans="2:20">
      <c r="B18" s="430"/>
      <c r="C18" s="431"/>
      <c r="D18" s="37">
        <v>3</v>
      </c>
      <c r="E18" s="434"/>
      <c r="F18" s="37">
        <v>4</v>
      </c>
      <c r="G18" s="37">
        <v>52</v>
      </c>
      <c r="I18" s="414"/>
      <c r="J18" s="538"/>
      <c r="K18" s="35">
        <v>3</v>
      </c>
      <c r="L18" s="542"/>
      <c r="M18" s="35">
        <v>4</v>
      </c>
      <c r="N18" s="35">
        <v>52</v>
      </c>
    </row>
    <row r="19" spans="2:20">
      <c r="B19" s="430"/>
      <c r="C19" s="431"/>
      <c r="D19" s="37">
        <v>4</v>
      </c>
      <c r="E19" s="433"/>
      <c r="F19" s="37">
        <v>3</v>
      </c>
      <c r="G19" s="37">
        <v>16</v>
      </c>
      <c r="I19" s="414"/>
      <c r="J19" s="538"/>
      <c r="K19" s="35">
        <v>4</v>
      </c>
      <c r="L19" s="540"/>
      <c r="M19" s="35">
        <v>3</v>
      </c>
      <c r="N19" s="35">
        <v>16</v>
      </c>
    </row>
    <row r="20" spans="2:20">
      <c r="B20" s="430"/>
      <c r="C20" s="431" t="s">
        <v>149</v>
      </c>
      <c r="D20" s="37">
        <v>3</v>
      </c>
      <c r="E20" s="432">
        <v>3</v>
      </c>
      <c r="F20" s="37">
        <v>4</v>
      </c>
      <c r="G20" s="37">
        <v>16</v>
      </c>
      <c r="I20" s="414"/>
      <c r="J20" s="538" t="s">
        <v>149</v>
      </c>
      <c r="K20" s="35">
        <v>3</v>
      </c>
      <c r="L20" s="541">
        <v>3</v>
      </c>
      <c r="M20" s="35">
        <v>4</v>
      </c>
      <c r="N20" s="35">
        <v>16</v>
      </c>
      <c r="R20" s="361"/>
    </row>
    <row r="21" spans="2:20">
      <c r="B21" s="430"/>
      <c r="C21" s="431"/>
      <c r="D21" s="37">
        <v>4</v>
      </c>
      <c r="E21" s="434"/>
      <c r="F21" s="37">
        <v>4</v>
      </c>
      <c r="G21" s="37">
        <v>52</v>
      </c>
      <c r="I21" s="414"/>
      <c r="J21" s="538"/>
      <c r="K21" s="35">
        <v>4</v>
      </c>
      <c r="L21" s="542"/>
      <c r="M21" s="35">
        <v>4</v>
      </c>
      <c r="N21" s="35">
        <v>52</v>
      </c>
      <c r="R21" s="361"/>
      <c r="T21" s="361"/>
    </row>
    <row r="22" spans="2:20">
      <c r="B22" s="430"/>
      <c r="C22" s="431"/>
      <c r="D22" s="37">
        <v>5</v>
      </c>
      <c r="E22" s="433"/>
      <c r="F22" s="37">
        <v>3</v>
      </c>
      <c r="G22" s="37">
        <v>32</v>
      </c>
      <c r="I22" s="414"/>
      <c r="J22" s="538"/>
      <c r="K22" s="35">
        <v>5</v>
      </c>
      <c r="L22" s="540"/>
      <c r="M22" s="35">
        <v>3</v>
      </c>
      <c r="N22" s="35">
        <v>32</v>
      </c>
      <c r="R22" s="361"/>
      <c r="T22" s="361"/>
    </row>
    <row r="23" spans="2:20">
      <c r="B23" s="414" t="s">
        <v>152</v>
      </c>
      <c r="C23" s="34" t="s">
        <v>139</v>
      </c>
      <c r="D23" s="39" t="s">
        <v>164</v>
      </c>
      <c r="E23" s="35">
        <f t="shared" ref="E23:F28" si="2">L23*2</f>
        <v>2</v>
      </c>
      <c r="F23" s="35">
        <f t="shared" si="2"/>
        <v>2</v>
      </c>
      <c r="G23" s="35">
        <v>100</v>
      </c>
      <c r="I23" s="430" t="s">
        <v>155</v>
      </c>
      <c r="J23" s="38" t="s">
        <v>127</v>
      </c>
      <c r="K23" s="40" t="s">
        <v>164</v>
      </c>
      <c r="L23" s="37">
        <v>1</v>
      </c>
      <c r="M23" s="37">
        <v>1</v>
      </c>
      <c r="N23" s="37">
        <v>100</v>
      </c>
      <c r="R23" s="361"/>
      <c r="T23" s="361"/>
    </row>
    <row r="24" spans="2:20">
      <c r="B24" s="414"/>
      <c r="C24" s="34" t="s">
        <v>140</v>
      </c>
      <c r="D24" s="39" t="s">
        <v>164</v>
      </c>
      <c r="E24" s="35">
        <f t="shared" si="2"/>
        <v>4</v>
      </c>
      <c r="F24" s="35">
        <f t="shared" si="2"/>
        <v>4</v>
      </c>
      <c r="G24" s="35">
        <v>100</v>
      </c>
      <c r="I24" s="430"/>
      <c r="J24" s="38" t="s">
        <v>128</v>
      </c>
      <c r="K24" s="40" t="s">
        <v>164</v>
      </c>
      <c r="L24" s="37">
        <v>2</v>
      </c>
      <c r="M24" s="37">
        <v>2</v>
      </c>
      <c r="N24" s="37">
        <v>100</v>
      </c>
      <c r="R24" s="361"/>
      <c r="T24" s="361"/>
    </row>
    <row r="25" spans="2:20">
      <c r="B25" s="414"/>
      <c r="C25" s="34" t="s">
        <v>141</v>
      </c>
      <c r="D25" s="39" t="s">
        <v>164</v>
      </c>
      <c r="E25" s="35">
        <f t="shared" si="2"/>
        <v>6</v>
      </c>
      <c r="F25" s="35">
        <f t="shared" si="2"/>
        <v>6</v>
      </c>
      <c r="G25" s="35">
        <v>100</v>
      </c>
      <c r="I25" s="430"/>
      <c r="J25" s="38" t="s">
        <v>129</v>
      </c>
      <c r="K25" s="40" t="s">
        <v>164</v>
      </c>
      <c r="L25" s="37">
        <v>3</v>
      </c>
      <c r="M25" s="37">
        <v>3</v>
      </c>
      <c r="N25" s="37">
        <v>100</v>
      </c>
      <c r="R25" s="361"/>
      <c r="T25" s="361"/>
    </row>
    <row r="26" spans="2:20">
      <c r="B26" s="414"/>
      <c r="C26" s="34" t="s">
        <v>142</v>
      </c>
      <c r="D26" s="39" t="s">
        <v>164</v>
      </c>
      <c r="E26" s="35">
        <f t="shared" si="2"/>
        <v>8</v>
      </c>
      <c r="F26" s="35">
        <f t="shared" si="2"/>
        <v>8</v>
      </c>
      <c r="G26" s="35">
        <v>100</v>
      </c>
      <c r="I26" s="430"/>
      <c r="J26" s="38" t="s">
        <v>130</v>
      </c>
      <c r="K26" s="40" t="s">
        <v>164</v>
      </c>
      <c r="L26" s="37">
        <v>4</v>
      </c>
      <c r="M26" s="37">
        <v>4</v>
      </c>
      <c r="N26" s="37">
        <v>100</v>
      </c>
      <c r="R26" s="361"/>
      <c r="T26" s="361"/>
    </row>
    <row r="27" spans="2:20">
      <c r="B27" s="414"/>
      <c r="C27" s="34" t="s">
        <v>143</v>
      </c>
      <c r="D27" s="39" t="s">
        <v>164</v>
      </c>
      <c r="E27" s="35">
        <f t="shared" si="2"/>
        <v>10</v>
      </c>
      <c r="F27" s="35">
        <f t="shared" si="2"/>
        <v>10</v>
      </c>
      <c r="G27" s="35">
        <v>100</v>
      </c>
      <c r="I27" s="430"/>
      <c r="J27" s="38" t="s">
        <v>131</v>
      </c>
      <c r="K27" s="40" t="s">
        <v>164</v>
      </c>
      <c r="L27" s="37">
        <v>5</v>
      </c>
      <c r="M27" s="37">
        <v>5</v>
      </c>
      <c r="N27" s="37">
        <v>100</v>
      </c>
      <c r="R27" s="361"/>
      <c r="T27" s="361"/>
    </row>
    <row r="28" spans="2:20">
      <c r="B28" s="414"/>
      <c r="C28" s="34" t="s">
        <v>144</v>
      </c>
      <c r="D28" s="39" t="s">
        <v>164</v>
      </c>
      <c r="E28" s="35">
        <f t="shared" si="2"/>
        <v>12</v>
      </c>
      <c r="F28" s="35">
        <f t="shared" si="2"/>
        <v>12</v>
      </c>
      <c r="G28" s="35">
        <v>100</v>
      </c>
      <c r="I28" s="430"/>
      <c r="J28" s="38" t="s">
        <v>132</v>
      </c>
      <c r="K28" s="40" t="s">
        <v>164</v>
      </c>
      <c r="L28" s="37">
        <v>6</v>
      </c>
      <c r="M28" s="37">
        <v>6</v>
      </c>
      <c r="N28" s="37">
        <v>100</v>
      </c>
      <c r="R28" s="361"/>
      <c r="T28" s="361"/>
    </row>
    <row r="29" spans="2:20">
      <c r="B29" s="430" t="s">
        <v>153</v>
      </c>
      <c r="C29" s="36" t="s">
        <v>121</v>
      </c>
      <c r="D29" s="40" t="s">
        <v>164</v>
      </c>
      <c r="E29" s="362">
        <v>2150</v>
      </c>
      <c r="F29" s="362">
        <v>2257</v>
      </c>
      <c r="G29" s="37">
        <v>100</v>
      </c>
      <c r="K29" s="11"/>
      <c r="R29" s="361"/>
      <c r="T29" s="361"/>
    </row>
    <row r="30" spans="2:20">
      <c r="B30" s="430"/>
      <c r="C30" s="36" t="s">
        <v>122</v>
      </c>
      <c r="D30" s="40" t="s">
        <v>164</v>
      </c>
      <c r="E30" s="362">
        <v>4300</v>
      </c>
      <c r="F30" s="362">
        <v>4515</v>
      </c>
      <c r="G30" s="37">
        <v>100</v>
      </c>
      <c r="K30" s="11"/>
    </row>
    <row r="31" spans="2:20">
      <c r="B31" s="430"/>
      <c r="C31" s="36" t="s">
        <v>123</v>
      </c>
      <c r="D31" s="40" t="s">
        <v>164</v>
      </c>
      <c r="E31" s="362">
        <v>8600</v>
      </c>
      <c r="F31" s="362">
        <v>9030</v>
      </c>
      <c r="G31" s="37">
        <v>100</v>
      </c>
      <c r="K31" s="11"/>
    </row>
    <row r="32" spans="2:20">
      <c r="B32" s="430"/>
      <c r="C32" s="36" t="s">
        <v>124</v>
      </c>
      <c r="D32" s="40" t="s">
        <v>164</v>
      </c>
      <c r="E32" s="362">
        <v>17200</v>
      </c>
      <c r="F32" s="362">
        <v>18060</v>
      </c>
      <c r="G32" s="37">
        <v>100</v>
      </c>
      <c r="K32" s="11"/>
    </row>
    <row r="33" spans="2:20">
      <c r="B33" s="430"/>
      <c r="C33" s="36" t="s">
        <v>125</v>
      </c>
      <c r="D33" s="40" t="s">
        <v>164</v>
      </c>
      <c r="E33" s="362">
        <v>34400</v>
      </c>
      <c r="F33" s="362">
        <v>36120</v>
      </c>
      <c r="G33" s="37">
        <v>100</v>
      </c>
      <c r="K33" s="11"/>
    </row>
    <row r="34" spans="2:20">
      <c r="B34" s="430"/>
      <c r="C34" s="36" t="s">
        <v>126</v>
      </c>
      <c r="D34" s="40" t="s">
        <v>164</v>
      </c>
      <c r="E34" s="362">
        <v>68800</v>
      </c>
      <c r="F34" s="362">
        <v>72240</v>
      </c>
      <c r="G34" s="37">
        <v>100</v>
      </c>
      <c r="K34" s="11"/>
    </row>
    <row r="44" spans="2:20">
      <c r="R44" s="361"/>
      <c r="T44" s="361"/>
    </row>
    <row r="45" spans="2:20">
      <c r="B45" s="436" t="s">
        <v>1404</v>
      </c>
      <c r="C45" s="284" t="s">
        <v>1405</v>
      </c>
      <c r="I45" s="11" t="s">
        <v>252</v>
      </c>
      <c r="R45" s="361"/>
      <c r="T45" s="361"/>
    </row>
    <row r="46" spans="2:20">
      <c r="B46" s="436"/>
      <c r="C46" s="285" t="s">
        <v>1406</v>
      </c>
      <c r="I46" s="11" t="s">
        <v>389</v>
      </c>
    </row>
    <row r="47" spans="2:20">
      <c r="B47" s="436" t="s">
        <v>1407</v>
      </c>
      <c r="C47" s="284" t="s">
        <v>1408</v>
      </c>
      <c r="D47" s="286" t="s">
        <v>1412</v>
      </c>
    </row>
    <row r="48" spans="2:20">
      <c r="B48" s="436"/>
      <c r="C48" s="284" t="s">
        <v>1409</v>
      </c>
      <c r="D48" s="286" t="s">
        <v>1414</v>
      </c>
    </row>
    <row r="49" spans="2:4">
      <c r="B49" s="436"/>
      <c r="C49" s="284" t="s">
        <v>1410</v>
      </c>
      <c r="D49" s="286" t="s">
        <v>1413</v>
      </c>
    </row>
    <row r="50" spans="2:4">
      <c r="B50" s="436"/>
      <c r="C50" s="284" t="s">
        <v>1411</v>
      </c>
      <c r="D50" s="286" t="s">
        <v>1415</v>
      </c>
    </row>
  </sheetData>
  <mergeCells count="29">
    <mergeCell ref="B23:B28"/>
    <mergeCell ref="B47:B50"/>
    <mergeCell ref="B45:B46"/>
    <mergeCell ref="B29:B34"/>
    <mergeCell ref="I3:I8"/>
    <mergeCell ref="I23:I28"/>
    <mergeCell ref="C10:C11"/>
    <mergeCell ref="C12:C13"/>
    <mergeCell ref="C14:C16"/>
    <mergeCell ref="C17:C19"/>
    <mergeCell ref="C20:C22"/>
    <mergeCell ref="E12:E13"/>
    <mergeCell ref="E14:E16"/>
    <mergeCell ref="E17:E19"/>
    <mergeCell ref="E20:E22"/>
    <mergeCell ref="E10:E11"/>
    <mergeCell ref="I9:I22"/>
    <mergeCell ref="B3:B8"/>
    <mergeCell ref="B9:B22"/>
    <mergeCell ref="J17:J19"/>
    <mergeCell ref="L17:L19"/>
    <mergeCell ref="J20:J22"/>
    <mergeCell ref="L20:L22"/>
    <mergeCell ref="J10:J11"/>
    <mergeCell ref="L10:L11"/>
    <mergeCell ref="J12:J13"/>
    <mergeCell ref="L12:L13"/>
    <mergeCell ref="J14:J16"/>
    <mergeCell ref="L14:L16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topLeftCell="D1" workbookViewId="0">
      <pane ySplit="4" topLeftCell="A5" activePane="bottomLeft" state="frozen"/>
      <selection pane="bottomLeft" activeCell="L41" sqref="L41"/>
    </sheetView>
  </sheetViews>
  <sheetFormatPr defaultRowHeight="16.5"/>
  <cols>
    <col min="1" max="1" width="5" style="11" bestFit="1" customWidth="1"/>
    <col min="2" max="2" width="3.625" style="11" customWidth="1"/>
    <col min="3" max="3" width="8.5" style="11" bestFit="1" customWidth="1"/>
    <col min="4" max="4" width="8.5" style="11" customWidth="1"/>
    <col min="5" max="6" width="8.625" style="16" customWidth="1"/>
    <col min="7" max="7" width="10.125" style="11" bestFit="1" customWidth="1"/>
    <col min="8" max="8" width="10.125" style="11" customWidth="1"/>
    <col min="9" max="9" width="10.125" style="11" bestFit="1" customWidth="1"/>
    <col min="10" max="10" width="9.125" style="11" customWidth="1"/>
    <col min="11" max="11" width="3.625" style="11" customWidth="1"/>
    <col min="12" max="16" width="9.125" style="11" customWidth="1"/>
    <col min="17" max="17" width="3.625" style="11" customWidth="1"/>
    <col min="18" max="27" width="7" style="16" bestFit="1" customWidth="1"/>
    <col min="28" max="28" width="3.625" style="11" customWidth="1"/>
    <col min="29" max="33" width="7" style="16" bestFit="1" customWidth="1"/>
    <col min="34" max="16384" width="9" style="11"/>
  </cols>
  <sheetData>
    <row r="1" spans="1:33" ht="17.25" thickBot="1"/>
    <row r="2" spans="1:33" ht="16.5" customHeight="1">
      <c r="C2" s="446" t="s">
        <v>247</v>
      </c>
      <c r="D2" s="447"/>
      <c r="E2" s="437" t="s">
        <v>248</v>
      </c>
      <c r="F2" s="438"/>
      <c r="G2" s="437" t="s">
        <v>251</v>
      </c>
      <c r="H2" s="449"/>
      <c r="I2" s="449"/>
      <c r="J2" s="450"/>
      <c r="L2" s="459" t="s">
        <v>216</v>
      </c>
      <c r="M2" s="460"/>
      <c r="N2" s="460"/>
      <c r="O2" s="460"/>
      <c r="P2" s="156"/>
      <c r="R2" s="443" t="s">
        <v>214</v>
      </c>
      <c r="S2" s="444"/>
      <c r="T2" s="444"/>
      <c r="U2" s="444"/>
      <c r="V2" s="444"/>
      <c r="W2" s="444"/>
      <c r="X2" s="444"/>
      <c r="Y2" s="444"/>
      <c r="Z2" s="444"/>
      <c r="AA2" s="445"/>
      <c r="AC2" s="453" t="s">
        <v>215</v>
      </c>
      <c r="AD2" s="454"/>
      <c r="AE2" s="454"/>
      <c r="AF2" s="454"/>
      <c r="AG2" s="455"/>
    </row>
    <row r="3" spans="1:33" ht="16.5" customHeight="1" thickBot="1">
      <c r="C3" s="441"/>
      <c r="D3" s="448"/>
      <c r="E3" s="439"/>
      <c r="F3" s="440"/>
      <c r="G3" s="439"/>
      <c r="H3" s="451"/>
      <c r="I3" s="451"/>
      <c r="J3" s="452"/>
      <c r="L3" s="461"/>
      <c r="M3" s="412"/>
      <c r="N3" s="412"/>
      <c r="O3" s="412"/>
      <c r="P3" s="157"/>
      <c r="R3" s="441" t="s">
        <v>207</v>
      </c>
      <c r="S3" s="442"/>
      <c r="T3" s="441" t="s">
        <v>208</v>
      </c>
      <c r="U3" s="442"/>
      <c r="V3" s="441" t="s">
        <v>209</v>
      </c>
      <c r="W3" s="442"/>
      <c r="X3" s="441" t="s">
        <v>210</v>
      </c>
      <c r="Y3" s="442"/>
      <c r="Z3" s="441" t="s">
        <v>211</v>
      </c>
      <c r="AA3" s="442"/>
      <c r="AC3" s="456"/>
      <c r="AD3" s="457"/>
      <c r="AE3" s="457"/>
      <c r="AF3" s="457"/>
      <c r="AG3" s="458"/>
    </row>
    <row r="4" spans="1:33" ht="17.25" thickBot="1">
      <c r="C4" s="104" t="s">
        <v>212</v>
      </c>
      <c r="D4" s="119" t="s">
        <v>213</v>
      </c>
      <c r="E4" s="105" t="s">
        <v>202</v>
      </c>
      <c r="F4" s="119" t="s">
        <v>203</v>
      </c>
      <c r="G4" s="236" t="s">
        <v>1572</v>
      </c>
      <c r="H4" s="95" t="s">
        <v>162</v>
      </c>
      <c r="I4" s="158" t="s">
        <v>163</v>
      </c>
      <c r="J4" s="158" t="s">
        <v>1573</v>
      </c>
      <c r="L4" s="236" t="s">
        <v>1572</v>
      </c>
      <c r="M4" s="95" t="s">
        <v>162</v>
      </c>
      <c r="N4" s="158" t="s">
        <v>163</v>
      </c>
      <c r="O4" s="158" t="s">
        <v>1573</v>
      </c>
      <c r="P4" s="158" t="s">
        <v>368</v>
      </c>
      <c r="R4" s="87" t="s">
        <v>202</v>
      </c>
      <c r="S4" s="87" t="s">
        <v>203</v>
      </c>
      <c r="T4" s="87" t="s">
        <v>202</v>
      </c>
      <c r="U4" s="87" t="s">
        <v>203</v>
      </c>
      <c r="V4" s="87" t="s">
        <v>202</v>
      </c>
      <c r="W4" s="87" t="s">
        <v>203</v>
      </c>
      <c r="X4" s="87" t="s">
        <v>202</v>
      </c>
      <c r="Y4" s="87" t="s">
        <v>203</v>
      </c>
      <c r="Z4" s="87" t="s">
        <v>202</v>
      </c>
      <c r="AA4" s="87" t="s">
        <v>203</v>
      </c>
      <c r="AC4" s="93" t="s">
        <v>207</v>
      </c>
      <c r="AD4" s="21" t="s">
        <v>208</v>
      </c>
      <c r="AE4" s="21" t="s">
        <v>209</v>
      </c>
      <c r="AF4" s="21" t="s">
        <v>210</v>
      </c>
      <c r="AG4" s="94" t="s">
        <v>211</v>
      </c>
    </row>
    <row r="5" spans="1:33" ht="16.5" customHeight="1">
      <c r="A5" s="11">
        <v>25</v>
      </c>
      <c r="B5" s="11">
        <v>1</v>
      </c>
      <c r="C5" s="102" t="s">
        <v>165</v>
      </c>
      <c r="D5" s="116">
        <v>1</v>
      </c>
      <c r="E5" s="103">
        <v>1</v>
      </c>
      <c r="F5" s="120">
        <v>1</v>
      </c>
      <c r="G5" s="159">
        <f>80-J5-I5-H5</f>
        <v>73.5</v>
      </c>
      <c r="H5" s="82">
        <v>6</v>
      </c>
      <c r="I5" s="82">
        <v>0.5</v>
      </c>
      <c r="J5" s="161"/>
      <c r="K5" s="11">
        <f>SUM(G5:J5)</f>
        <v>80</v>
      </c>
      <c r="L5" s="159">
        <v>18</v>
      </c>
      <c r="M5" s="82">
        <v>2</v>
      </c>
      <c r="N5" s="160"/>
      <c r="O5" s="160"/>
      <c r="P5" s="161"/>
      <c r="R5" s="83">
        <v>1</v>
      </c>
      <c r="S5" s="42">
        <v>1</v>
      </c>
      <c r="T5" s="29">
        <v>1</v>
      </c>
      <c r="U5" s="29">
        <v>2</v>
      </c>
      <c r="V5" s="42">
        <v>2</v>
      </c>
      <c r="W5" s="42">
        <v>3</v>
      </c>
      <c r="X5" s="29">
        <v>3</v>
      </c>
      <c r="Y5" s="29">
        <v>4</v>
      </c>
      <c r="Z5" s="42">
        <v>4</v>
      </c>
      <c r="AA5" s="77">
        <v>5</v>
      </c>
      <c r="AC5" s="351">
        <v>100</v>
      </c>
      <c r="AD5" s="347">
        <v>100</v>
      </c>
      <c r="AE5" s="347">
        <v>100</v>
      </c>
      <c r="AF5" s="347">
        <v>100</v>
      </c>
      <c r="AG5" s="347">
        <v>100</v>
      </c>
    </row>
    <row r="6" spans="1:33">
      <c r="A6" s="11">
        <v>26</v>
      </c>
      <c r="B6" s="11">
        <f>B5+5</f>
        <v>6</v>
      </c>
      <c r="C6" s="102" t="s">
        <v>166</v>
      </c>
      <c r="D6" s="116">
        <v>2</v>
      </c>
      <c r="E6" s="103">
        <f t="shared" ref="E6:E9" si="0">E5</f>
        <v>1</v>
      </c>
      <c r="F6" s="120">
        <f t="shared" ref="F6:F8" si="1">F5</f>
        <v>1</v>
      </c>
      <c r="G6" s="340">
        <f>80-J6-I6-H6</f>
        <v>69</v>
      </c>
      <c r="H6" s="343">
        <f>H5+4</f>
        <v>10</v>
      </c>
      <c r="I6" s="343">
        <f>I5+0.5</f>
        <v>1</v>
      </c>
      <c r="J6" s="91"/>
      <c r="K6" s="11">
        <f t="shared" ref="K6:K34" si="2">SUM(G6:J6)</f>
        <v>80</v>
      </c>
      <c r="L6" s="230">
        <f>L5-0.5</f>
        <v>17.5</v>
      </c>
      <c r="M6" s="233">
        <f>M5+0.5</f>
        <v>2.5</v>
      </c>
      <c r="N6" s="235"/>
      <c r="O6" s="235"/>
      <c r="P6" s="91"/>
      <c r="R6" s="83">
        <f>R5</f>
        <v>1</v>
      </c>
      <c r="S6" s="42">
        <f t="shared" ref="S6:AA6" si="3">S5</f>
        <v>1</v>
      </c>
      <c r="T6" s="29">
        <f t="shared" si="3"/>
        <v>1</v>
      </c>
      <c r="U6" s="29">
        <f t="shared" si="3"/>
        <v>2</v>
      </c>
      <c r="V6" s="42">
        <f t="shared" si="3"/>
        <v>2</v>
      </c>
      <c r="W6" s="42">
        <f t="shared" si="3"/>
        <v>3</v>
      </c>
      <c r="X6" s="29">
        <f t="shared" si="3"/>
        <v>3</v>
      </c>
      <c r="Y6" s="29">
        <f t="shared" si="3"/>
        <v>4</v>
      </c>
      <c r="Z6" s="42">
        <f t="shared" si="3"/>
        <v>4</v>
      </c>
      <c r="AA6" s="77">
        <f t="shared" si="3"/>
        <v>5</v>
      </c>
      <c r="AC6" s="89">
        <v>100</v>
      </c>
      <c r="AD6" s="29">
        <v>100</v>
      </c>
      <c r="AE6" s="29">
        <v>100</v>
      </c>
      <c r="AF6" s="29">
        <v>100</v>
      </c>
      <c r="AG6" s="347">
        <v>100</v>
      </c>
    </row>
    <row r="7" spans="1:33">
      <c r="A7" s="10">
        <v>28</v>
      </c>
      <c r="B7" s="10">
        <f t="shared" ref="B7:B44" si="4">B6+5</f>
        <v>11</v>
      </c>
      <c r="C7" s="102" t="s">
        <v>167</v>
      </c>
      <c r="D7" s="116">
        <v>3</v>
      </c>
      <c r="E7" s="103">
        <f t="shared" si="0"/>
        <v>1</v>
      </c>
      <c r="F7" s="120">
        <f t="shared" si="1"/>
        <v>1</v>
      </c>
      <c r="G7" s="340">
        <f t="shared" ref="G7:G11" si="5">80-J7-I7-H7</f>
        <v>64.5</v>
      </c>
      <c r="H7" s="343">
        <f t="shared" ref="H7:H21" si="6">H6+4</f>
        <v>14</v>
      </c>
      <c r="I7" s="343">
        <f t="shared" ref="I7:I21" si="7">I6+0.5</f>
        <v>1.5</v>
      </c>
      <c r="J7" s="91"/>
      <c r="K7" s="11">
        <f t="shared" si="2"/>
        <v>80</v>
      </c>
      <c r="L7" s="230">
        <f t="shared" ref="L7:L39" si="8">L6-0.5</f>
        <v>17</v>
      </c>
      <c r="M7" s="233">
        <f t="shared" ref="M7:M19" si="9">M6+0.5</f>
        <v>3</v>
      </c>
      <c r="N7" s="235"/>
      <c r="O7" s="235"/>
      <c r="P7" s="91"/>
      <c r="R7" s="350">
        <f t="shared" ref="R7:AA9" si="10">R6</f>
        <v>1</v>
      </c>
      <c r="S7" s="42">
        <f t="shared" si="10"/>
        <v>1</v>
      </c>
      <c r="T7" s="347">
        <f t="shared" si="10"/>
        <v>1</v>
      </c>
      <c r="U7" s="347">
        <f t="shared" si="10"/>
        <v>2</v>
      </c>
      <c r="V7" s="42">
        <f t="shared" si="10"/>
        <v>2</v>
      </c>
      <c r="W7" s="42">
        <f t="shared" si="10"/>
        <v>3</v>
      </c>
      <c r="X7" s="347">
        <f t="shared" si="10"/>
        <v>3</v>
      </c>
      <c r="Y7" s="347">
        <f t="shared" si="10"/>
        <v>4</v>
      </c>
      <c r="Z7" s="42">
        <f t="shared" si="10"/>
        <v>4</v>
      </c>
      <c r="AA7" s="77">
        <f t="shared" si="10"/>
        <v>5</v>
      </c>
      <c r="AC7" s="89">
        <v>100</v>
      </c>
      <c r="AD7" s="29">
        <v>100</v>
      </c>
      <c r="AE7" s="29">
        <v>100</v>
      </c>
      <c r="AF7" s="29">
        <v>100</v>
      </c>
      <c r="AG7" s="347">
        <v>100</v>
      </c>
    </row>
    <row r="8" spans="1:33">
      <c r="A8" s="10">
        <v>29</v>
      </c>
      <c r="B8" s="10">
        <f t="shared" si="4"/>
        <v>16</v>
      </c>
      <c r="C8" s="102" t="s">
        <v>168</v>
      </c>
      <c r="D8" s="116">
        <v>4</v>
      </c>
      <c r="E8" s="103">
        <f t="shared" si="0"/>
        <v>1</v>
      </c>
      <c r="F8" s="120">
        <f t="shared" si="1"/>
        <v>1</v>
      </c>
      <c r="G8" s="340">
        <f t="shared" si="5"/>
        <v>60</v>
      </c>
      <c r="H8" s="343">
        <f t="shared" si="6"/>
        <v>18</v>
      </c>
      <c r="I8" s="343">
        <f t="shared" si="7"/>
        <v>2</v>
      </c>
      <c r="J8" s="91"/>
      <c r="K8" s="11">
        <f t="shared" si="2"/>
        <v>80</v>
      </c>
      <c r="L8" s="230">
        <f t="shared" si="8"/>
        <v>16.5</v>
      </c>
      <c r="M8" s="233">
        <f t="shared" si="9"/>
        <v>3.5</v>
      </c>
      <c r="N8" s="235"/>
      <c r="O8" s="235"/>
      <c r="P8" s="91"/>
      <c r="R8" s="350">
        <f t="shared" si="10"/>
        <v>1</v>
      </c>
      <c r="S8" s="42">
        <f t="shared" si="10"/>
        <v>1</v>
      </c>
      <c r="T8" s="347">
        <f t="shared" si="10"/>
        <v>1</v>
      </c>
      <c r="U8" s="347">
        <f t="shared" si="10"/>
        <v>2</v>
      </c>
      <c r="V8" s="42">
        <f t="shared" si="10"/>
        <v>2</v>
      </c>
      <c r="W8" s="42">
        <f t="shared" si="10"/>
        <v>3</v>
      </c>
      <c r="X8" s="347">
        <f t="shared" si="10"/>
        <v>3</v>
      </c>
      <c r="Y8" s="347">
        <f t="shared" si="10"/>
        <v>4</v>
      </c>
      <c r="Z8" s="42">
        <f t="shared" si="10"/>
        <v>4</v>
      </c>
      <c r="AA8" s="77">
        <f t="shared" si="10"/>
        <v>5</v>
      </c>
      <c r="AC8" s="89">
        <v>100</v>
      </c>
      <c r="AD8" s="29">
        <v>100</v>
      </c>
      <c r="AE8" s="29">
        <v>100</v>
      </c>
      <c r="AF8" s="29">
        <v>100</v>
      </c>
      <c r="AG8" s="347">
        <v>100</v>
      </c>
    </row>
    <row r="9" spans="1:33">
      <c r="A9" s="10">
        <v>31</v>
      </c>
      <c r="B9" s="10">
        <f t="shared" si="4"/>
        <v>21</v>
      </c>
      <c r="C9" s="102" t="s">
        <v>169</v>
      </c>
      <c r="D9" s="116">
        <v>5</v>
      </c>
      <c r="E9" s="103">
        <f t="shared" si="0"/>
        <v>1</v>
      </c>
      <c r="F9" s="123">
        <v>2</v>
      </c>
      <c r="G9" s="340">
        <f t="shared" si="5"/>
        <v>55.5</v>
      </c>
      <c r="H9" s="343">
        <f t="shared" si="6"/>
        <v>22</v>
      </c>
      <c r="I9" s="343">
        <f t="shared" si="7"/>
        <v>2.5</v>
      </c>
      <c r="J9" s="91"/>
      <c r="K9" s="11">
        <f t="shared" si="2"/>
        <v>80</v>
      </c>
      <c r="L9" s="230">
        <f t="shared" si="8"/>
        <v>16</v>
      </c>
      <c r="M9" s="233">
        <f t="shared" si="9"/>
        <v>4</v>
      </c>
      <c r="N9" s="235"/>
      <c r="O9" s="235"/>
      <c r="P9" s="91"/>
      <c r="R9" s="350">
        <f t="shared" si="10"/>
        <v>1</v>
      </c>
      <c r="S9" s="42">
        <f t="shared" si="10"/>
        <v>1</v>
      </c>
      <c r="T9" s="347">
        <f t="shared" si="10"/>
        <v>1</v>
      </c>
      <c r="U9" s="347">
        <f t="shared" si="10"/>
        <v>2</v>
      </c>
      <c r="V9" s="42">
        <f t="shared" si="10"/>
        <v>2</v>
      </c>
      <c r="W9" s="42">
        <f t="shared" si="10"/>
        <v>3</v>
      </c>
      <c r="X9" s="347">
        <f t="shared" si="10"/>
        <v>3</v>
      </c>
      <c r="Y9" s="347">
        <f t="shared" si="10"/>
        <v>4</v>
      </c>
      <c r="Z9" s="42">
        <f t="shared" si="10"/>
        <v>4</v>
      </c>
      <c r="AA9" s="77">
        <f t="shared" si="10"/>
        <v>5</v>
      </c>
      <c r="AC9" s="89">
        <v>100</v>
      </c>
      <c r="AD9" s="29">
        <v>100</v>
      </c>
      <c r="AE9" s="29">
        <v>100</v>
      </c>
      <c r="AF9" s="29">
        <v>100</v>
      </c>
      <c r="AG9" s="347">
        <v>100</v>
      </c>
    </row>
    <row r="10" spans="1:33">
      <c r="A10" s="10">
        <v>33</v>
      </c>
      <c r="B10" s="10">
        <f t="shared" si="4"/>
        <v>26</v>
      </c>
      <c r="C10" s="84" t="s">
        <v>170</v>
      </c>
      <c r="D10" s="117">
        <v>6</v>
      </c>
      <c r="E10" s="80">
        <v>1</v>
      </c>
      <c r="F10" s="121">
        <v>1</v>
      </c>
      <c r="G10" s="80">
        <f t="shared" si="5"/>
        <v>51</v>
      </c>
      <c r="H10" s="344">
        <f t="shared" si="6"/>
        <v>26</v>
      </c>
      <c r="I10" s="344">
        <f t="shared" si="7"/>
        <v>3</v>
      </c>
      <c r="J10" s="91"/>
      <c r="K10" s="11">
        <f t="shared" si="2"/>
        <v>80</v>
      </c>
      <c r="L10" s="80">
        <f t="shared" si="8"/>
        <v>15.5</v>
      </c>
      <c r="M10" s="234">
        <f t="shared" si="9"/>
        <v>4.5</v>
      </c>
      <c r="N10" s="235"/>
      <c r="O10" s="235"/>
      <c r="P10" s="91"/>
      <c r="R10" s="84">
        <f>R9</f>
        <v>1</v>
      </c>
      <c r="S10" s="41">
        <f t="shared" ref="S10:S19" si="11">S9</f>
        <v>1</v>
      </c>
      <c r="T10" s="31">
        <f>T9</f>
        <v>1</v>
      </c>
      <c r="U10" s="31">
        <f t="shared" ref="U10:U44" si="12">U9</f>
        <v>2</v>
      </c>
      <c r="V10" s="41">
        <f>V9</f>
        <v>2</v>
      </c>
      <c r="W10" s="41">
        <f t="shared" ref="W10:W44" si="13">W9</f>
        <v>3</v>
      </c>
      <c r="X10" s="31">
        <f>X9</f>
        <v>3</v>
      </c>
      <c r="Y10" s="31">
        <f t="shared" ref="Y10:Y44" si="14">Y9</f>
        <v>4</v>
      </c>
      <c r="Z10" s="41">
        <f t="shared" ref="Z10:Z19" si="15">Z9</f>
        <v>4</v>
      </c>
      <c r="AA10" s="78">
        <f t="shared" ref="AA10:AA44" si="16">AA9</f>
        <v>5</v>
      </c>
      <c r="AC10" s="80">
        <v>100</v>
      </c>
      <c r="AD10" s="31">
        <v>100</v>
      </c>
      <c r="AE10" s="31">
        <v>100</v>
      </c>
      <c r="AF10" s="31">
        <v>100</v>
      </c>
      <c r="AG10" s="346">
        <v>100</v>
      </c>
    </row>
    <row r="11" spans="1:33">
      <c r="A11" s="10">
        <v>34</v>
      </c>
      <c r="B11" s="10">
        <f t="shared" si="4"/>
        <v>31</v>
      </c>
      <c r="C11" s="84" t="s">
        <v>171</v>
      </c>
      <c r="D11" s="117">
        <v>7</v>
      </c>
      <c r="E11" s="80">
        <v>1</v>
      </c>
      <c r="F11" s="121">
        <v>1</v>
      </c>
      <c r="G11" s="80">
        <f t="shared" si="5"/>
        <v>46.5</v>
      </c>
      <c r="H11" s="344">
        <f t="shared" si="6"/>
        <v>30</v>
      </c>
      <c r="I11" s="344">
        <f t="shared" si="7"/>
        <v>3.5</v>
      </c>
      <c r="J11" s="91"/>
      <c r="K11" s="11">
        <f t="shared" si="2"/>
        <v>80</v>
      </c>
      <c r="L11" s="80">
        <f t="shared" si="8"/>
        <v>15</v>
      </c>
      <c r="M11" s="234">
        <f t="shared" si="9"/>
        <v>5</v>
      </c>
      <c r="N11" s="235"/>
      <c r="O11" s="235"/>
      <c r="P11" s="91"/>
      <c r="R11" s="84">
        <f t="shared" ref="R11:R19" si="17">R10</f>
        <v>1</v>
      </c>
      <c r="S11" s="41">
        <f t="shared" si="11"/>
        <v>1</v>
      </c>
      <c r="T11" s="31">
        <f t="shared" ref="T11:T19" si="18">T10</f>
        <v>1</v>
      </c>
      <c r="U11" s="31">
        <f t="shared" si="12"/>
        <v>2</v>
      </c>
      <c r="V11" s="41">
        <f t="shared" ref="V11:V19" si="19">V10</f>
        <v>2</v>
      </c>
      <c r="W11" s="41">
        <f t="shared" si="13"/>
        <v>3</v>
      </c>
      <c r="X11" s="31">
        <f t="shared" ref="X11:X19" si="20">X10</f>
        <v>3</v>
      </c>
      <c r="Y11" s="31">
        <f t="shared" si="14"/>
        <v>4</v>
      </c>
      <c r="Z11" s="41">
        <f t="shared" si="15"/>
        <v>4</v>
      </c>
      <c r="AA11" s="78">
        <f t="shared" si="16"/>
        <v>5</v>
      </c>
      <c r="AC11" s="80">
        <v>100</v>
      </c>
      <c r="AD11" s="31">
        <v>100</v>
      </c>
      <c r="AE11" s="31">
        <v>100</v>
      </c>
      <c r="AF11" s="31">
        <v>100</v>
      </c>
      <c r="AG11" s="346">
        <v>100</v>
      </c>
    </row>
    <row r="12" spans="1:33">
      <c r="A12" s="10">
        <v>36</v>
      </c>
      <c r="B12" s="10">
        <f t="shared" si="4"/>
        <v>36</v>
      </c>
      <c r="C12" s="84" t="s">
        <v>172</v>
      </c>
      <c r="D12" s="117">
        <v>8</v>
      </c>
      <c r="E12" s="80">
        <v>1</v>
      </c>
      <c r="F12" s="121">
        <v>1</v>
      </c>
      <c r="G12" s="80">
        <f t="shared" ref="G12:G20" si="21">80-J12-I12-H12</f>
        <v>42</v>
      </c>
      <c r="H12" s="344">
        <f t="shared" si="6"/>
        <v>34</v>
      </c>
      <c r="I12" s="344">
        <f t="shared" si="7"/>
        <v>4</v>
      </c>
      <c r="J12" s="91"/>
      <c r="K12" s="11">
        <f t="shared" si="2"/>
        <v>80</v>
      </c>
      <c r="L12" s="80">
        <f t="shared" si="8"/>
        <v>14.5</v>
      </c>
      <c r="M12" s="234">
        <f t="shared" si="9"/>
        <v>5.5</v>
      </c>
      <c r="N12" s="235"/>
      <c r="O12" s="235"/>
      <c r="P12" s="91"/>
      <c r="R12" s="84">
        <f t="shared" si="17"/>
        <v>1</v>
      </c>
      <c r="S12" s="41">
        <f t="shared" si="11"/>
        <v>1</v>
      </c>
      <c r="T12" s="31">
        <f t="shared" si="18"/>
        <v>1</v>
      </c>
      <c r="U12" s="31">
        <f t="shared" si="12"/>
        <v>2</v>
      </c>
      <c r="V12" s="41">
        <f t="shared" si="19"/>
        <v>2</v>
      </c>
      <c r="W12" s="41">
        <f t="shared" si="13"/>
        <v>3</v>
      </c>
      <c r="X12" s="31">
        <f t="shared" si="20"/>
        <v>3</v>
      </c>
      <c r="Y12" s="31">
        <f t="shared" si="14"/>
        <v>4</v>
      </c>
      <c r="Z12" s="41">
        <f t="shared" si="15"/>
        <v>4</v>
      </c>
      <c r="AA12" s="78">
        <f t="shared" si="16"/>
        <v>5</v>
      </c>
      <c r="AC12" s="80">
        <v>100</v>
      </c>
      <c r="AD12" s="31">
        <v>100</v>
      </c>
      <c r="AE12" s="31">
        <v>100</v>
      </c>
      <c r="AF12" s="31">
        <v>100</v>
      </c>
      <c r="AG12" s="346">
        <v>100</v>
      </c>
    </row>
    <row r="13" spans="1:33">
      <c r="A13" s="10">
        <v>38</v>
      </c>
      <c r="B13" s="10">
        <f t="shared" si="4"/>
        <v>41</v>
      </c>
      <c r="C13" s="84" t="s">
        <v>173</v>
      </c>
      <c r="D13" s="117">
        <v>9</v>
      </c>
      <c r="E13" s="80">
        <v>1</v>
      </c>
      <c r="F13" s="121">
        <v>1</v>
      </c>
      <c r="G13" s="80">
        <f t="shared" si="21"/>
        <v>37.5</v>
      </c>
      <c r="H13" s="344">
        <f t="shared" si="6"/>
        <v>38</v>
      </c>
      <c r="I13" s="344">
        <f t="shared" si="7"/>
        <v>4.5</v>
      </c>
      <c r="J13" s="91"/>
      <c r="K13" s="11">
        <f t="shared" si="2"/>
        <v>80</v>
      </c>
      <c r="L13" s="80">
        <f t="shared" si="8"/>
        <v>14</v>
      </c>
      <c r="M13" s="234">
        <f t="shared" si="9"/>
        <v>6</v>
      </c>
      <c r="N13" s="235"/>
      <c r="O13" s="235"/>
      <c r="P13" s="91"/>
      <c r="R13" s="84">
        <f t="shared" si="17"/>
        <v>1</v>
      </c>
      <c r="S13" s="41">
        <f t="shared" si="11"/>
        <v>1</v>
      </c>
      <c r="T13" s="31">
        <f t="shared" si="18"/>
        <v>1</v>
      </c>
      <c r="U13" s="31">
        <f t="shared" si="12"/>
        <v>2</v>
      </c>
      <c r="V13" s="41">
        <f t="shared" si="19"/>
        <v>2</v>
      </c>
      <c r="W13" s="41">
        <f t="shared" si="13"/>
        <v>3</v>
      </c>
      <c r="X13" s="31">
        <f t="shared" si="20"/>
        <v>3</v>
      </c>
      <c r="Y13" s="31">
        <f t="shared" si="14"/>
        <v>4</v>
      </c>
      <c r="Z13" s="41">
        <f t="shared" si="15"/>
        <v>4</v>
      </c>
      <c r="AA13" s="78">
        <f t="shared" si="16"/>
        <v>5</v>
      </c>
      <c r="AC13" s="80">
        <v>100</v>
      </c>
      <c r="AD13" s="31">
        <v>100</v>
      </c>
      <c r="AE13" s="31">
        <v>100</v>
      </c>
      <c r="AF13" s="31">
        <v>100</v>
      </c>
      <c r="AG13" s="346">
        <v>100</v>
      </c>
    </row>
    <row r="14" spans="1:33">
      <c r="A14" s="10">
        <v>39</v>
      </c>
      <c r="B14" s="10">
        <f t="shared" si="4"/>
        <v>46</v>
      </c>
      <c r="C14" s="84" t="s">
        <v>174</v>
      </c>
      <c r="D14" s="117">
        <v>10</v>
      </c>
      <c r="E14" s="80">
        <v>1</v>
      </c>
      <c r="F14" s="121">
        <v>2</v>
      </c>
      <c r="G14" s="80">
        <f t="shared" si="21"/>
        <v>33</v>
      </c>
      <c r="H14" s="344">
        <f t="shared" si="6"/>
        <v>42</v>
      </c>
      <c r="I14" s="344">
        <f t="shared" si="7"/>
        <v>5</v>
      </c>
      <c r="J14" s="91"/>
      <c r="K14" s="11">
        <f t="shared" si="2"/>
        <v>80</v>
      </c>
      <c r="L14" s="80">
        <f t="shared" si="8"/>
        <v>13.5</v>
      </c>
      <c r="M14" s="234">
        <f t="shared" si="9"/>
        <v>6.5</v>
      </c>
      <c r="N14" s="235"/>
      <c r="O14" s="235"/>
      <c r="P14" s="91"/>
      <c r="R14" s="84">
        <f t="shared" si="17"/>
        <v>1</v>
      </c>
      <c r="S14" s="41">
        <f t="shared" si="11"/>
        <v>1</v>
      </c>
      <c r="T14" s="31">
        <f t="shared" si="18"/>
        <v>1</v>
      </c>
      <c r="U14" s="31">
        <f t="shared" si="12"/>
        <v>2</v>
      </c>
      <c r="V14" s="41">
        <f t="shared" si="19"/>
        <v>2</v>
      </c>
      <c r="W14" s="41">
        <f t="shared" si="13"/>
        <v>3</v>
      </c>
      <c r="X14" s="31">
        <f t="shared" si="20"/>
        <v>3</v>
      </c>
      <c r="Y14" s="31">
        <f t="shared" si="14"/>
        <v>4</v>
      </c>
      <c r="Z14" s="41">
        <f t="shared" si="15"/>
        <v>4</v>
      </c>
      <c r="AA14" s="78">
        <f t="shared" si="16"/>
        <v>5</v>
      </c>
      <c r="AC14" s="80">
        <v>100</v>
      </c>
      <c r="AD14" s="31">
        <v>100</v>
      </c>
      <c r="AE14" s="31">
        <v>100</v>
      </c>
      <c r="AF14" s="31">
        <v>100</v>
      </c>
      <c r="AG14" s="346">
        <v>100</v>
      </c>
    </row>
    <row r="15" spans="1:33">
      <c r="A15" s="10">
        <v>41</v>
      </c>
      <c r="B15" s="10">
        <f t="shared" si="4"/>
        <v>51</v>
      </c>
      <c r="C15" s="102" t="s">
        <v>204</v>
      </c>
      <c r="D15" s="116">
        <v>11</v>
      </c>
      <c r="E15" s="103">
        <v>1</v>
      </c>
      <c r="F15" s="120">
        <v>1</v>
      </c>
      <c r="G15" s="340">
        <f t="shared" si="21"/>
        <v>28.5</v>
      </c>
      <c r="H15" s="343">
        <f t="shared" si="6"/>
        <v>46</v>
      </c>
      <c r="I15" s="343">
        <f t="shared" si="7"/>
        <v>5.5</v>
      </c>
      <c r="J15" s="91"/>
      <c r="K15" s="11">
        <f t="shared" si="2"/>
        <v>80</v>
      </c>
      <c r="L15" s="230">
        <f t="shared" si="8"/>
        <v>13</v>
      </c>
      <c r="M15" s="233">
        <f t="shared" si="9"/>
        <v>7</v>
      </c>
      <c r="N15" s="235"/>
      <c r="O15" s="235"/>
      <c r="P15" s="91"/>
      <c r="R15" s="83">
        <f t="shared" si="17"/>
        <v>1</v>
      </c>
      <c r="S15" s="42">
        <f t="shared" si="11"/>
        <v>1</v>
      </c>
      <c r="T15" s="29">
        <f t="shared" si="18"/>
        <v>1</v>
      </c>
      <c r="U15" s="29">
        <f t="shared" si="12"/>
        <v>2</v>
      </c>
      <c r="V15" s="42">
        <f t="shared" si="19"/>
        <v>2</v>
      </c>
      <c r="W15" s="42">
        <f t="shared" si="13"/>
        <v>3</v>
      </c>
      <c r="X15" s="347">
        <f t="shared" si="20"/>
        <v>3</v>
      </c>
      <c r="Y15" s="347">
        <f t="shared" si="14"/>
        <v>4</v>
      </c>
      <c r="Z15" s="42">
        <f t="shared" si="15"/>
        <v>4</v>
      </c>
      <c r="AA15" s="77">
        <f t="shared" si="16"/>
        <v>5</v>
      </c>
      <c r="AC15" s="89">
        <v>100</v>
      </c>
      <c r="AD15" s="29">
        <v>100</v>
      </c>
      <c r="AE15" s="29">
        <v>100</v>
      </c>
      <c r="AF15" s="29">
        <v>100</v>
      </c>
      <c r="AG15" s="347">
        <v>100</v>
      </c>
    </row>
    <row r="16" spans="1:33">
      <c r="A16" s="10">
        <v>43</v>
      </c>
      <c r="B16" s="10">
        <f t="shared" si="4"/>
        <v>56</v>
      </c>
      <c r="C16" s="102" t="s">
        <v>175</v>
      </c>
      <c r="D16" s="116">
        <v>12</v>
      </c>
      <c r="E16" s="103">
        <v>1</v>
      </c>
      <c r="F16" s="120">
        <v>1</v>
      </c>
      <c r="G16" s="340">
        <f t="shared" si="21"/>
        <v>24</v>
      </c>
      <c r="H16" s="343">
        <f t="shared" si="6"/>
        <v>50</v>
      </c>
      <c r="I16" s="343">
        <f t="shared" si="7"/>
        <v>6</v>
      </c>
      <c r="J16" s="91"/>
      <c r="K16" s="11">
        <f t="shared" si="2"/>
        <v>80</v>
      </c>
      <c r="L16" s="230">
        <f t="shared" si="8"/>
        <v>12.5</v>
      </c>
      <c r="M16" s="233">
        <f t="shared" si="9"/>
        <v>7.5</v>
      </c>
      <c r="N16" s="235"/>
      <c r="O16" s="235"/>
      <c r="P16" s="91"/>
      <c r="R16" s="83">
        <f t="shared" si="17"/>
        <v>1</v>
      </c>
      <c r="S16" s="42">
        <f t="shared" si="11"/>
        <v>1</v>
      </c>
      <c r="T16" s="29">
        <f t="shared" si="18"/>
        <v>1</v>
      </c>
      <c r="U16" s="29">
        <f t="shared" si="12"/>
        <v>2</v>
      </c>
      <c r="V16" s="42">
        <f t="shared" si="19"/>
        <v>2</v>
      </c>
      <c r="W16" s="42">
        <f t="shared" si="13"/>
        <v>3</v>
      </c>
      <c r="X16" s="29">
        <f t="shared" si="20"/>
        <v>3</v>
      </c>
      <c r="Y16" s="29">
        <f t="shared" si="14"/>
        <v>4</v>
      </c>
      <c r="Z16" s="42">
        <f t="shared" si="15"/>
        <v>4</v>
      </c>
      <c r="AA16" s="77">
        <f t="shared" si="16"/>
        <v>5</v>
      </c>
      <c r="AC16" s="89">
        <v>100</v>
      </c>
      <c r="AD16" s="29">
        <v>100</v>
      </c>
      <c r="AE16" s="29">
        <v>100</v>
      </c>
      <c r="AF16" s="29">
        <v>100</v>
      </c>
      <c r="AG16" s="347">
        <v>100</v>
      </c>
    </row>
    <row r="17" spans="1:33">
      <c r="A17" s="10">
        <v>44</v>
      </c>
      <c r="B17" s="10">
        <f t="shared" si="4"/>
        <v>61</v>
      </c>
      <c r="C17" s="102" t="s">
        <v>176</v>
      </c>
      <c r="D17" s="116">
        <v>13</v>
      </c>
      <c r="E17" s="103">
        <v>1</v>
      </c>
      <c r="F17" s="120">
        <v>1</v>
      </c>
      <c r="G17" s="340">
        <f t="shared" si="21"/>
        <v>19.5</v>
      </c>
      <c r="H17" s="343">
        <f t="shared" si="6"/>
        <v>54</v>
      </c>
      <c r="I17" s="343">
        <f t="shared" si="7"/>
        <v>6.5</v>
      </c>
      <c r="J17" s="91"/>
      <c r="K17" s="11">
        <f t="shared" si="2"/>
        <v>80</v>
      </c>
      <c r="L17" s="230">
        <f t="shared" si="8"/>
        <v>12</v>
      </c>
      <c r="M17" s="233">
        <f t="shared" si="9"/>
        <v>8</v>
      </c>
      <c r="N17" s="235"/>
      <c r="O17" s="235"/>
      <c r="P17" s="91"/>
      <c r="R17" s="83">
        <f t="shared" si="17"/>
        <v>1</v>
      </c>
      <c r="S17" s="42">
        <f t="shared" si="11"/>
        <v>1</v>
      </c>
      <c r="T17" s="29">
        <f t="shared" si="18"/>
        <v>1</v>
      </c>
      <c r="U17" s="29">
        <f t="shared" si="12"/>
        <v>2</v>
      </c>
      <c r="V17" s="42">
        <f t="shared" si="19"/>
        <v>2</v>
      </c>
      <c r="W17" s="42">
        <f t="shared" si="13"/>
        <v>3</v>
      </c>
      <c r="X17" s="29">
        <f t="shared" si="20"/>
        <v>3</v>
      </c>
      <c r="Y17" s="29">
        <f t="shared" si="14"/>
        <v>4</v>
      </c>
      <c r="Z17" s="42">
        <f t="shared" si="15"/>
        <v>4</v>
      </c>
      <c r="AA17" s="77">
        <f t="shared" si="16"/>
        <v>5</v>
      </c>
      <c r="AC17" s="89">
        <v>100</v>
      </c>
      <c r="AD17" s="29">
        <v>100</v>
      </c>
      <c r="AE17" s="29">
        <v>100</v>
      </c>
      <c r="AF17" s="29">
        <v>100</v>
      </c>
      <c r="AG17" s="347">
        <v>100</v>
      </c>
    </row>
    <row r="18" spans="1:33">
      <c r="A18" s="10">
        <v>46</v>
      </c>
      <c r="B18" s="10">
        <f t="shared" si="4"/>
        <v>66</v>
      </c>
      <c r="C18" s="102" t="s">
        <v>177</v>
      </c>
      <c r="D18" s="116">
        <v>14</v>
      </c>
      <c r="E18" s="103">
        <v>1</v>
      </c>
      <c r="F18" s="123">
        <v>2</v>
      </c>
      <c r="G18" s="340">
        <f t="shared" si="21"/>
        <v>15</v>
      </c>
      <c r="H18" s="343">
        <f t="shared" si="6"/>
        <v>58</v>
      </c>
      <c r="I18" s="343">
        <f t="shared" si="7"/>
        <v>7</v>
      </c>
      <c r="J18" s="91"/>
      <c r="K18" s="11">
        <f t="shared" si="2"/>
        <v>80</v>
      </c>
      <c r="L18" s="230">
        <f t="shared" si="8"/>
        <v>11.5</v>
      </c>
      <c r="M18" s="233">
        <f t="shared" si="9"/>
        <v>8.5</v>
      </c>
      <c r="N18" s="235"/>
      <c r="O18" s="235"/>
      <c r="P18" s="91"/>
      <c r="R18" s="83">
        <f t="shared" si="17"/>
        <v>1</v>
      </c>
      <c r="S18" s="42">
        <f t="shared" si="11"/>
        <v>1</v>
      </c>
      <c r="T18" s="29">
        <f t="shared" si="18"/>
        <v>1</v>
      </c>
      <c r="U18" s="29">
        <f t="shared" si="12"/>
        <v>2</v>
      </c>
      <c r="V18" s="42">
        <f t="shared" si="19"/>
        <v>2</v>
      </c>
      <c r="W18" s="42">
        <f t="shared" si="13"/>
        <v>3</v>
      </c>
      <c r="X18" s="29">
        <f t="shared" si="20"/>
        <v>3</v>
      </c>
      <c r="Y18" s="29">
        <f t="shared" si="14"/>
        <v>4</v>
      </c>
      <c r="Z18" s="42">
        <f t="shared" si="15"/>
        <v>4</v>
      </c>
      <c r="AA18" s="77">
        <f t="shared" si="16"/>
        <v>5</v>
      </c>
      <c r="AC18" s="89">
        <v>100</v>
      </c>
      <c r="AD18" s="29">
        <v>100</v>
      </c>
      <c r="AE18" s="29">
        <v>100</v>
      </c>
      <c r="AF18" s="29">
        <v>100</v>
      </c>
      <c r="AG18" s="347">
        <v>100</v>
      </c>
    </row>
    <row r="19" spans="1:33">
      <c r="A19" s="10">
        <v>48</v>
      </c>
      <c r="B19" s="10">
        <f t="shared" si="4"/>
        <v>71</v>
      </c>
      <c r="C19" s="102" t="s">
        <v>178</v>
      </c>
      <c r="D19" s="116">
        <v>15</v>
      </c>
      <c r="E19" s="103">
        <v>1</v>
      </c>
      <c r="F19" s="120">
        <v>2</v>
      </c>
      <c r="G19" s="340">
        <f t="shared" si="21"/>
        <v>10.5</v>
      </c>
      <c r="H19" s="343">
        <f t="shared" si="6"/>
        <v>62</v>
      </c>
      <c r="I19" s="343">
        <f t="shared" si="7"/>
        <v>7.5</v>
      </c>
      <c r="J19" s="91"/>
      <c r="K19" s="11">
        <f t="shared" si="2"/>
        <v>80</v>
      </c>
      <c r="L19" s="230">
        <f t="shared" si="8"/>
        <v>11</v>
      </c>
      <c r="M19" s="233">
        <f t="shared" si="9"/>
        <v>9</v>
      </c>
      <c r="N19" s="235"/>
      <c r="O19" s="235"/>
      <c r="P19" s="91"/>
      <c r="R19" s="83">
        <f t="shared" si="17"/>
        <v>1</v>
      </c>
      <c r="S19" s="42">
        <f t="shared" si="11"/>
        <v>1</v>
      </c>
      <c r="T19" s="29">
        <f t="shared" si="18"/>
        <v>1</v>
      </c>
      <c r="U19" s="29">
        <f t="shared" si="12"/>
        <v>2</v>
      </c>
      <c r="V19" s="42">
        <f t="shared" si="19"/>
        <v>2</v>
      </c>
      <c r="W19" s="42">
        <f t="shared" si="13"/>
        <v>3</v>
      </c>
      <c r="X19" s="29">
        <f t="shared" si="20"/>
        <v>3</v>
      </c>
      <c r="Y19" s="29">
        <f t="shared" si="14"/>
        <v>4</v>
      </c>
      <c r="Z19" s="42">
        <f t="shared" si="15"/>
        <v>4</v>
      </c>
      <c r="AA19" s="77">
        <f t="shared" si="16"/>
        <v>5</v>
      </c>
      <c r="AC19" s="89">
        <v>100</v>
      </c>
      <c r="AD19" s="29">
        <v>100</v>
      </c>
      <c r="AE19" s="29">
        <v>100</v>
      </c>
      <c r="AF19" s="29">
        <v>100</v>
      </c>
      <c r="AG19" s="347">
        <v>100</v>
      </c>
    </row>
    <row r="20" spans="1:33">
      <c r="A20" s="10">
        <v>49</v>
      </c>
      <c r="B20" s="10">
        <f t="shared" si="4"/>
        <v>76</v>
      </c>
      <c r="C20" s="84" t="s">
        <v>179</v>
      </c>
      <c r="D20" s="117">
        <v>16</v>
      </c>
      <c r="E20" s="80">
        <v>1</v>
      </c>
      <c r="F20" s="121">
        <v>1</v>
      </c>
      <c r="G20" s="80">
        <f t="shared" si="21"/>
        <v>6</v>
      </c>
      <c r="H20" s="344">
        <f t="shared" si="6"/>
        <v>66</v>
      </c>
      <c r="I20" s="344">
        <f t="shared" si="7"/>
        <v>8</v>
      </c>
      <c r="J20" s="91"/>
      <c r="K20" s="11">
        <f t="shared" si="2"/>
        <v>80</v>
      </c>
      <c r="L20" s="88">
        <v>10.5</v>
      </c>
      <c r="M20" s="232">
        <v>9</v>
      </c>
      <c r="N20" s="232">
        <v>0.5</v>
      </c>
      <c r="O20" s="235"/>
      <c r="P20" s="91"/>
      <c r="R20" s="84">
        <f>R19</f>
        <v>1</v>
      </c>
      <c r="S20" s="41">
        <f t="shared" ref="S20:S39" si="22">S19</f>
        <v>1</v>
      </c>
      <c r="T20" s="31">
        <f>T19</f>
        <v>1</v>
      </c>
      <c r="U20" s="31">
        <f t="shared" si="12"/>
        <v>2</v>
      </c>
      <c r="V20" s="41">
        <f t="shared" ref="V20:V29" si="23">V19</f>
        <v>2</v>
      </c>
      <c r="W20" s="41">
        <f t="shared" si="13"/>
        <v>3</v>
      </c>
      <c r="X20" s="31">
        <f>X19</f>
        <v>3</v>
      </c>
      <c r="Y20" s="31">
        <f t="shared" si="14"/>
        <v>4</v>
      </c>
      <c r="Z20" s="41">
        <f>Z19</f>
        <v>4</v>
      </c>
      <c r="AA20" s="78">
        <f t="shared" si="16"/>
        <v>5</v>
      </c>
      <c r="AC20" s="80">
        <v>100</v>
      </c>
      <c r="AD20" s="31">
        <v>100</v>
      </c>
      <c r="AE20" s="31">
        <v>100</v>
      </c>
      <c r="AF20" s="31">
        <v>100</v>
      </c>
      <c r="AG20" s="346">
        <v>100</v>
      </c>
    </row>
    <row r="21" spans="1:33">
      <c r="A21" s="10">
        <v>21</v>
      </c>
      <c r="B21" s="10">
        <f t="shared" si="4"/>
        <v>81</v>
      </c>
      <c r="C21" s="84" t="s">
        <v>180</v>
      </c>
      <c r="D21" s="117">
        <v>17</v>
      </c>
      <c r="E21" s="80">
        <v>1</v>
      </c>
      <c r="F21" s="121">
        <v>1</v>
      </c>
      <c r="G21" s="80">
        <f>80-J21-I21-H21</f>
        <v>1.5</v>
      </c>
      <c r="H21" s="344">
        <f t="shared" si="6"/>
        <v>70</v>
      </c>
      <c r="I21" s="344">
        <f t="shared" si="7"/>
        <v>8.5</v>
      </c>
      <c r="J21" s="91"/>
      <c r="K21" s="11">
        <f t="shared" si="2"/>
        <v>80</v>
      </c>
      <c r="L21" s="80">
        <f t="shared" si="8"/>
        <v>10</v>
      </c>
      <c r="M21" s="234">
        <f>20-L21-N21</f>
        <v>9</v>
      </c>
      <c r="N21" s="234">
        <f>N20+0.5</f>
        <v>1</v>
      </c>
      <c r="O21" s="235"/>
      <c r="P21" s="91"/>
      <c r="R21" s="84">
        <f t="shared" ref="R21:R29" si="24">R20</f>
        <v>1</v>
      </c>
      <c r="S21" s="41">
        <f t="shared" si="22"/>
        <v>1</v>
      </c>
      <c r="T21" s="31">
        <f t="shared" ref="T21:T29" si="25">T20</f>
        <v>1</v>
      </c>
      <c r="U21" s="31">
        <f t="shared" si="12"/>
        <v>2</v>
      </c>
      <c r="V21" s="41">
        <f t="shared" si="23"/>
        <v>2</v>
      </c>
      <c r="W21" s="41">
        <f t="shared" si="13"/>
        <v>3</v>
      </c>
      <c r="X21" s="31">
        <f t="shared" ref="X21:X29" si="26">X20</f>
        <v>3</v>
      </c>
      <c r="Y21" s="31">
        <f t="shared" si="14"/>
        <v>4</v>
      </c>
      <c r="Z21" s="41">
        <f t="shared" ref="Z21:Z29" si="27">Z20</f>
        <v>4</v>
      </c>
      <c r="AA21" s="78">
        <f t="shared" si="16"/>
        <v>5</v>
      </c>
      <c r="AC21" s="80">
        <v>100</v>
      </c>
      <c r="AD21" s="31">
        <v>100</v>
      </c>
      <c r="AE21" s="31">
        <v>100</v>
      </c>
      <c r="AF21" s="31">
        <v>100</v>
      </c>
      <c r="AG21" s="346">
        <v>100</v>
      </c>
    </row>
    <row r="22" spans="1:33">
      <c r="A22" s="10">
        <v>103</v>
      </c>
      <c r="B22" s="10">
        <f t="shared" si="4"/>
        <v>86</v>
      </c>
      <c r="C22" s="84" t="s">
        <v>181</v>
      </c>
      <c r="D22" s="117">
        <v>18</v>
      </c>
      <c r="E22" s="80">
        <v>1</v>
      </c>
      <c r="F22" s="121">
        <v>1</v>
      </c>
      <c r="G22" s="80"/>
      <c r="H22" s="341">
        <f>80-I22-J22</f>
        <v>70</v>
      </c>
      <c r="I22" s="341">
        <v>9</v>
      </c>
      <c r="J22" s="85">
        <v>1</v>
      </c>
      <c r="K22" s="11">
        <f t="shared" si="2"/>
        <v>80</v>
      </c>
      <c r="L22" s="80">
        <f t="shared" si="8"/>
        <v>9.5</v>
      </c>
      <c r="M22" s="234">
        <f t="shared" ref="M22:M39" si="28">20-L22-N22</f>
        <v>9</v>
      </c>
      <c r="N22" s="234">
        <f t="shared" ref="N22:N30" si="29">N21+0.5</f>
        <v>1.5</v>
      </c>
      <c r="O22" s="235"/>
      <c r="P22" s="91"/>
      <c r="R22" s="84">
        <f t="shared" si="24"/>
        <v>1</v>
      </c>
      <c r="S22" s="41">
        <f t="shared" si="22"/>
        <v>1</v>
      </c>
      <c r="T22" s="31">
        <f t="shared" si="25"/>
        <v>1</v>
      </c>
      <c r="U22" s="31">
        <f t="shared" si="12"/>
        <v>2</v>
      </c>
      <c r="V22" s="41">
        <f t="shared" si="23"/>
        <v>2</v>
      </c>
      <c r="W22" s="41">
        <f t="shared" si="13"/>
        <v>3</v>
      </c>
      <c r="X22" s="31">
        <f t="shared" si="26"/>
        <v>3</v>
      </c>
      <c r="Y22" s="31">
        <f t="shared" si="14"/>
        <v>4</v>
      </c>
      <c r="Z22" s="41">
        <f t="shared" si="27"/>
        <v>4</v>
      </c>
      <c r="AA22" s="78">
        <f t="shared" si="16"/>
        <v>5</v>
      </c>
      <c r="AC22" s="80">
        <v>100</v>
      </c>
      <c r="AD22" s="31">
        <v>100</v>
      </c>
      <c r="AE22" s="31">
        <v>100</v>
      </c>
      <c r="AF22" s="31">
        <v>100</v>
      </c>
      <c r="AG22" s="346">
        <v>100</v>
      </c>
    </row>
    <row r="23" spans="1:33">
      <c r="A23" s="10">
        <v>186</v>
      </c>
      <c r="B23" s="10">
        <f t="shared" si="4"/>
        <v>91</v>
      </c>
      <c r="C23" s="84" t="s">
        <v>182</v>
      </c>
      <c r="D23" s="117">
        <v>19</v>
      </c>
      <c r="E23" s="80">
        <v>1</v>
      </c>
      <c r="F23" s="121">
        <v>2</v>
      </c>
      <c r="G23" s="80"/>
      <c r="H23" s="344">
        <f>80-I23-J23</f>
        <v>65.5</v>
      </c>
      <c r="I23" s="344">
        <f>I22+4</f>
        <v>13</v>
      </c>
      <c r="J23" s="74">
        <f>J22+0.5</f>
        <v>1.5</v>
      </c>
      <c r="K23" s="11">
        <f t="shared" si="2"/>
        <v>80</v>
      </c>
      <c r="L23" s="80">
        <f t="shared" si="8"/>
        <v>9</v>
      </c>
      <c r="M23" s="234">
        <f t="shared" si="28"/>
        <v>9</v>
      </c>
      <c r="N23" s="234">
        <f t="shared" si="29"/>
        <v>2</v>
      </c>
      <c r="O23" s="235"/>
      <c r="P23" s="91"/>
      <c r="R23" s="84">
        <f t="shared" si="24"/>
        <v>1</v>
      </c>
      <c r="S23" s="41">
        <f t="shared" si="22"/>
        <v>1</v>
      </c>
      <c r="T23" s="31">
        <f t="shared" si="25"/>
        <v>1</v>
      </c>
      <c r="U23" s="31">
        <f t="shared" si="12"/>
        <v>2</v>
      </c>
      <c r="V23" s="41">
        <f t="shared" si="23"/>
        <v>2</v>
      </c>
      <c r="W23" s="41">
        <f t="shared" si="13"/>
        <v>3</v>
      </c>
      <c r="X23" s="31">
        <f t="shared" si="26"/>
        <v>3</v>
      </c>
      <c r="Y23" s="31">
        <f t="shared" si="14"/>
        <v>4</v>
      </c>
      <c r="Z23" s="41">
        <f t="shared" si="27"/>
        <v>4</v>
      </c>
      <c r="AA23" s="78">
        <f t="shared" si="16"/>
        <v>5</v>
      </c>
      <c r="AC23" s="80">
        <v>100</v>
      </c>
      <c r="AD23" s="31">
        <v>100</v>
      </c>
      <c r="AE23" s="31">
        <v>100</v>
      </c>
      <c r="AF23" s="31">
        <v>100</v>
      </c>
      <c r="AG23" s="346">
        <v>100</v>
      </c>
    </row>
    <row r="24" spans="1:33">
      <c r="A24" s="10">
        <v>268</v>
      </c>
      <c r="B24" s="10">
        <f t="shared" si="4"/>
        <v>96</v>
      </c>
      <c r="C24" s="84" t="s">
        <v>183</v>
      </c>
      <c r="D24" s="117">
        <v>20</v>
      </c>
      <c r="E24" s="80">
        <v>1</v>
      </c>
      <c r="F24" s="121">
        <v>2</v>
      </c>
      <c r="G24" s="80"/>
      <c r="H24" s="344">
        <f>80-I24-J24</f>
        <v>61</v>
      </c>
      <c r="I24" s="344">
        <f t="shared" ref="I24" si="30">I23+4</f>
        <v>17</v>
      </c>
      <c r="J24" s="74">
        <f>J23+0.5</f>
        <v>2</v>
      </c>
      <c r="K24" s="11">
        <f t="shared" si="2"/>
        <v>80</v>
      </c>
      <c r="L24" s="80">
        <f t="shared" si="8"/>
        <v>8.5</v>
      </c>
      <c r="M24" s="234">
        <f t="shared" si="28"/>
        <v>9</v>
      </c>
      <c r="N24" s="234">
        <f t="shared" si="29"/>
        <v>2.5</v>
      </c>
      <c r="O24" s="235"/>
      <c r="P24" s="91"/>
      <c r="R24" s="84">
        <f t="shared" si="24"/>
        <v>1</v>
      </c>
      <c r="S24" s="41">
        <f t="shared" si="22"/>
        <v>1</v>
      </c>
      <c r="T24" s="31">
        <f t="shared" si="25"/>
        <v>1</v>
      </c>
      <c r="U24" s="31">
        <f t="shared" si="12"/>
        <v>2</v>
      </c>
      <c r="V24" s="41">
        <f t="shared" si="23"/>
        <v>2</v>
      </c>
      <c r="W24" s="41">
        <f t="shared" si="13"/>
        <v>3</v>
      </c>
      <c r="X24" s="31">
        <f t="shared" si="26"/>
        <v>3</v>
      </c>
      <c r="Y24" s="31">
        <f t="shared" si="14"/>
        <v>4</v>
      </c>
      <c r="Z24" s="41">
        <f t="shared" si="27"/>
        <v>4</v>
      </c>
      <c r="AA24" s="78">
        <f t="shared" si="16"/>
        <v>5</v>
      </c>
      <c r="AC24" s="80">
        <v>100</v>
      </c>
      <c r="AD24" s="31">
        <v>100</v>
      </c>
      <c r="AE24" s="31">
        <v>100</v>
      </c>
      <c r="AF24" s="31">
        <v>100</v>
      </c>
      <c r="AG24" s="346">
        <v>100</v>
      </c>
    </row>
    <row r="25" spans="1:33">
      <c r="A25" s="10">
        <v>351</v>
      </c>
      <c r="B25" s="10">
        <f t="shared" si="4"/>
        <v>101</v>
      </c>
      <c r="C25" s="102" t="s">
        <v>205</v>
      </c>
      <c r="D25" s="116">
        <v>21</v>
      </c>
      <c r="E25" s="103">
        <v>1</v>
      </c>
      <c r="F25" s="120">
        <v>1</v>
      </c>
      <c r="G25" s="340"/>
      <c r="H25" s="343">
        <f t="shared" ref="H25:H33" si="31">80-I25-J25</f>
        <v>56.5</v>
      </c>
      <c r="I25" s="343">
        <f t="shared" ref="I25:I29" si="32">I24+4</f>
        <v>21</v>
      </c>
      <c r="J25" s="90">
        <v>2.5</v>
      </c>
      <c r="K25" s="11">
        <f t="shared" si="2"/>
        <v>80</v>
      </c>
      <c r="L25" s="230">
        <f t="shared" si="8"/>
        <v>8</v>
      </c>
      <c r="M25" s="233">
        <f t="shared" si="28"/>
        <v>9</v>
      </c>
      <c r="N25" s="233">
        <f t="shared" si="29"/>
        <v>3</v>
      </c>
      <c r="O25" s="235"/>
      <c r="P25" s="91"/>
      <c r="R25" s="83">
        <f t="shared" si="24"/>
        <v>1</v>
      </c>
      <c r="S25" s="42">
        <f t="shared" si="22"/>
        <v>1</v>
      </c>
      <c r="T25" s="347">
        <f t="shared" si="25"/>
        <v>1</v>
      </c>
      <c r="U25" s="29">
        <f t="shared" si="12"/>
        <v>2</v>
      </c>
      <c r="V25" s="42">
        <f t="shared" si="23"/>
        <v>2</v>
      </c>
      <c r="W25" s="42">
        <f t="shared" si="13"/>
        <v>3</v>
      </c>
      <c r="X25" s="29">
        <f t="shared" si="26"/>
        <v>3</v>
      </c>
      <c r="Y25" s="29">
        <f t="shared" si="14"/>
        <v>4</v>
      </c>
      <c r="Z25" s="42">
        <f t="shared" ref="Z25" si="33">Z24</f>
        <v>4</v>
      </c>
      <c r="AA25" s="77">
        <f t="shared" ref="AA25" si="34">AA24</f>
        <v>5</v>
      </c>
      <c r="AC25" s="89">
        <v>100</v>
      </c>
      <c r="AD25" s="29">
        <v>100</v>
      </c>
      <c r="AE25" s="29">
        <v>100</v>
      </c>
      <c r="AF25" s="29">
        <v>100</v>
      </c>
      <c r="AG25" s="347">
        <v>100</v>
      </c>
    </row>
    <row r="26" spans="1:33">
      <c r="A26" s="10">
        <v>433</v>
      </c>
      <c r="B26" s="10">
        <f t="shared" si="4"/>
        <v>106</v>
      </c>
      <c r="C26" s="102" t="s">
        <v>184</v>
      </c>
      <c r="D26" s="116">
        <v>22</v>
      </c>
      <c r="E26" s="103">
        <v>1</v>
      </c>
      <c r="F26" s="120">
        <v>1</v>
      </c>
      <c r="G26" s="340"/>
      <c r="H26" s="343">
        <f t="shared" si="31"/>
        <v>52</v>
      </c>
      <c r="I26" s="343">
        <f t="shared" si="32"/>
        <v>25</v>
      </c>
      <c r="J26" s="90">
        <f>J25+0.5</f>
        <v>3</v>
      </c>
      <c r="K26" s="11">
        <f t="shared" si="2"/>
        <v>80</v>
      </c>
      <c r="L26" s="230">
        <f t="shared" si="8"/>
        <v>7.5</v>
      </c>
      <c r="M26" s="233">
        <f t="shared" si="28"/>
        <v>9</v>
      </c>
      <c r="N26" s="233">
        <f t="shared" si="29"/>
        <v>3.5</v>
      </c>
      <c r="O26" s="235"/>
      <c r="P26" s="91"/>
      <c r="R26" s="83">
        <f t="shared" si="24"/>
        <v>1</v>
      </c>
      <c r="S26" s="42">
        <f t="shared" si="22"/>
        <v>1</v>
      </c>
      <c r="T26" s="29">
        <f t="shared" si="25"/>
        <v>1</v>
      </c>
      <c r="U26" s="29">
        <f t="shared" si="12"/>
        <v>2</v>
      </c>
      <c r="V26" s="42">
        <f t="shared" si="23"/>
        <v>2</v>
      </c>
      <c r="W26" s="42">
        <f t="shared" si="13"/>
        <v>3</v>
      </c>
      <c r="X26" s="29">
        <f t="shared" si="26"/>
        <v>3</v>
      </c>
      <c r="Y26" s="29">
        <f t="shared" si="14"/>
        <v>4</v>
      </c>
      <c r="Z26" s="42">
        <f t="shared" si="27"/>
        <v>4</v>
      </c>
      <c r="AA26" s="77">
        <f t="shared" si="16"/>
        <v>5</v>
      </c>
      <c r="AC26" s="89">
        <v>100</v>
      </c>
      <c r="AD26" s="29">
        <v>100</v>
      </c>
      <c r="AE26" s="29">
        <v>100</v>
      </c>
      <c r="AF26" s="29">
        <v>100</v>
      </c>
      <c r="AG26" s="347">
        <v>100</v>
      </c>
    </row>
    <row r="27" spans="1:33">
      <c r="A27" s="10">
        <v>516</v>
      </c>
      <c r="B27" s="10">
        <f t="shared" si="4"/>
        <v>111</v>
      </c>
      <c r="C27" s="102" t="s">
        <v>185</v>
      </c>
      <c r="D27" s="116">
        <v>23</v>
      </c>
      <c r="E27" s="103">
        <v>1</v>
      </c>
      <c r="F27" s="120">
        <v>1</v>
      </c>
      <c r="G27" s="340"/>
      <c r="H27" s="343">
        <f t="shared" si="31"/>
        <v>47.5</v>
      </c>
      <c r="I27" s="343">
        <f t="shared" si="32"/>
        <v>29</v>
      </c>
      <c r="J27" s="90">
        <f t="shared" ref="J27:J34" si="35">J26+0.5</f>
        <v>3.5</v>
      </c>
      <c r="K27" s="11">
        <f t="shared" si="2"/>
        <v>80</v>
      </c>
      <c r="L27" s="230">
        <f t="shared" si="8"/>
        <v>7</v>
      </c>
      <c r="M27" s="233">
        <f t="shared" si="28"/>
        <v>9</v>
      </c>
      <c r="N27" s="233">
        <f t="shared" si="29"/>
        <v>4</v>
      </c>
      <c r="O27" s="235"/>
      <c r="P27" s="91"/>
      <c r="R27" s="83">
        <f t="shared" si="24"/>
        <v>1</v>
      </c>
      <c r="S27" s="42">
        <f t="shared" si="22"/>
        <v>1</v>
      </c>
      <c r="T27" s="29">
        <f t="shared" si="25"/>
        <v>1</v>
      </c>
      <c r="U27" s="29">
        <f t="shared" si="12"/>
        <v>2</v>
      </c>
      <c r="V27" s="42">
        <f t="shared" si="23"/>
        <v>2</v>
      </c>
      <c r="W27" s="42">
        <f t="shared" si="13"/>
        <v>3</v>
      </c>
      <c r="X27" s="29">
        <f t="shared" si="26"/>
        <v>3</v>
      </c>
      <c r="Y27" s="29">
        <f t="shared" si="14"/>
        <v>4</v>
      </c>
      <c r="Z27" s="42">
        <f t="shared" si="27"/>
        <v>4</v>
      </c>
      <c r="AA27" s="77">
        <f t="shared" si="16"/>
        <v>5</v>
      </c>
      <c r="AC27" s="89">
        <v>100</v>
      </c>
      <c r="AD27" s="29">
        <v>100</v>
      </c>
      <c r="AE27" s="29">
        <v>100</v>
      </c>
      <c r="AF27" s="29">
        <v>100</v>
      </c>
      <c r="AG27" s="347">
        <v>100</v>
      </c>
    </row>
    <row r="28" spans="1:33">
      <c r="A28" s="10">
        <v>598</v>
      </c>
      <c r="B28" s="10">
        <f t="shared" si="4"/>
        <v>116</v>
      </c>
      <c r="C28" s="102" t="s">
        <v>186</v>
      </c>
      <c r="D28" s="116">
        <v>24</v>
      </c>
      <c r="E28" s="103">
        <v>1</v>
      </c>
      <c r="F28" s="120">
        <v>2</v>
      </c>
      <c r="G28" s="340"/>
      <c r="H28" s="343">
        <f t="shared" si="31"/>
        <v>43</v>
      </c>
      <c r="I28" s="343">
        <f t="shared" si="32"/>
        <v>33</v>
      </c>
      <c r="J28" s="90">
        <f t="shared" si="35"/>
        <v>4</v>
      </c>
      <c r="K28" s="11">
        <f t="shared" si="2"/>
        <v>80</v>
      </c>
      <c r="L28" s="230">
        <f t="shared" si="8"/>
        <v>6.5</v>
      </c>
      <c r="M28" s="233">
        <f t="shared" si="28"/>
        <v>9</v>
      </c>
      <c r="N28" s="233">
        <f t="shared" si="29"/>
        <v>4.5</v>
      </c>
      <c r="O28" s="235"/>
      <c r="P28" s="91"/>
      <c r="R28" s="83">
        <f t="shared" si="24"/>
        <v>1</v>
      </c>
      <c r="S28" s="42">
        <f t="shared" si="22"/>
        <v>1</v>
      </c>
      <c r="T28" s="29">
        <f t="shared" si="25"/>
        <v>1</v>
      </c>
      <c r="U28" s="29">
        <f t="shared" si="12"/>
        <v>2</v>
      </c>
      <c r="V28" s="42">
        <f t="shared" si="23"/>
        <v>2</v>
      </c>
      <c r="W28" s="42">
        <f t="shared" si="13"/>
        <v>3</v>
      </c>
      <c r="X28" s="29">
        <f t="shared" si="26"/>
        <v>3</v>
      </c>
      <c r="Y28" s="29">
        <f t="shared" si="14"/>
        <v>4</v>
      </c>
      <c r="Z28" s="42">
        <f t="shared" si="27"/>
        <v>4</v>
      </c>
      <c r="AA28" s="77">
        <f t="shared" si="16"/>
        <v>5</v>
      </c>
      <c r="AC28" s="89">
        <v>100</v>
      </c>
      <c r="AD28" s="29">
        <v>100</v>
      </c>
      <c r="AE28" s="29">
        <v>100</v>
      </c>
      <c r="AF28" s="29">
        <v>100</v>
      </c>
      <c r="AG28" s="347">
        <v>100</v>
      </c>
    </row>
    <row r="29" spans="1:33">
      <c r="A29" s="10">
        <v>681</v>
      </c>
      <c r="B29" s="10">
        <f t="shared" si="4"/>
        <v>121</v>
      </c>
      <c r="C29" s="102" t="s">
        <v>187</v>
      </c>
      <c r="D29" s="116">
        <v>25</v>
      </c>
      <c r="E29" s="103">
        <v>1</v>
      </c>
      <c r="F29" s="120">
        <v>2</v>
      </c>
      <c r="G29" s="340"/>
      <c r="H29" s="343">
        <f t="shared" si="31"/>
        <v>38.5</v>
      </c>
      <c r="I29" s="343">
        <f t="shared" si="32"/>
        <v>37</v>
      </c>
      <c r="J29" s="90">
        <f t="shared" si="35"/>
        <v>4.5</v>
      </c>
      <c r="K29" s="11">
        <f t="shared" si="2"/>
        <v>80</v>
      </c>
      <c r="L29" s="230">
        <f t="shared" si="8"/>
        <v>6</v>
      </c>
      <c r="M29" s="233">
        <f t="shared" si="28"/>
        <v>9</v>
      </c>
      <c r="N29" s="233">
        <f t="shared" si="29"/>
        <v>5</v>
      </c>
      <c r="O29" s="235"/>
      <c r="P29" s="91"/>
      <c r="R29" s="83">
        <f t="shared" si="24"/>
        <v>1</v>
      </c>
      <c r="S29" s="42">
        <f t="shared" si="22"/>
        <v>1</v>
      </c>
      <c r="T29" s="29">
        <f t="shared" si="25"/>
        <v>1</v>
      </c>
      <c r="U29" s="29">
        <f t="shared" si="12"/>
        <v>2</v>
      </c>
      <c r="V29" s="42">
        <f t="shared" si="23"/>
        <v>2</v>
      </c>
      <c r="W29" s="42">
        <f t="shared" si="13"/>
        <v>3</v>
      </c>
      <c r="X29" s="29">
        <f t="shared" si="26"/>
        <v>3</v>
      </c>
      <c r="Y29" s="29">
        <f t="shared" si="14"/>
        <v>4</v>
      </c>
      <c r="Z29" s="42">
        <f t="shared" si="27"/>
        <v>4</v>
      </c>
      <c r="AA29" s="77">
        <f t="shared" si="16"/>
        <v>5</v>
      </c>
      <c r="AC29" s="89">
        <v>100</v>
      </c>
      <c r="AD29" s="29">
        <v>100</v>
      </c>
      <c r="AE29" s="29">
        <v>100</v>
      </c>
      <c r="AF29" s="29">
        <v>100</v>
      </c>
      <c r="AG29" s="347">
        <v>100</v>
      </c>
    </row>
    <row r="30" spans="1:33">
      <c r="A30" s="10">
        <v>763</v>
      </c>
      <c r="B30" s="10">
        <f t="shared" si="4"/>
        <v>126</v>
      </c>
      <c r="C30" s="84" t="s">
        <v>188</v>
      </c>
      <c r="D30" s="117">
        <v>26</v>
      </c>
      <c r="E30" s="80">
        <v>1</v>
      </c>
      <c r="F30" s="121">
        <v>1</v>
      </c>
      <c r="G30" s="80"/>
      <c r="H30" s="344">
        <f t="shared" si="31"/>
        <v>33</v>
      </c>
      <c r="I30" s="344">
        <f>I29+5</f>
        <v>42</v>
      </c>
      <c r="J30" s="74">
        <f t="shared" si="35"/>
        <v>5</v>
      </c>
      <c r="K30" s="11">
        <f t="shared" si="2"/>
        <v>80</v>
      </c>
      <c r="L30" s="80">
        <f t="shared" si="8"/>
        <v>5.5</v>
      </c>
      <c r="M30" s="234">
        <f t="shared" si="28"/>
        <v>9</v>
      </c>
      <c r="N30" s="234">
        <f t="shared" si="29"/>
        <v>5.5</v>
      </c>
      <c r="O30" s="235"/>
      <c r="P30" s="91"/>
      <c r="R30" s="84">
        <f>R29</f>
        <v>1</v>
      </c>
      <c r="S30" s="41">
        <f t="shared" si="22"/>
        <v>1</v>
      </c>
      <c r="T30" s="31">
        <f>T29</f>
        <v>1</v>
      </c>
      <c r="U30" s="31">
        <f t="shared" si="12"/>
        <v>2</v>
      </c>
      <c r="V30" s="41">
        <f>V29</f>
        <v>2</v>
      </c>
      <c r="W30" s="41">
        <f t="shared" si="13"/>
        <v>3</v>
      </c>
      <c r="X30" s="31">
        <f>X29</f>
        <v>3</v>
      </c>
      <c r="Y30" s="31">
        <f t="shared" si="14"/>
        <v>4</v>
      </c>
      <c r="Z30" s="41">
        <f t="shared" ref="Z30:Z39" si="36">Z29</f>
        <v>4</v>
      </c>
      <c r="AA30" s="78">
        <f t="shared" si="16"/>
        <v>5</v>
      </c>
      <c r="AC30" s="80">
        <v>100</v>
      </c>
      <c r="AD30" s="31">
        <v>100</v>
      </c>
      <c r="AE30" s="31">
        <v>100</v>
      </c>
      <c r="AF30" s="31">
        <v>100</v>
      </c>
      <c r="AG30" s="346">
        <v>100</v>
      </c>
    </row>
    <row r="31" spans="1:33">
      <c r="A31" s="10">
        <v>846</v>
      </c>
      <c r="B31" s="10">
        <f t="shared" si="4"/>
        <v>131</v>
      </c>
      <c r="C31" s="84" t="s">
        <v>189</v>
      </c>
      <c r="D31" s="117">
        <v>27</v>
      </c>
      <c r="E31" s="80">
        <v>1</v>
      </c>
      <c r="F31" s="121">
        <v>1</v>
      </c>
      <c r="G31" s="80"/>
      <c r="H31" s="344">
        <f t="shared" si="31"/>
        <v>27.5</v>
      </c>
      <c r="I31" s="344">
        <f t="shared" ref="I31:I34" si="37">I30+5</f>
        <v>47</v>
      </c>
      <c r="J31" s="74">
        <f t="shared" si="35"/>
        <v>5.5</v>
      </c>
      <c r="K31" s="11">
        <f t="shared" si="2"/>
        <v>80</v>
      </c>
      <c r="L31" s="80">
        <f t="shared" si="8"/>
        <v>5</v>
      </c>
      <c r="M31" s="234">
        <f t="shared" si="28"/>
        <v>8.5</v>
      </c>
      <c r="N31" s="234">
        <f>N30+1</f>
        <v>6.5</v>
      </c>
      <c r="O31" s="235"/>
      <c r="P31" s="91"/>
      <c r="R31" s="84">
        <f t="shared" ref="R31:R39" si="38">R30</f>
        <v>1</v>
      </c>
      <c r="S31" s="41">
        <f t="shared" si="22"/>
        <v>1</v>
      </c>
      <c r="T31" s="31">
        <f t="shared" ref="T31:T39" si="39">T30</f>
        <v>1</v>
      </c>
      <c r="U31" s="31">
        <f t="shared" si="12"/>
        <v>2</v>
      </c>
      <c r="V31" s="41">
        <f t="shared" ref="V31:V39" si="40">V30</f>
        <v>2</v>
      </c>
      <c r="W31" s="41">
        <f t="shared" si="13"/>
        <v>3</v>
      </c>
      <c r="X31" s="31">
        <f t="shared" ref="X31:X39" si="41">X30</f>
        <v>3</v>
      </c>
      <c r="Y31" s="31">
        <f t="shared" si="14"/>
        <v>4</v>
      </c>
      <c r="Z31" s="41">
        <f t="shared" si="36"/>
        <v>4</v>
      </c>
      <c r="AA31" s="78">
        <f t="shared" si="16"/>
        <v>5</v>
      </c>
      <c r="AC31" s="80">
        <v>100</v>
      </c>
      <c r="AD31" s="31">
        <v>100</v>
      </c>
      <c r="AE31" s="31">
        <v>100</v>
      </c>
      <c r="AF31" s="31">
        <v>100</v>
      </c>
      <c r="AG31" s="346">
        <v>100</v>
      </c>
    </row>
    <row r="32" spans="1:33">
      <c r="A32" s="10">
        <v>928</v>
      </c>
      <c r="B32" s="10">
        <f t="shared" si="4"/>
        <v>136</v>
      </c>
      <c r="C32" s="84" t="s">
        <v>190</v>
      </c>
      <c r="D32" s="117">
        <v>28</v>
      </c>
      <c r="E32" s="80">
        <v>1</v>
      </c>
      <c r="F32" s="121">
        <v>1</v>
      </c>
      <c r="G32" s="80"/>
      <c r="H32" s="344">
        <f t="shared" si="31"/>
        <v>22</v>
      </c>
      <c r="I32" s="344">
        <f t="shared" si="37"/>
        <v>52</v>
      </c>
      <c r="J32" s="74">
        <f t="shared" si="35"/>
        <v>6</v>
      </c>
      <c r="K32" s="11">
        <f t="shared" si="2"/>
        <v>80</v>
      </c>
      <c r="L32" s="80">
        <f t="shared" si="8"/>
        <v>4.5</v>
      </c>
      <c r="M32" s="234">
        <f t="shared" si="28"/>
        <v>8</v>
      </c>
      <c r="N32" s="234">
        <f t="shared" ref="N32:N39" si="42">N31+1</f>
        <v>7.5</v>
      </c>
      <c r="O32" s="235"/>
      <c r="P32" s="91"/>
      <c r="R32" s="84">
        <f t="shared" si="38"/>
        <v>1</v>
      </c>
      <c r="S32" s="41">
        <f t="shared" si="22"/>
        <v>1</v>
      </c>
      <c r="T32" s="31">
        <f t="shared" si="39"/>
        <v>1</v>
      </c>
      <c r="U32" s="31">
        <f t="shared" si="12"/>
        <v>2</v>
      </c>
      <c r="V32" s="41">
        <f t="shared" si="40"/>
        <v>2</v>
      </c>
      <c r="W32" s="41">
        <f t="shared" si="13"/>
        <v>3</v>
      </c>
      <c r="X32" s="31">
        <f t="shared" si="41"/>
        <v>3</v>
      </c>
      <c r="Y32" s="31">
        <f t="shared" si="14"/>
        <v>4</v>
      </c>
      <c r="Z32" s="41">
        <f t="shared" si="36"/>
        <v>4</v>
      </c>
      <c r="AA32" s="78">
        <f t="shared" si="16"/>
        <v>5</v>
      </c>
      <c r="AC32" s="80">
        <v>100</v>
      </c>
      <c r="AD32" s="31">
        <v>100</v>
      </c>
      <c r="AE32" s="31">
        <v>100</v>
      </c>
      <c r="AF32" s="31">
        <v>100</v>
      </c>
      <c r="AG32" s="346">
        <v>100</v>
      </c>
    </row>
    <row r="33" spans="1:33">
      <c r="A33" s="10">
        <v>1011</v>
      </c>
      <c r="B33" s="10">
        <f t="shared" si="4"/>
        <v>141</v>
      </c>
      <c r="C33" s="84" t="s">
        <v>191</v>
      </c>
      <c r="D33" s="117">
        <v>29</v>
      </c>
      <c r="E33" s="80">
        <v>1</v>
      </c>
      <c r="F33" s="121">
        <v>2</v>
      </c>
      <c r="G33" s="80"/>
      <c r="H33" s="344">
        <f t="shared" si="31"/>
        <v>16.5</v>
      </c>
      <c r="I33" s="344">
        <f t="shared" si="37"/>
        <v>57</v>
      </c>
      <c r="J33" s="74">
        <f t="shared" si="35"/>
        <v>6.5</v>
      </c>
      <c r="K33" s="11">
        <f t="shared" si="2"/>
        <v>80</v>
      </c>
      <c r="L33" s="80">
        <f t="shared" si="8"/>
        <v>4</v>
      </c>
      <c r="M33" s="234">
        <f t="shared" si="28"/>
        <v>7.5</v>
      </c>
      <c r="N33" s="234">
        <f t="shared" si="42"/>
        <v>8.5</v>
      </c>
      <c r="O33" s="235"/>
      <c r="P33" s="91"/>
      <c r="R33" s="84">
        <f t="shared" si="38"/>
        <v>1</v>
      </c>
      <c r="S33" s="41">
        <f t="shared" si="22"/>
        <v>1</v>
      </c>
      <c r="T33" s="31">
        <f t="shared" si="39"/>
        <v>1</v>
      </c>
      <c r="U33" s="31">
        <f t="shared" si="12"/>
        <v>2</v>
      </c>
      <c r="V33" s="41">
        <f t="shared" si="40"/>
        <v>2</v>
      </c>
      <c r="W33" s="41">
        <f t="shared" si="13"/>
        <v>3</v>
      </c>
      <c r="X33" s="31">
        <f t="shared" si="41"/>
        <v>3</v>
      </c>
      <c r="Y33" s="31">
        <f t="shared" si="14"/>
        <v>4</v>
      </c>
      <c r="Z33" s="41">
        <f t="shared" si="36"/>
        <v>4</v>
      </c>
      <c r="AA33" s="78">
        <f t="shared" si="16"/>
        <v>5</v>
      </c>
      <c r="AC33" s="80">
        <v>100</v>
      </c>
      <c r="AD33" s="31">
        <v>100</v>
      </c>
      <c r="AE33" s="31">
        <v>100</v>
      </c>
      <c r="AF33" s="31">
        <v>100</v>
      </c>
      <c r="AG33" s="346">
        <v>100</v>
      </c>
    </row>
    <row r="34" spans="1:33">
      <c r="A34" s="10">
        <v>1093</v>
      </c>
      <c r="B34" s="10">
        <f t="shared" si="4"/>
        <v>146</v>
      </c>
      <c r="C34" s="84" t="s">
        <v>192</v>
      </c>
      <c r="D34" s="117">
        <v>30</v>
      </c>
      <c r="E34" s="80">
        <v>1</v>
      </c>
      <c r="F34" s="123">
        <v>3</v>
      </c>
      <c r="G34" s="80"/>
      <c r="H34" s="344">
        <f>80-I34-J34</f>
        <v>11</v>
      </c>
      <c r="I34" s="344">
        <f t="shared" si="37"/>
        <v>62</v>
      </c>
      <c r="J34" s="74">
        <f t="shared" si="35"/>
        <v>7</v>
      </c>
      <c r="K34" s="11">
        <f t="shared" si="2"/>
        <v>80</v>
      </c>
      <c r="L34" s="80">
        <f t="shared" si="8"/>
        <v>3.5</v>
      </c>
      <c r="M34" s="234">
        <f t="shared" si="28"/>
        <v>7</v>
      </c>
      <c r="N34" s="234">
        <f t="shared" si="42"/>
        <v>9.5</v>
      </c>
      <c r="O34" s="235"/>
      <c r="P34" s="91"/>
      <c r="R34" s="84">
        <f t="shared" si="38"/>
        <v>1</v>
      </c>
      <c r="S34" s="41">
        <f t="shared" si="22"/>
        <v>1</v>
      </c>
      <c r="T34" s="31">
        <f t="shared" si="39"/>
        <v>1</v>
      </c>
      <c r="U34" s="31">
        <f t="shared" si="12"/>
        <v>2</v>
      </c>
      <c r="V34" s="41">
        <f t="shared" si="40"/>
        <v>2</v>
      </c>
      <c r="W34" s="41">
        <f t="shared" si="13"/>
        <v>3</v>
      </c>
      <c r="X34" s="31">
        <f t="shared" si="41"/>
        <v>3</v>
      </c>
      <c r="Y34" s="31">
        <f t="shared" si="14"/>
        <v>4</v>
      </c>
      <c r="Z34" s="41">
        <f t="shared" si="36"/>
        <v>4</v>
      </c>
      <c r="AA34" s="78">
        <f t="shared" si="16"/>
        <v>5</v>
      </c>
      <c r="AC34" s="80">
        <v>100</v>
      </c>
      <c r="AD34" s="31">
        <v>100</v>
      </c>
      <c r="AE34" s="31">
        <v>100</v>
      </c>
      <c r="AF34" s="31">
        <v>100</v>
      </c>
      <c r="AG34" s="346">
        <v>100</v>
      </c>
    </row>
    <row r="35" spans="1:33">
      <c r="A35" s="10">
        <v>1176</v>
      </c>
      <c r="B35" s="10">
        <f t="shared" si="4"/>
        <v>151</v>
      </c>
      <c r="C35" s="102" t="s">
        <v>206</v>
      </c>
      <c r="D35" s="116">
        <v>31</v>
      </c>
      <c r="E35" s="103">
        <v>1</v>
      </c>
      <c r="F35" s="120">
        <v>1</v>
      </c>
      <c r="G35" s="340"/>
      <c r="H35" s="343"/>
      <c r="I35" s="343">
        <f t="shared" ref="I35:I44" si="43">80-J35</f>
        <v>72</v>
      </c>
      <c r="J35" s="90">
        <f>J34+1</f>
        <v>8</v>
      </c>
      <c r="K35" s="11">
        <f t="shared" ref="K35:K44" si="44">SUM(G35:J35)</f>
        <v>80</v>
      </c>
      <c r="L35" s="230">
        <f t="shared" si="8"/>
        <v>3</v>
      </c>
      <c r="M35" s="233">
        <f t="shared" si="28"/>
        <v>6.5</v>
      </c>
      <c r="N35" s="233">
        <f t="shared" si="42"/>
        <v>10.5</v>
      </c>
      <c r="O35" s="235"/>
      <c r="P35" s="91"/>
      <c r="R35" s="83">
        <f t="shared" si="38"/>
        <v>1</v>
      </c>
      <c r="S35" s="42">
        <f t="shared" si="22"/>
        <v>1</v>
      </c>
      <c r="T35" s="29">
        <f t="shared" si="39"/>
        <v>1</v>
      </c>
      <c r="U35" s="29">
        <f t="shared" si="12"/>
        <v>2</v>
      </c>
      <c r="V35" s="42">
        <f t="shared" si="40"/>
        <v>2</v>
      </c>
      <c r="W35" s="42">
        <f t="shared" si="13"/>
        <v>3</v>
      </c>
      <c r="X35" s="347">
        <f t="shared" si="41"/>
        <v>3</v>
      </c>
      <c r="Y35" s="29">
        <f t="shared" si="14"/>
        <v>4</v>
      </c>
      <c r="Z35" s="42">
        <f t="shared" si="36"/>
        <v>4</v>
      </c>
      <c r="AA35" s="77">
        <f t="shared" si="16"/>
        <v>5</v>
      </c>
      <c r="AC35" s="89">
        <v>100</v>
      </c>
      <c r="AD35" s="29">
        <v>100</v>
      </c>
      <c r="AE35" s="29">
        <v>100</v>
      </c>
      <c r="AF35" s="29">
        <v>100</v>
      </c>
      <c r="AG35" s="347">
        <v>100</v>
      </c>
    </row>
    <row r="36" spans="1:33">
      <c r="A36" s="10">
        <v>1258</v>
      </c>
      <c r="B36" s="10">
        <f t="shared" si="4"/>
        <v>156</v>
      </c>
      <c r="C36" s="102" t="s">
        <v>193</v>
      </c>
      <c r="D36" s="116">
        <v>32</v>
      </c>
      <c r="E36" s="103">
        <v>1</v>
      </c>
      <c r="F36" s="120">
        <v>1</v>
      </c>
      <c r="G36" s="340"/>
      <c r="H36" s="343"/>
      <c r="I36" s="343">
        <f t="shared" si="43"/>
        <v>71</v>
      </c>
      <c r="J36" s="90">
        <f t="shared" ref="J36:J39" si="45">J35+1</f>
        <v>9</v>
      </c>
      <c r="K36" s="11">
        <f t="shared" si="44"/>
        <v>80</v>
      </c>
      <c r="L36" s="230">
        <f t="shared" si="8"/>
        <v>2.5</v>
      </c>
      <c r="M36" s="233">
        <f t="shared" si="28"/>
        <v>6</v>
      </c>
      <c r="N36" s="233">
        <f t="shared" si="42"/>
        <v>11.5</v>
      </c>
      <c r="O36" s="235"/>
      <c r="P36" s="91"/>
      <c r="R36" s="83">
        <f t="shared" si="38"/>
        <v>1</v>
      </c>
      <c r="S36" s="42">
        <f t="shared" si="22"/>
        <v>1</v>
      </c>
      <c r="T36" s="29">
        <f t="shared" si="39"/>
        <v>1</v>
      </c>
      <c r="U36" s="29">
        <f t="shared" si="12"/>
        <v>2</v>
      </c>
      <c r="V36" s="42">
        <f t="shared" si="40"/>
        <v>2</v>
      </c>
      <c r="W36" s="42">
        <f t="shared" si="13"/>
        <v>3</v>
      </c>
      <c r="X36" s="29">
        <f t="shared" si="41"/>
        <v>3</v>
      </c>
      <c r="Y36" s="29">
        <f t="shared" si="14"/>
        <v>4</v>
      </c>
      <c r="Z36" s="42">
        <f t="shared" si="36"/>
        <v>4</v>
      </c>
      <c r="AA36" s="77">
        <f t="shared" si="16"/>
        <v>5</v>
      </c>
      <c r="AC36" s="89">
        <v>100</v>
      </c>
      <c r="AD36" s="29">
        <v>100</v>
      </c>
      <c r="AE36" s="29">
        <v>100</v>
      </c>
      <c r="AF36" s="29">
        <v>100</v>
      </c>
      <c r="AG36" s="347">
        <v>100</v>
      </c>
    </row>
    <row r="37" spans="1:33">
      <c r="A37" s="10">
        <v>1341</v>
      </c>
      <c r="B37" s="10">
        <f t="shared" si="4"/>
        <v>161</v>
      </c>
      <c r="C37" s="102" t="s">
        <v>194</v>
      </c>
      <c r="D37" s="116">
        <v>33</v>
      </c>
      <c r="E37" s="103">
        <v>1</v>
      </c>
      <c r="F37" s="120">
        <v>1</v>
      </c>
      <c r="G37" s="340"/>
      <c r="H37" s="343"/>
      <c r="I37" s="343">
        <f t="shared" si="43"/>
        <v>70</v>
      </c>
      <c r="J37" s="90">
        <f t="shared" si="45"/>
        <v>10</v>
      </c>
      <c r="K37" s="11">
        <f t="shared" si="44"/>
        <v>80</v>
      </c>
      <c r="L37" s="230">
        <f t="shared" si="8"/>
        <v>2</v>
      </c>
      <c r="M37" s="233">
        <f t="shared" si="28"/>
        <v>5.5</v>
      </c>
      <c r="N37" s="233">
        <f t="shared" si="42"/>
        <v>12.5</v>
      </c>
      <c r="O37" s="235"/>
      <c r="P37" s="91"/>
      <c r="R37" s="83">
        <f t="shared" si="38"/>
        <v>1</v>
      </c>
      <c r="S37" s="42">
        <f t="shared" si="22"/>
        <v>1</v>
      </c>
      <c r="T37" s="29">
        <f t="shared" si="39"/>
        <v>1</v>
      </c>
      <c r="U37" s="29">
        <f t="shared" si="12"/>
        <v>2</v>
      </c>
      <c r="V37" s="42">
        <f t="shared" si="40"/>
        <v>2</v>
      </c>
      <c r="W37" s="42">
        <f t="shared" si="13"/>
        <v>3</v>
      </c>
      <c r="X37" s="29">
        <f t="shared" si="41"/>
        <v>3</v>
      </c>
      <c r="Y37" s="29">
        <f t="shared" si="14"/>
        <v>4</v>
      </c>
      <c r="Z37" s="42">
        <f t="shared" si="36"/>
        <v>4</v>
      </c>
      <c r="AA37" s="77">
        <f t="shared" si="16"/>
        <v>5</v>
      </c>
      <c r="AC37" s="89">
        <v>100</v>
      </c>
      <c r="AD37" s="29">
        <v>100</v>
      </c>
      <c r="AE37" s="29">
        <v>100</v>
      </c>
      <c r="AF37" s="29">
        <v>100</v>
      </c>
      <c r="AG37" s="347">
        <v>100</v>
      </c>
    </row>
    <row r="38" spans="1:33">
      <c r="A38" s="10">
        <v>1423</v>
      </c>
      <c r="B38" s="10">
        <f t="shared" si="4"/>
        <v>166</v>
      </c>
      <c r="C38" s="102" t="s">
        <v>195</v>
      </c>
      <c r="D38" s="116">
        <v>34</v>
      </c>
      <c r="E38" s="103">
        <v>1</v>
      </c>
      <c r="F38" s="120">
        <v>2</v>
      </c>
      <c r="G38" s="340"/>
      <c r="H38" s="343"/>
      <c r="I38" s="343">
        <f t="shared" si="43"/>
        <v>69</v>
      </c>
      <c r="J38" s="90">
        <f t="shared" si="45"/>
        <v>11</v>
      </c>
      <c r="K38" s="11">
        <f t="shared" si="44"/>
        <v>80</v>
      </c>
      <c r="L38" s="230">
        <f t="shared" si="8"/>
        <v>1.5</v>
      </c>
      <c r="M38" s="233">
        <f t="shared" si="28"/>
        <v>5</v>
      </c>
      <c r="N38" s="233">
        <f t="shared" si="42"/>
        <v>13.5</v>
      </c>
      <c r="O38" s="235"/>
      <c r="P38" s="91"/>
      <c r="R38" s="83">
        <f t="shared" si="38"/>
        <v>1</v>
      </c>
      <c r="S38" s="42">
        <f t="shared" si="22"/>
        <v>1</v>
      </c>
      <c r="T38" s="29">
        <f t="shared" si="39"/>
        <v>1</v>
      </c>
      <c r="U38" s="29">
        <f t="shared" si="12"/>
        <v>2</v>
      </c>
      <c r="V38" s="42">
        <f t="shared" si="40"/>
        <v>2</v>
      </c>
      <c r="W38" s="42">
        <f t="shared" si="13"/>
        <v>3</v>
      </c>
      <c r="X38" s="29">
        <f t="shared" si="41"/>
        <v>3</v>
      </c>
      <c r="Y38" s="29">
        <f t="shared" si="14"/>
        <v>4</v>
      </c>
      <c r="Z38" s="42">
        <f t="shared" si="36"/>
        <v>4</v>
      </c>
      <c r="AA38" s="77">
        <f t="shared" si="16"/>
        <v>5</v>
      </c>
      <c r="AC38" s="89">
        <v>100</v>
      </c>
      <c r="AD38" s="29">
        <v>100</v>
      </c>
      <c r="AE38" s="29">
        <v>100</v>
      </c>
      <c r="AF38" s="29">
        <v>100</v>
      </c>
      <c r="AG38" s="347">
        <v>100</v>
      </c>
    </row>
    <row r="39" spans="1:33">
      <c r="A39" s="10">
        <v>1056</v>
      </c>
      <c r="B39" s="10">
        <f t="shared" si="4"/>
        <v>171</v>
      </c>
      <c r="C39" s="102" t="s">
        <v>196</v>
      </c>
      <c r="D39" s="116">
        <v>35</v>
      </c>
      <c r="E39" s="103">
        <v>1</v>
      </c>
      <c r="F39" s="120">
        <v>3</v>
      </c>
      <c r="G39" s="340"/>
      <c r="H39" s="343"/>
      <c r="I39" s="343">
        <f t="shared" si="43"/>
        <v>68</v>
      </c>
      <c r="J39" s="90">
        <f t="shared" si="45"/>
        <v>12</v>
      </c>
      <c r="K39" s="11">
        <f t="shared" si="44"/>
        <v>80</v>
      </c>
      <c r="L39" s="230">
        <f t="shared" si="8"/>
        <v>1</v>
      </c>
      <c r="M39" s="233">
        <f t="shared" si="28"/>
        <v>4.5</v>
      </c>
      <c r="N39" s="233">
        <f t="shared" si="42"/>
        <v>14.5</v>
      </c>
      <c r="O39" s="235"/>
      <c r="P39" s="91"/>
      <c r="R39" s="83">
        <f t="shared" si="38"/>
        <v>1</v>
      </c>
      <c r="S39" s="42">
        <f t="shared" si="22"/>
        <v>1</v>
      </c>
      <c r="T39" s="29">
        <f t="shared" si="39"/>
        <v>1</v>
      </c>
      <c r="U39" s="29">
        <f t="shared" si="12"/>
        <v>2</v>
      </c>
      <c r="V39" s="42">
        <f t="shared" si="40"/>
        <v>2</v>
      </c>
      <c r="W39" s="42">
        <f t="shared" si="13"/>
        <v>3</v>
      </c>
      <c r="X39" s="29">
        <f t="shared" si="41"/>
        <v>3</v>
      </c>
      <c r="Y39" s="29">
        <f t="shared" si="14"/>
        <v>4</v>
      </c>
      <c r="Z39" s="42">
        <f t="shared" si="36"/>
        <v>4</v>
      </c>
      <c r="AA39" s="77">
        <f t="shared" si="16"/>
        <v>5</v>
      </c>
      <c r="AC39" s="89">
        <v>100</v>
      </c>
      <c r="AD39" s="29">
        <v>100</v>
      </c>
      <c r="AE39" s="29">
        <v>100</v>
      </c>
      <c r="AF39" s="29">
        <v>100</v>
      </c>
      <c r="AG39" s="347">
        <v>100</v>
      </c>
    </row>
    <row r="40" spans="1:33">
      <c r="A40" s="10">
        <v>1588</v>
      </c>
      <c r="B40" s="10">
        <f t="shared" si="4"/>
        <v>176</v>
      </c>
      <c r="C40" s="84" t="s">
        <v>197</v>
      </c>
      <c r="D40" s="117">
        <v>36</v>
      </c>
      <c r="E40" s="80">
        <v>1</v>
      </c>
      <c r="F40" s="121">
        <v>1</v>
      </c>
      <c r="G40" s="80"/>
      <c r="H40" s="344"/>
      <c r="I40" s="344">
        <f t="shared" si="43"/>
        <v>66</v>
      </c>
      <c r="J40" s="74">
        <f>J39+2</f>
        <v>14</v>
      </c>
      <c r="K40" s="11">
        <f t="shared" si="44"/>
        <v>80</v>
      </c>
      <c r="L40" s="80"/>
      <c r="M40" s="234">
        <f>20-N40-O40-P40</f>
        <v>4.5</v>
      </c>
      <c r="N40" s="232">
        <v>14.5</v>
      </c>
      <c r="O40" s="232">
        <v>0.5</v>
      </c>
      <c r="P40" s="85">
        <v>0.5</v>
      </c>
      <c r="Q40" s="11">
        <f>SUM(M40:P40)</f>
        <v>20</v>
      </c>
      <c r="R40" s="84">
        <f>R39</f>
        <v>1</v>
      </c>
      <c r="S40" s="41">
        <f t="shared" ref="S40:S44" si="46">S39</f>
        <v>1</v>
      </c>
      <c r="T40" s="31">
        <f>T39</f>
        <v>1</v>
      </c>
      <c r="U40" s="31">
        <f t="shared" si="12"/>
        <v>2</v>
      </c>
      <c r="V40" s="41">
        <f t="shared" ref="V40:V44" si="47">V39</f>
        <v>2</v>
      </c>
      <c r="W40" s="41">
        <f t="shared" si="13"/>
        <v>3</v>
      </c>
      <c r="X40" s="31">
        <f>X39</f>
        <v>3</v>
      </c>
      <c r="Y40" s="31">
        <f t="shared" si="14"/>
        <v>4</v>
      </c>
      <c r="Z40" s="41">
        <f>Z39</f>
        <v>4</v>
      </c>
      <c r="AA40" s="78">
        <f t="shared" si="16"/>
        <v>5</v>
      </c>
      <c r="AC40" s="80">
        <v>100</v>
      </c>
      <c r="AD40" s="31">
        <v>100</v>
      </c>
      <c r="AE40" s="31">
        <v>100</v>
      </c>
      <c r="AF40" s="31">
        <v>100</v>
      </c>
      <c r="AG40" s="346">
        <v>100</v>
      </c>
    </row>
    <row r="41" spans="1:33">
      <c r="A41" s="10">
        <v>1671</v>
      </c>
      <c r="B41" s="10">
        <f t="shared" si="4"/>
        <v>181</v>
      </c>
      <c r="C41" s="84" t="s">
        <v>198</v>
      </c>
      <c r="D41" s="117">
        <v>37</v>
      </c>
      <c r="E41" s="80">
        <v>1</v>
      </c>
      <c r="F41" s="121">
        <v>1</v>
      </c>
      <c r="G41" s="80"/>
      <c r="H41" s="344"/>
      <c r="I41" s="344">
        <f t="shared" si="43"/>
        <v>64</v>
      </c>
      <c r="J41" s="74">
        <f t="shared" ref="J41:J44" si="48">J40+2</f>
        <v>16</v>
      </c>
      <c r="K41" s="11">
        <f t="shared" si="44"/>
        <v>80</v>
      </c>
      <c r="L41" s="80"/>
      <c r="M41" s="234">
        <f t="shared" ref="M41:M44" si="49">20-N41-O41-P41</f>
        <v>3.5</v>
      </c>
      <c r="N41" s="234">
        <f>N40</f>
        <v>14.5</v>
      </c>
      <c r="O41" s="234">
        <f>O40+0.5</f>
        <v>1</v>
      </c>
      <c r="P41" s="74">
        <f t="shared" ref="P41:P44" si="50">P40+0.5</f>
        <v>1</v>
      </c>
      <c r="Q41" s="11">
        <f t="shared" ref="Q41:Q44" si="51">SUM(M41:P41)</f>
        <v>20</v>
      </c>
      <c r="R41" s="84">
        <f t="shared" ref="R41:R44" si="52">R40</f>
        <v>1</v>
      </c>
      <c r="S41" s="41">
        <f t="shared" si="46"/>
        <v>1</v>
      </c>
      <c r="T41" s="31">
        <f t="shared" ref="T41:T44" si="53">T40</f>
        <v>1</v>
      </c>
      <c r="U41" s="31">
        <f t="shared" si="12"/>
        <v>2</v>
      </c>
      <c r="V41" s="41">
        <f t="shared" si="47"/>
        <v>2</v>
      </c>
      <c r="W41" s="41">
        <f t="shared" si="13"/>
        <v>3</v>
      </c>
      <c r="X41" s="31">
        <f t="shared" ref="X41:X44" si="54">X40</f>
        <v>3</v>
      </c>
      <c r="Y41" s="31">
        <f t="shared" si="14"/>
        <v>4</v>
      </c>
      <c r="Z41" s="41">
        <f t="shared" ref="Z41:Z44" si="55">Z40</f>
        <v>4</v>
      </c>
      <c r="AA41" s="78">
        <f t="shared" si="16"/>
        <v>5</v>
      </c>
      <c r="AC41" s="80">
        <v>100</v>
      </c>
      <c r="AD41" s="31">
        <v>100</v>
      </c>
      <c r="AE41" s="31">
        <v>100</v>
      </c>
      <c r="AF41" s="31">
        <v>100</v>
      </c>
      <c r="AG41" s="346">
        <v>100</v>
      </c>
    </row>
    <row r="42" spans="1:33">
      <c r="A42" s="10">
        <v>1753</v>
      </c>
      <c r="B42" s="10">
        <f t="shared" si="4"/>
        <v>186</v>
      </c>
      <c r="C42" s="84" t="s">
        <v>199</v>
      </c>
      <c r="D42" s="117">
        <v>38</v>
      </c>
      <c r="E42" s="80">
        <v>1</v>
      </c>
      <c r="F42" s="121">
        <v>1</v>
      </c>
      <c r="G42" s="80"/>
      <c r="H42" s="344"/>
      <c r="I42" s="344">
        <f t="shared" si="43"/>
        <v>62</v>
      </c>
      <c r="J42" s="74">
        <f t="shared" si="48"/>
        <v>18</v>
      </c>
      <c r="K42" s="11">
        <f t="shared" si="44"/>
        <v>80</v>
      </c>
      <c r="L42" s="80"/>
      <c r="M42" s="234">
        <f t="shared" si="49"/>
        <v>2.5</v>
      </c>
      <c r="N42" s="234">
        <f t="shared" ref="N42:N44" si="56">N41</f>
        <v>14.5</v>
      </c>
      <c r="O42" s="234">
        <f t="shared" ref="O42:O44" si="57">O41+0.5</f>
        <v>1.5</v>
      </c>
      <c r="P42" s="74">
        <f t="shared" si="50"/>
        <v>1.5</v>
      </c>
      <c r="Q42" s="11">
        <f t="shared" si="51"/>
        <v>20</v>
      </c>
      <c r="R42" s="84">
        <f t="shared" si="52"/>
        <v>1</v>
      </c>
      <c r="S42" s="41">
        <f t="shared" si="46"/>
        <v>1</v>
      </c>
      <c r="T42" s="31">
        <f t="shared" si="53"/>
        <v>1</v>
      </c>
      <c r="U42" s="31">
        <f t="shared" si="12"/>
        <v>2</v>
      </c>
      <c r="V42" s="41">
        <f t="shared" si="47"/>
        <v>2</v>
      </c>
      <c r="W42" s="41">
        <f t="shared" si="13"/>
        <v>3</v>
      </c>
      <c r="X42" s="346">
        <f t="shared" si="54"/>
        <v>3</v>
      </c>
      <c r="Y42" s="31">
        <f t="shared" si="14"/>
        <v>4</v>
      </c>
      <c r="Z42" s="41">
        <f t="shared" si="55"/>
        <v>4</v>
      </c>
      <c r="AA42" s="78">
        <f t="shared" si="16"/>
        <v>5</v>
      </c>
      <c r="AC42" s="80">
        <v>100</v>
      </c>
      <c r="AD42" s="31">
        <v>100</v>
      </c>
      <c r="AE42" s="31">
        <v>100</v>
      </c>
      <c r="AF42" s="31">
        <v>100</v>
      </c>
      <c r="AG42" s="346">
        <v>100</v>
      </c>
    </row>
    <row r="43" spans="1:33">
      <c r="A43" s="10">
        <v>1836</v>
      </c>
      <c r="B43" s="10">
        <f t="shared" si="4"/>
        <v>191</v>
      </c>
      <c r="C43" s="84" t="s">
        <v>200</v>
      </c>
      <c r="D43" s="117">
        <v>39</v>
      </c>
      <c r="E43" s="80">
        <v>1</v>
      </c>
      <c r="F43" s="121">
        <v>2</v>
      </c>
      <c r="G43" s="80"/>
      <c r="H43" s="344"/>
      <c r="I43" s="344">
        <f t="shared" si="43"/>
        <v>60</v>
      </c>
      <c r="J43" s="74">
        <f t="shared" si="48"/>
        <v>20</v>
      </c>
      <c r="K43" s="11">
        <f t="shared" si="44"/>
        <v>80</v>
      </c>
      <c r="L43" s="80"/>
      <c r="M43" s="234">
        <f t="shared" si="49"/>
        <v>1.5</v>
      </c>
      <c r="N43" s="234">
        <f t="shared" si="56"/>
        <v>14.5</v>
      </c>
      <c r="O43" s="234">
        <f t="shared" si="57"/>
        <v>2</v>
      </c>
      <c r="P43" s="74">
        <f t="shared" si="50"/>
        <v>2</v>
      </c>
      <c r="Q43" s="11">
        <f t="shared" si="51"/>
        <v>20</v>
      </c>
      <c r="R43" s="84">
        <f t="shared" si="52"/>
        <v>1</v>
      </c>
      <c r="S43" s="41">
        <f t="shared" si="46"/>
        <v>1</v>
      </c>
      <c r="T43" s="31">
        <f t="shared" si="53"/>
        <v>1</v>
      </c>
      <c r="U43" s="31">
        <f t="shared" si="12"/>
        <v>2</v>
      </c>
      <c r="V43" s="41">
        <f t="shared" si="47"/>
        <v>2</v>
      </c>
      <c r="W43" s="41">
        <f t="shared" si="13"/>
        <v>3</v>
      </c>
      <c r="X43" s="31">
        <f t="shared" si="54"/>
        <v>3</v>
      </c>
      <c r="Y43" s="31">
        <f t="shared" si="14"/>
        <v>4</v>
      </c>
      <c r="Z43" s="41">
        <f t="shared" si="55"/>
        <v>4</v>
      </c>
      <c r="AA43" s="78">
        <f t="shared" si="16"/>
        <v>5</v>
      </c>
      <c r="AC43" s="80">
        <v>100</v>
      </c>
      <c r="AD43" s="31">
        <v>100</v>
      </c>
      <c r="AE43" s="31">
        <v>100</v>
      </c>
      <c r="AF43" s="31">
        <v>100</v>
      </c>
      <c r="AG43" s="346">
        <v>100</v>
      </c>
    </row>
    <row r="44" spans="1:33" ht="17.25" thickBot="1">
      <c r="A44" s="10">
        <v>1918</v>
      </c>
      <c r="B44" s="10">
        <f t="shared" si="4"/>
        <v>196</v>
      </c>
      <c r="C44" s="86" t="s">
        <v>201</v>
      </c>
      <c r="D44" s="118">
        <v>40</v>
      </c>
      <c r="E44" s="81">
        <v>1</v>
      </c>
      <c r="F44" s="122">
        <v>3</v>
      </c>
      <c r="G44" s="81"/>
      <c r="H44" s="76"/>
      <c r="I44" s="76">
        <f t="shared" si="43"/>
        <v>58</v>
      </c>
      <c r="J44" s="92">
        <f t="shared" si="48"/>
        <v>22</v>
      </c>
      <c r="K44" s="11">
        <f t="shared" si="44"/>
        <v>80</v>
      </c>
      <c r="L44" s="81"/>
      <c r="M44" s="76">
        <f t="shared" si="49"/>
        <v>0.5</v>
      </c>
      <c r="N44" s="76">
        <f t="shared" si="56"/>
        <v>14.5</v>
      </c>
      <c r="O44" s="76">
        <f t="shared" si="57"/>
        <v>2.5</v>
      </c>
      <c r="P44" s="92">
        <f t="shared" si="50"/>
        <v>2.5</v>
      </c>
      <c r="Q44" s="11">
        <f t="shared" si="51"/>
        <v>20</v>
      </c>
      <c r="R44" s="86">
        <f t="shared" si="52"/>
        <v>1</v>
      </c>
      <c r="S44" s="75">
        <f t="shared" si="46"/>
        <v>1</v>
      </c>
      <c r="T44" s="76">
        <f t="shared" si="53"/>
        <v>1</v>
      </c>
      <c r="U44" s="76">
        <f t="shared" si="12"/>
        <v>2</v>
      </c>
      <c r="V44" s="75">
        <f t="shared" si="47"/>
        <v>2</v>
      </c>
      <c r="W44" s="75">
        <f t="shared" si="13"/>
        <v>3</v>
      </c>
      <c r="X44" s="76">
        <f t="shared" si="54"/>
        <v>3</v>
      </c>
      <c r="Y44" s="76">
        <f t="shared" si="14"/>
        <v>4</v>
      </c>
      <c r="Z44" s="75">
        <f t="shared" si="55"/>
        <v>4</v>
      </c>
      <c r="AA44" s="79">
        <f t="shared" si="16"/>
        <v>5</v>
      </c>
      <c r="AC44" s="81">
        <v>100</v>
      </c>
      <c r="AD44" s="76">
        <v>100</v>
      </c>
      <c r="AE44" s="76">
        <v>100</v>
      </c>
      <c r="AF44" s="76">
        <v>100</v>
      </c>
      <c r="AG44" s="76">
        <v>100</v>
      </c>
    </row>
  </sheetData>
  <mergeCells count="11">
    <mergeCell ref="AC2:AG3"/>
    <mergeCell ref="L2:O3"/>
    <mergeCell ref="R3:S3"/>
    <mergeCell ref="T3:U3"/>
    <mergeCell ref="V3:W3"/>
    <mergeCell ref="E2:F3"/>
    <mergeCell ref="X3:Y3"/>
    <mergeCell ref="Z3:AA3"/>
    <mergeCell ref="R2:AA2"/>
    <mergeCell ref="C2:D3"/>
    <mergeCell ref="G2:J3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workbookViewId="0">
      <pane ySplit="4" topLeftCell="A11" activePane="bottomLeft" state="frozen"/>
      <selection pane="bottomLeft" activeCell="L45" sqref="L45"/>
    </sheetView>
  </sheetViews>
  <sheetFormatPr defaultRowHeight="16.5"/>
  <cols>
    <col min="1" max="1" width="3.625" style="11" customWidth="1"/>
    <col min="2" max="2" width="8.5" style="11" bestFit="1" customWidth="1"/>
    <col min="3" max="5" width="8.5" style="11" customWidth="1"/>
    <col min="6" max="10" width="9.125" style="11" customWidth="1"/>
    <col min="11" max="11" width="3.625" style="11" customWidth="1"/>
    <col min="12" max="16" width="9.125" style="11" customWidth="1"/>
    <col min="17" max="17" width="3.625" style="11" customWidth="1"/>
    <col min="18" max="19" width="12.875" style="16" customWidth="1"/>
    <col min="20" max="20" width="8" style="16" bestFit="1" customWidth="1"/>
    <col min="21" max="16384" width="9" style="11"/>
  </cols>
  <sheetData>
    <row r="1" spans="1:20" ht="17.25" thickBot="1"/>
    <row r="2" spans="1:20" ht="16.5" customHeight="1">
      <c r="B2" s="446" t="s">
        <v>247</v>
      </c>
      <c r="C2" s="447"/>
      <c r="D2" s="437" t="s">
        <v>248</v>
      </c>
      <c r="E2" s="464"/>
      <c r="F2" s="437" t="s">
        <v>249</v>
      </c>
      <c r="G2" s="449"/>
      <c r="H2" s="450"/>
      <c r="I2" s="162"/>
      <c r="J2" s="162"/>
      <c r="L2" s="459" t="s">
        <v>250</v>
      </c>
      <c r="M2" s="460"/>
      <c r="N2" s="460"/>
      <c r="O2" s="460"/>
      <c r="P2" s="152"/>
      <c r="R2" s="437" t="s">
        <v>1593</v>
      </c>
      <c r="S2" s="467"/>
      <c r="T2" s="464"/>
    </row>
    <row r="3" spans="1:20" ht="16.5" customHeight="1">
      <c r="B3" s="462"/>
      <c r="C3" s="463"/>
      <c r="D3" s="465"/>
      <c r="E3" s="466"/>
      <c r="F3" s="439"/>
      <c r="G3" s="451"/>
      <c r="H3" s="452"/>
      <c r="I3" s="231"/>
      <c r="J3" s="150"/>
      <c r="L3" s="461"/>
      <c r="M3" s="412"/>
      <c r="N3" s="412"/>
      <c r="O3" s="412"/>
      <c r="P3" s="153"/>
      <c r="R3" s="465"/>
      <c r="S3" s="468"/>
      <c r="T3" s="466"/>
    </row>
    <row r="4" spans="1:20" ht="17.25" thickBot="1">
      <c r="B4" s="95" t="s">
        <v>217</v>
      </c>
      <c r="C4" s="114" t="s">
        <v>218</v>
      </c>
      <c r="D4" s="149" t="s">
        <v>202</v>
      </c>
      <c r="E4" s="151" t="s">
        <v>203</v>
      </c>
      <c r="F4" s="236" t="s">
        <v>1572</v>
      </c>
      <c r="G4" s="95" t="s">
        <v>162</v>
      </c>
      <c r="H4" s="158" t="s">
        <v>163</v>
      </c>
      <c r="I4" s="158" t="s">
        <v>1573</v>
      </c>
      <c r="J4" s="158" t="s">
        <v>1174</v>
      </c>
      <c r="L4" s="236" t="s">
        <v>1572</v>
      </c>
      <c r="M4" s="95" t="s">
        <v>162</v>
      </c>
      <c r="N4" s="158" t="s">
        <v>163</v>
      </c>
      <c r="O4" s="158" t="s">
        <v>1573</v>
      </c>
      <c r="P4" s="151" t="s">
        <v>367</v>
      </c>
      <c r="R4" s="348" t="s">
        <v>1594</v>
      </c>
      <c r="S4" s="354" t="s">
        <v>220</v>
      </c>
      <c r="T4" s="349" t="s">
        <v>1595</v>
      </c>
    </row>
    <row r="5" spans="1:20" ht="16.5" customHeight="1">
      <c r="A5" s="11">
        <v>1</v>
      </c>
      <c r="B5" s="96">
        <v>1</v>
      </c>
      <c r="C5" s="115">
        <v>3</v>
      </c>
      <c r="D5" s="155">
        <v>1</v>
      </c>
      <c r="E5" s="120">
        <v>2</v>
      </c>
      <c r="F5" s="159">
        <f>80-I5-H5-G5</f>
        <v>73.8</v>
      </c>
      <c r="G5" s="82">
        <v>6</v>
      </c>
      <c r="H5" s="82">
        <v>0.2</v>
      </c>
      <c r="I5" s="160"/>
      <c r="J5" s="161"/>
      <c r="L5" s="159">
        <v>18</v>
      </c>
      <c r="M5" s="82">
        <v>2</v>
      </c>
      <c r="N5" s="160"/>
      <c r="O5" s="160"/>
      <c r="P5" s="161"/>
      <c r="R5" s="350" t="s">
        <v>1592</v>
      </c>
      <c r="S5" s="355">
        <v>100</v>
      </c>
      <c r="T5" s="77" t="s">
        <v>221</v>
      </c>
    </row>
    <row r="6" spans="1:20">
      <c r="A6" s="11">
        <v>2</v>
      </c>
      <c r="B6" s="154">
        <f>B5+3</f>
        <v>4</v>
      </c>
      <c r="C6" s="116">
        <f>C5+3</f>
        <v>6</v>
      </c>
      <c r="D6" s="155">
        <f t="shared" ref="D6:D9" si="0">D5</f>
        <v>1</v>
      </c>
      <c r="E6" s="120">
        <v>2</v>
      </c>
      <c r="F6" s="340">
        <f>80-I6-H6-G6</f>
        <v>63.8</v>
      </c>
      <c r="G6" s="343">
        <f>G5+8</f>
        <v>14</v>
      </c>
      <c r="H6" s="343">
        <f>H5+2</f>
        <v>2.2000000000000002</v>
      </c>
      <c r="I6" s="342"/>
      <c r="J6" s="91"/>
      <c r="L6" s="287">
        <f>L5-0.5</f>
        <v>17.5</v>
      </c>
      <c r="M6" s="233">
        <f>M5+0.5</f>
        <v>2.5</v>
      </c>
      <c r="N6" s="235"/>
      <c r="O6" s="235"/>
      <c r="P6" s="91"/>
      <c r="R6" s="351" t="s">
        <v>1578</v>
      </c>
      <c r="S6" s="343">
        <v>20</v>
      </c>
      <c r="T6" s="90"/>
    </row>
    <row r="7" spans="1:20">
      <c r="A7" s="11">
        <v>3</v>
      </c>
      <c r="B7" s="154">
        <f t="shared" ref="B7:B44" si="1">B6+3</f>
        <v>7</v>
      </c>
      <c r="C7" s="116">
        <f t="shared" ref="C7:C44" si="2">C6+3</f>
        <v>9</v>
      </c>
      <c r="D7" s="155">
        <f t="shared" si="0"/>
        <v>1</v>
      </c>
      <c r="E7" s="120">
        <v>2</v>
      </c>
      <c r="F7" s="340">
        <f t="shared" ref="F7:F11" si="3">80-I7-H7-G7</f>
        <v>53.8</v>
      </c>
      <c r="G7" s="343">
        <f t="shared" ref="G7:G11" si="4">G6+8</f>
        <v>22</v>
      </c>
      <c r="H7" s="343">
        <f t="shared" ref="H7:H11" si="5">H6+2</f>
        <v>4.2</v>
      </c>
      <c r="I7" s="342"/>
      <c r="J7" s="91"/>
      <c r="L7" s="287">
        <f t="shared" ref="L7:L39" si="6">L6-0.5</f>
        <v>17</v>
      </c>
      <c r="M7" s="233">
        <f t="shared" ref="M7:M19" si="7">M6+0.5</f>
        <v>3</v>
      </c>
      <c r="N7" s="235"/>
      <c r="O7" s="235"/>
      <c r="P7" s="91"/>
      <c r="R7" s="351" t="s">
        <v>1579</v>
      </c>
      <c r="S7" s="343">
        <v>20</v>
      </c>
      <c r="T7" s="90"/>
    </row>
    <row r="8" spans="1:20">
      <c r="A8" s="11">
        <v>4</v>
      </c>
      <c r="B8" s="154">
        <f t="shared" si="1"/>
        <v>10</v>
      </c>
      <c r="C8" s="116">
        <f t="shared" si="2"/>
        <v>12</v>
      </c>
      <c r="D8" s="155">
        <f t="shared" si="0"/>
        <v>1</v>
      </c>
      <c r="E8" s="120">
        <v>2</v>
      </c>
      <c r="F8" s="340">
        <f t="shared" si="3"/>
        <v>43.8</v>
      </c>
      <c r="G8" s="343">
        <f t="shared" si="4"/>
        <v>30</v>
      </c>
      <c r="H8" s="343">
        <f t="shared" si="5"/>
        <v>6.2</v>
      </c>
      <c r="I8" s="342"/>
      <c r="J8" s="91"/>
      <c r="L8" s="287">
        <f t="shared" si="6"/>
        <v>16.5</v>
      </c>
      <c r="M8" s="233">
        <f t="shared" si="7"/>
        <v>3.5</v>
      </c>
      <c r="N8" s="235"/>
      <c r="O8" s="235"/>
      <c r="P8" s="91"/>
      <c r="R8" s="351" t="s">
        <v>1580</v>
      </c>
      <c r="S8" s="343">
        <v>20</v>
      </c>
      <c r="T8" s="90"/>
    </row>
    <row r="9" spans="1:20">
      <c r="A9" s="11">
        <v>5</v>
      </c>
      <c r="B9" s="154">
        <f t="shared" si="1"/>
        <v>13</v>
      </c>
      <c r="C9" s="116">
        <f t="shared" si="2"/>
        <v>15</v>
      </c>
      <c r="D9" s="155">
        <f t="shared" si="0"/>
        <v>1</v>
      </c>
      <c r="E9" s="120">
        <v>2</v>
      </c>
      <c r="F9" s="340">
        <f t="shared" si="3"/>
        <v>33.799999999999997</v>
      </c>
      <c r="G9" s="343">
        <f t="shared" si="4"/>
        <v>38</v>
      </c>
      <c r="H9" s="343">
        <f t="shared" si="5"/>
        <v>8.1999999999999993</v>
      </c>
      <c r="I9" s="342"/>
      <c r="J9" s="91"/>
      <c r="L9" s="287">
        <f t="shared" si="6"/>
        <v>16</v>
      </c>
      <c r="M9" s="233">
        <f t="shared" si="7"/>
        <v>4</v>
      </c>
      <c r="N9" s="235"/>
      <c r="O9" s="235"/>
      <c r="P9" s="91"/>
      <c r="R9" s="351" t="s">
        <v>1581</v>
      </c>
      <c r="S9" s="343">
        <v>20</v>
      </c>
      <c r="T9" s="90"/>
    </row>
    <row r="10" spans="1:20">
      <c r="A10" s="11">
        <v>6</v>
      </c>
      <c r="B10" s="84">
        <f t="shared" si="1"/>
        <v>16</v>
      </c>
      <c r="C10" s="117">
        <f t="shared" si="2"/>
        <v>18</v>
      </c>
      <c r="D10" s="80">
        <v>1</v>
      </c>
      <c r="E10" s="121">
        <v>2</v>
      </c>
      <c r="F10" s="80">
        <f t="shared" si="3"/>
        <v>23.799999999999997</v>
      </c>
      <c r="G10" s="344">
        <f t="shared" si="4"/>
        <v>46</v>
      </c>
      <c r="H10" s="344">
        <f t="shared" si="5"/>
        <v>10.199999999999999</v>
      </c>
      <c r="I10" s="342"/>
      <c r="J10" s="91"/>
      <c r="L10" s="80">
        <f t="shared" si="6"/>
        <v>15.5</v>
      </c>
      <c r="M10" s="234">
        <f t="shared" si="7"/>
        <v>4.5</v>
      </c>
      <c r="N10" s="235"/>
      <c r="O10" s="235"/>
      <c r="P10" s="91"/>
      <c r="R10" s="351" t="s">
        <v>1582</v>
      </c>
      <c r="S10" s="343">
        <v>20</v>
      </c>
      <c r="T10" s="90"/>
    </row>
    <row r="11" spans="1:20">
      <c r="A11" s="11">
        <v>7</v>
      </c>
      <c r="B11" s="84">
        <f t="shared" si="1"/>
        <v>19</v>
      </c>
      <c r="C11" s="117">
        <f t="shared" si="2"/>
        <v>21</v>
      </c>
      <c r="D11" s="80">
        <v>1</v>
      </c>
      <c r="E11" s="121">
        <v>2</v>
      </c>
      <c r="F11" s="80">
        <f t="shared" si="3"/>
        <v>13.799999999999997</v>
      </c>
      <c r="G11" s="344">
        <f t="shared" si="4"/>
        <v>54</v>
      </c>
      <c r="H11" s="344">
        <f t="shared" si="5"/>
        <v>12.2</v>
      </c>
      <c r="I11" s="342"/>
      <c r="J11" s="91"/>
      <c r="L11" s="80">
        <f t="shared" si="6"/>
        <v>15</v>
      </c>
      <c r="M11" s="234">
        <f t="shared" si="7"/>
        <v>5</v>
      </c>
      <c r="N11" s="235"/>
      <c r="O11" s="235"/>
      <c r="P11" s="91"/>
      <c r="R11" s="351" t="s">
        <v>1583</v>
      </c>
      <c r="S11" s="343">
        <v>20</v>
      </c>
      <c r="T11" s="90"/>
    </row>
    <row r="12" spans="1:20">
      <c r="A12" s="11">
        <v>8</v>
      </c>
      <c r="B12" s="84">
        <f t="shared" si="1"/>
        <v>22</v>
      </c>
      <c r="C12" s="117">
        <f t="shared" si="2"/>
        <v>24</v>
      </c>
      <c r="D12" s="80">
        <v>1</v>
      </c>
      <c r="E12" s="121">
        <v>2</v>
      </c>
      <c r="F12" s="80"/>
      <c r="G12" s="341">
        <f>80-H12-I12</f>
        <v>65</v>
      </c>
      <c r="H12" s="341">
        <v>14</v>
      </c>
      <c r="I12" s="341">
        <v>1</v>
      </c>
      <c r="J12" s="91"/>
      <c r="K12" s="11">
        <f>SUM(G12:J12)</f>
        <v>80</v>
      </c>
      <c r="L12" s="80">
        <f t="shared" si="6"/>
        <v>14.5</v>
      </c>
      <c r="M12" s="234">
        <f t="shared" si="7"/>
        <v>5.5</v>
      </c>
      <c r="N12" s="235"/>
      <c r="O12" s="235"/>
      <c r="P12" s="91"/>
      <c r="R12" s="351" t="s">
        <v>1584</v>
      </c>
      <c r="S12" s="343">
        <v>20</v>
      </c>
      <c r="T12" s="90"/>
    </row>
    <row r="13" spans="1:20">
      <c r="A13" s="11">
        <v>9</v>
      </c>
      <c r="B13" s="84">
        <f t="shared" si="1"/>
        <v>25</v>
      </c>
      <c r="C13" s="117">
        <f t="shared" si="2"/>
        <v>27</v>
      </c>
      <c r="D13" s="80">
        <v>1</v>
      </c>
      <c r="E13" s="121">
        <v>2</v>
      </c>
      <c r="F13" s="80"/>
      <c r="G13" s="344">
        <f>80-H13-I13</f>
        <v>60.5</v>
      </c>
      <c r="H13" s="344">
        <f>H12+4</f>
        <v>18</v>
      </c>
      <c r="I13" s="344">
        <f>I12+0.5</f>
        <v>1.5</v>
      </c>
      <c r="J13" s="91"/>
      <c r="K13" s="11">
        <f t="shared" ref="K13:K44" si="8">SUM(G13:J13)</f>
        <v>80</v>
      </c>
      <c r="L13" s="80">
        <f t="shared" si="6"/>
        <v>14</v>
      </c>
      <c r="M13" s="234">
        <f t="shared" si="7"/>
        <v>6</v>
      </c>
      <c r="N13" s="235"/>
      <c r="O13" s="235"/>
      <c r="P13" s="91"/>
      <c r="R13" s="351" t="s">
        <v>1585</v>
      </c>
      <c r="S13" s="343">
        <v>20</v>
      </c>
      <c r="T13" s="90"/>
    </row>
    <row r="14" spans="1:20">
      <c r="A14" s="11">
        <v>10</v>
      </c>
      <c r="B14" s="84">
        <f t="shared" si="1"/>
        <v>28</v>
      </c>
      <c r="C14" s="117">
        <f t="shared" si="2"/>
        <v>30</v>
      </c>
      <c r="D14" s="80">
        <v>1</v>
      </c>
      <c r="E14" s="121">
        <v>2</v>
      </c>
      <c r="F14" s="80"/>
      <c r="G14" s="344">
        <f>80-H14-I14</f>
        <v>56</v>
      </c>
      <c r="H14" s="344">
        <f t="shared" ref="H14:H19" si="9">H13+4</f>
        <v>22</v>
      </c>
      <c r="I14" s="344">
        <f>I13+0.5</f>
        <v>2</v>
      </c>
      <c r="J14" s="91"/>
      <c r="K14" s="11">
        <f t="shared" si="8"/>
        <v>80</v>
      </c>
      <c r="L14" s="80">
        <f t="shared" si="6"/>
        <v>13.5</v>
      </c>
      <c r="M14" s="234">
        <f t="shared" si="7"/>
        <v>6.5</v>
      </c>
      <c r="N14" s="235"/>
      <c r="O14" s="235"/>
      <c r="P14" s="91"/>
      <c r="R14" s="351" t="s">
        <v>1586</v>
      </c>
      <c r="S14" s="343">
        <v>20</v>
      </c>
      <c r="T14" s="90"/>
    </row>
    <row r="15" spans="1:20">
      <c r="A15" s="11">
        <v>11</v>
      </c>
      <c r="B15" s="154">
        <f t="shared" si="1"/>
        <v>31</v>
      </c>
      <c r="C15" s="116">
        <f t="shared" si="2"/>
        <v>33</v>
      </c>
      <c r="D15" s="155">
        <v>1</v>
      </c>
      <c r="E15" s="120">
        <v>2</v>
      </c>
      <c r="F15" s="340"/>
      <c r="G15" s="343">
        <f>80-H15-I15-J15</f>
        <v>51.4</v>
      </c>
      <c r="H15" s="343">
        <f t="shared" si="9"/>
        <v>26</v>
      </c>
      <c r="I15" s="341">
        <v>2.5</v>
      </c>
      <c r="J15" s="85">
        <v>0.1</v>
      </c>
      <c r="K15" s="11">
        <f t="shared" si="8"/>
        <v>80</v>
      </c>
      <c r="L15" s="287">
        <f t="shared" si="6"/>
        <v>13</v>
      </c>
      <c r="M15" s="233">
        <f t="shared" si="7"/>
        <v>7</v>
      </c>
      <c r="N15" s="235"/>
      <c r="O15" s="235"/>
      <c r="P15" s="91"/>
      <c r="R15" s="351" t="s">
        <v>1587</v>
      </c>
      <c r="S15" s="343">
        <v>20</v>
      </c>
      <c r="T15" s="90"/>
    </row>
    <row r="16" spans="1:20">
      <c r="A16" s="11">
        <v>12</v>
      </c>
      <c r="B16" s="154">
        <f t="shared" si="1"/>
        <v>34</v>
      </c>
      <c r="C16" s="116">
        <f t="shared" si="2"/>
        <v>36</v>
      </c>
      <c r="D16" s="155">
        <v>1</v>
      </c>
      <c r="E16" s="120">
        <v>2</v>
      </c>
      <c r="F16" s="340"/>
      <c r="G16" s="343">
        <f t="shared" ref="G16:G24" si="10">80-H16-I16-J16</f>
        <v>46.9</v>
      </c>
      <c r="H16" s="343">
        <f t="shared" si="9"/>
        <v>30</v>
      </c>
      <c r="I16" s="343">
        <f>I15+0.5</f>
        <v>3</v>
      </c>
      <c r="J16" s="90">
        <f>J15</f>
        <v>0.1</v>
      </c>
      <c r="K16" s="11">
        <f t="shared" si="8"/>
        <v>80</v>
      </c>
      <c r="L16" s="287">
        <f t="shared" si="6"/>
        <v>12.5</v>
      </c>
      <c r="M16" s="233">
        <f t="shared" si="7"/>
        <v>7.5</v>
      </c>
      <c r="N16" s="235"/>
      <c r="O16" s="235"/>
      <c r="P16" s="91"/>
      <c r="R16" s="351" t="s">
        <v>1588</v>
      </c>
      <c r="S16" s="343">
        <v>20</v>
      </c>
      <c r="T16" s="90"/>
    </row>
    <row r="17" spans="1:20">
      <c r="A17" s="11">
        <v>13</v>
      </c>
      <c r="B17" s="154">
        <f t="shared" si="1"/>
        <v>37</v>
      </c>
      <c r="C17" s="116">
        <f t="shared" si="2"/>
        <v>39</v>
      </c>
      <c r="D17" s="155">
        <v>1</v>
      </c>
      <c r="E17" s="120">
        <v>2</v>
      </c>
      <c r="F17" s="340"/>
      <c r="G17" s="343">
        <f t="shared" si="10"/>
        <v>42.4</v>
      </c>
      <c r="H17" s="343">
        <f t="shared" si="9"/>
        <v>34</v>
      </c>
      <c r="I17" s="343">
        <f t="shared" ref="I17:I19" si="11">I16+0.5</f>
        <v>3.5</v>
      </c>
      <c r="J17" s="90">
        <f t="shared" ref="J17:J19" si="12">J16</f>
        <v>0.1</v>
      </c>
      <c r="K17" s="11">
        <f t="shared" si="8"/>
        <v>80</v>
      </c>
      <c r="L17" s="287">
        <f t="shared" si="6"/>
        <v>12</v>
      </c>
      <c r="M17" s="233">
        <f t="shared" si="7"/>
        <v>8</v>
      </c>
      <c r="N17" s="235"/>
      <c r="O17" s="235"/>
      <c r="P17" s="91"/>
      <c r="R17" s="351" t="s">
        <v>1589</v>
      </c>
      <c r="S17" s="343">
        <v>20</v>
      </c>
      <c r="T17" s="90"/>
    </row>
    <row r="18" spans="1:20">
      <c r="A18" s="11">
        <v>14</v>
      </c>
      <c r="B18" s="154">
        <f t="shared" si="1"/>
        <v>40</v>
      </c>
      <c r="C18" s="116">
        <f t="shared" si="2"/>
        <v>42</v>
      </c>
      <c r="D18" s="155">
        <v>1</v>
      </c>
      <c r="E18" s="120">
        <v>2</v>
      </c>
      <c r="F18" s="340"/>
      <c r="G18" s="343">
        <f t="shared" si="10"/>
        <v>37.9</v>
      </c>
      <c r="H18" s="343">
        <f t="shared" si="9"/>
        <v>38</v>
      </c>
      <c r="I18" s="343">
        <f t="shared" si="11"/>
        <v>4</v>
      </c>
      <c r="J18" s="90">
        <f t="shared" si="12"/>
        <v>0.1</v>
      </c>
      <c r="K18" s="11">
        <f t="shared" si="8"/>
        <v>80</v>
      </c>
      <c r="L18" s="287">
        <f t="shared" si="6"/>
        <v>11.5</v>
      </c>
      <c r="M18" s="233">
        <f t="shared" si="7"/>
        <v>8.5</v>
      </c>
      <c r="N18" s="235"/>
      <c r="O18" s="235"/>
      <c r="P18" s="91"/>
      <c r="R18" s="351" t="s">
        <v>1590</v>
      </c>
      <c r="S18" s="343">
        <v>20</v>
      </c>
      <c r="T18" s="90"/>
    </row>
    <row r="19" spans="1:20" ht="17.25" thickBot="1">
      <c r="A19" s="11">
        <v>15</v>
      </c>
      <c r="B19" s="154">
        <f t="shared" si="1"/>
        <v>43</v>
      </c>
      <c r="C19" s="116">
        <f t="shared" si="2"/>
        <v>45</v>
      </c>
      <c r="D19" s="155">
        <v>1</v>
      </c>
      <c r="E19" s="120">
        <v>2</v>
      </c>
      <c r="F19" s="340"/>
      <c r="G19" s="343">
        <f t="shared" si="10"/>
        <v>33.4</v>
      </c>
      <c r="H19" s="343">
        <f t="shared" si="9"/>
        <v>42</v>
      </c>
      <c r="I19" s="343">
        <f t="shared" si="11"/>
        <v>4.5</v>
      </c>
      <c r="J19" s="90">
        <f t="shared" si="12"/>
        <v>0.1</v>
      </c>
      <c r="K19" s="11">
        <f t="shared" si="8"/>
        <v>80</v>
      </c>
      <c r="L19" s="287">
        <f t="shared" si="6"/>
        <v>11</v>
      </c>
      <c r="M19" s="233">
        <f t="shared" si="7"/>
        <v>9</v>
      </c>
      <c r="N19" s="235"/>
      <c r="O19" s="235"/>
      <c r="P19" s="91"/>
      <c r="R19" s="356" t="s">
        <v>1591</v>
      </c>
      <c r="S19" s="357">
        <v>20</v>
      </c>
      <c r="T19" s="358"/>
    </row>
    <row r="20" spans="1:20">
      <c r="A20" s="11">
        <v>16</v>
      </c>
      <c r="B20" s="84">
        <f t="shared" si="1"/>
        <v>46</v>
      </c>
      <c r="C20" s="117">
        <f t="shared" si="2"/>
        <v>48</v>
      </c>
      <c r="D20" s="80">
        <v>1</v>
      </c>
      <c r="E20" s="121">
        <v>2</v>
      </c>
      <c r="F20" s="80"/>
      <c r="G20" s="344">
        <f t="shared" si="10"/>
        <v>28.3</v>
      </c>
      <c r="H20" s="344">
        <f>H19+5</f>
        <v>47</v>
      </c>
      <c r="I20" s="344">
        <v>4.5</v>
      </c>
      <c r="J20" s="74">
        <v>0.2</v>
      </c>
      <c r="K20" s="11">
        <f t="shared" si="8"/>
        <v>80</v>
      </c>
      <c r="L20" s="88">
        <v>10.5</v>
      </c>
      <c r="M20" s="232">
        <v>9</v>
      </c>
      <c r="N20" s="232">
        <v>0.5</v>
      </c>
      <c r="O20" s="235"/>
      <c r="P20" s="91"/>
      <c r="R20" s="11"/>
      <c r="S20" s="11"/>
      <c r="T20" s="11"/>
    </row>
    <row r="21" spans="1:20">
      <c r="A21" s="11">
        <v>17</v>
      </c>
      <c r="B21" s="84">
        <f t="shared" si="1"/>
        <v>49</v>
      </c>
      <c r="C21" s="117">
        <f t="shared" si="2"/>
        <v>51</v>
      </c>
      <c r="D21" s="80">
        <v>1</v>
      </c>
      <c r="E21" s="121">
        <v>2</v>
      </c>
      <c r="F21" s="80"/>
      <c r="G21" s="344">
        <f t="shared" si="10"/>
        <v>22.8</v>
      </c>
      <c r="H21" s="344">
        <f t="shared" ref="H21:H24" si="13">H20+5</f>
        <v>52</v>
      </c>
      <c r="I21" s="344">
        <f>I20+0.5</f>
        <v>5</v>
      </c>
      <c r="J21" s="74">
        <f>J20</f>
        <v>0.2</v>
      </c>
      <c r="K21" s="11">
        <f t="shared" si="8"/>
        <v>80</v>
      </c>
      <c r="L21" s="80">
        <f t="shared" si="6"/>
        <v>10</v>
      </c>
      <c r="M21" s="234">
        <f>20-L21-N21</f>
        <v>9</v>
      </c>
      <c r="N21" s="234">
        <f>N20+0.5</f>
        <v>1</v>
      </c>
      <c r="O21" s="235"/>
      <c r="P21" s="91"/>
      <c r="R21" s="11"/>
      <c r="S21" s="11"/>
      <c r="T21" s="11"/>
    </row>
    <row r="22" spans="1:20">
      <c r="A22" s="11">
        <v>18</v>
      </c>
      <c r="B22" s="84">
        <f t="shared" si="1"/>
        <v>52</v>
      </c>
      <c r="C22" s="117">
        <f t="shared" si="2"/>
        <v>54</v>
      </c>
      <c r="D22" s="80">
        <v>1</v>
      </c>
      <c r="E22" s="121">
        <v>2</v>
      </c>
      <c r="F22" s="80"/>
      <c r="G22" s="344">
        <f t="shared" si="10"/>
        <v>17.3</v>
      </c>
      <c r="H22" s="344">
        <f t="shared" si="13"/>
        <v>57</v>
      </c>
      <c r="I22" s="344">
        <f t="shared" ref="I22:I24" si="14">I21+0.5</f>
        <v>5.5</v>
      </c>
      <c r="J22" s="74">
        <f t="shared" ref="J22:J24" si="15">J21</f>
        <v>0.2</v>
      </c>
      <c r="K22" s="11">
        <f t="shared" si="8"/>
        <v>80</v>
      </c>
      <c r="L22" s="80">
        <f t="shared" si="6"/>
        <v>9.5</v>
      </c>
      <c r="M22" s="234">
        <f t="shared" ref="M22:M39" si="16">20-L22-N22</f>
        <v>9</v>
      </c>
      <c r="N22" s="234">
        <f t="shared" ref="N22:N30" si="17">N21+0.5</f>
        <v>1.5</v>
      </c>
      <c r="O22" s="235"/>
      <c r="P22" s="91"/>
      <c r="R22" s="11"/>
      <c r="S22" s="11"/>
      <c r="T22" s="11"/>
    </row>
    <row r="23" spans="1:20">
      <c r="A23" s="11">
        <v>19</v>
      </c>
      <c r="B23" s="84">
        <f t="shared" si="1"/>
        <v>55</v>
      </c>
      <c r="C23" s="117">
        <f t="shared" si="2"/>
        <v>57</v>
      </c>
      <c r="D23" s="80">
        <v>1</v>
      </c>
      <c r="E23" s="121">
        <v>2</v>
      </c>
      <c r="F23" s="80"/>
      <c r="G23" s="344">
        <f t="shared" si="10"/>
        <v>11.8</v>
      </c>
      <c r="H23" s="344">
        <f t="shared" si="13"/>
        <v>62</v>
      </c>
      <c r="I23" s="344">
        <f t="shared" si="14"/>
        <v>6</v>
      </c>
      <c r="J23" s="74">
        <f t="shared" si="15"/>
        <v>0.2</v>
      </c>
      <c r="K23" s="11">
        <f t="shared" si="8"/>
        <v>80</v>
      </c>
      <c r="L23" s="80">
        <f t="shared" si="6"/>
        <v>9</v>
      </c>
      <c r="M23" s="234">
        <f t="shared" si="16"/>
        <v>9</v>
      </c>
      <c r="N23" s="234">
        <f t="shared" si="17"/>
        <v>2</v>
      </c>
      <c r="O23" s="235"/>
      <c r="P23" s="91"/>
      <c r="R23" s="11"/>
      <c r="S23" s="11"/>
      <c r="T23" s="11"/>
    </row>
    <row r="24" spans="1:20">
      <c r="A24" s="11">
        <v>20</v>
      </c>
      <c r="B24" s="84">
        <f t="shared" si="1"/>
        <v>58</v>
      </c>
      <c r="C24" s="117">
        <f t="shared" si="2"/>
        <v>60</v>
      </c>
      <c r="D24" s="80">
        <v>1</v>
      </c>
      <c r="E24" s="121">
        <v>2</v>
      </c>
      <c r="F24" s="80"/>
      <c r="G24" s="344">
        <f t="shared" si="10"/>
        <v>6.3</v>
      </c>
      <c r="H24" s="344">
        <f t="shared" si="13"/>
        <v>67</v>
      </c>
      <c r="I24" s="344">
        <f t="shared" si="14"/>
        <v>6.5</v>
      </c>
      <c r="J24" s="74">
        <f t="shared" si="15"/>
        <v>0.2</v>
      </c>
      <c r="K24" s="11">
        <f>SUM(G24:J24)</f>
        <v>80</v>
      </c>
      <c r="L24" s="80">
        <f t="shared" si="6"/>
        <v>8.5</v>
      </c>
      <c r="M24" s="234">
        <f t="shared" si="16"/>
        <v>9</v>
      </c>
      <c r="N24" s="234">
        <f t="shared" si="17"/>
        <v>2.5</v>
      </c>
      <c r="O24" s="235"/>
      <c r="P24" s="91"/>
      <c r="R24" s="11"/>
      <c r="S24" s="11"/>
      <c r="T24" s="11"/>
    </row>
    <row r="25" spans="1:20">
      <c r="A25" s="11">
        <v>21</v>
      </c>
      <c r="B25" s="154">
        <f t="shared" si="1"/>
        <v>61</v>
      </c>
      <c r="C25" s="116">
        <f t="shared" si="2"/>
        <v>63</v>
      </c>
      <c r="D25" s="155">
        <v>1</v>
      </c>
      <c r="E25" s="123">
        <v>3</v>
      </c>
      <c r="F25" s="340"/>
      <c r="G25" s="343"/>
      <c r="H25" s="343">
        <f>80-I25-J25</f>
        <v>72.7</v>
      </c>
      <c r="I25" s="343">
        <v>7</v>
      </c>
      <c r="J25" s="90">
        <v>0.3</v>
      </c>
      <c r="K25" s="11">
        <f t="shared" si="8"/>
        <v>80</v>
      </c>
      <c r="L25" s="287">
        <f t="shared" si="6"/>
        <v>8</v>
      </c>
      <c r="M25" s="233">
        <f t="shared" si="16"/>
        <v>9</v>
      </c>
      <c r="N25" s="233">
        <f t="shared" si="17"/>
        <v>3</v>
      </c>
      <c r="O25" s="235"/>
      <c r="P25" s="91"/>
      <c r="R25" s="11"/>
      <c r="S25" s="11"/>
      <c r="T25" s="11"/>
    </row>
    <row r="26" spans="1:20">
      <c r="A26" s="11">
        <v>22</v>
      </c>
      <c r="B26" s="154">
        <f t="shared" si="1"/>
        <v>64</v>
      </c>
      <c r="C26" s="116">
        <f t="shared" si="2"/>
        <v>66</v>
      </c>
      <c r="D26" s="155">
        <v>1</v>
      </c>
      <c r="E26" s="120">
        <v>3</v>
      </c>
      <c r="F26" s="340"/>
      <c r="G26" s="343"/>
      <c r="H26" s="343">
        <f t="shared" ref="H26:H44" si="18">80-I26-J26</f>
        <v>72.2</v>
      </c>
      <c r="I26" s="343">
        <f t="shared" ref="I26:I29" si="19">I25+0.5</f>
        <v>7.5</v>
      </c>
      <c r="J26" s="90">
        <f>J25</f>
        <v>0.3</v>
      </c>
      <c r="K26" s="11">
        <f t="shared" si="8"/>
        <v>80</v>
      </c>
      <c r="L26" s="287">
        <f t="shared" si="6"/>
        <v>7.5</v>
      </c>
      <c r="M26" s="233">
        <f t="shared" si="16"/>
        <v>9</v>
      </c>
      <c r="N26" s="233">
        <f t="shared" si="17"/>
        <v>3.5</v>
      </c>
      <c r="O26" s="235"/>
      <c r="P26" s="91"/>
      <c r="R26" s="11"/>
      <c r="S26" s="11"/>
      <c r="T26" s="11"/>
    </row>
    <row r="27" spans="1:20">
      <c r="A27" s="11">
        <v>23</v>
      </c>
      <c r="B27" s="154">
        <f t="shared" si="1"/>
        <v>67</v>
      </c>
      <c r="C27" s="116">
        <f t="shared" si="2"/>
        <v>69</v>
      </c>
      <c r="D27" s="155">
        <v>1</v>
      </c>
      <c r="E27" s="120">
        <v>3</v>
      </c>
      <c r="F27" s="340"/>
      <c r="G27" s="343"/>
      <c r="H27" s="343">
        <f t="shared" si="18"/>
        <v>71.7</v>
      </c>
      <c r="I27" s="343">
        <f t="shared" si="19"/>
        <v>8</v>
      </c>
      <c r="J27" s="90">
        <f t="shared" ref="J27:J29" si="20">J26</f>
        <v>0.3</v>
      </c>
      <c r="K27" s="11">
        <f t="shared" si="8"/>
        <v>80</v>
      </c>
      <c r="L27" s="287">
        <f t="shared" si="6"/>
        <v>7</v>
      </c>
      <c r="M27" s="233">
        <f t="shared" si="16"/>
        <v>9</v>
      </c>
      <c r="N27" s="233">
        <f t="shared" si="17"/>
        <v>4</v>
      </c>
      <c r="O27" s="235"/>
      <c r="P27" s="91"/>
      <c r="R27" s="11"/>
      <c r="S27" s="11"/>
      <c r="T27" s="11"/>
    </row>
    <row r="28" spans="1:20">
      <c r="A28" s="11">
        <v>24</v>
      </c>
      <c r="B28" s="154">
        <f t="shared" si="1"/>
        <v>70</v>
      </c>
      <c r="C28" s="116">
        <f t="shared" si="2"/>
        <v>72</v>
      </c>
      <c r="D28" s="155">
        <v>1</v>
      </c>
      <c r="E28" s="120">
        <v>3</v>
      </c>
      <c r="F28" s="340"/>
      <c r="G28" s="343"/>
      <c r="H28" s="343">
        <f t="shared" si="18"/>
        <v>71.2</v>
      </c>
      <c r="I28" s="343">
        <f t="shared" si="19"/>
        <v>8.5</v>
      </c>
      <c r="J28" s="90">
        <f t="shared" si="20"/>
        <v>0.3</v>
      </c>
      <c r="K28" s="11">
        <f t="shared" si="8"/>
        <v>80</v>
      </c>
      <c r="L28" s="287">
        <f t="shared" si="6"/>
        <v>6.5</v>
      </c>
      <c r="M28" s="233">
        <f t="shared" si="16"/>
        <v>9</v>
      </c>
      <c r="N28" s="233">
        <f t="shared" si="17"/>
        <v>4.5</v>
      </c>
      <c r="O28" s="235"/>
      <c r="P28" s="91"/>
      <c r="R28" s="11"/>
      <c r="S28" s="11"/>
      <c r="T28" s="11"/>
    </row>
    <row r="29" spans="1:20">
      <c r="A29" s="11">
        <v>25</v>
      </c>
      <c r="B29" s="154">
        <f t="shared" si="1"/>
        <v>73</v>
      </c>
      <c r="C29" s="116">
        <f t="shared" si="2"/>
        <v>75</v>
      </c>
      <c r="D29" s="155">
        <v>1</v>
      </c>
      <c r="E29" s="120">
        <v>3</v>
      </c>
      <c r="F29" s="340"/>
      <c r="G29" s="343"/>
      <c r="H29" s="343">
        <f t="shared" si="18"/>
        <v>70.7</v>
      </c>
      <c r="I29" s="343">
        <f t="shared" si="19"/>
        <v>9</v>
      </c>
      <c r="J29" s="90">
        <f t="shared" si="20"/>
        <v>0.3</v>
      </c>
      <c r="K29" s="11">
        <f t="shared" si="8"/>
        <v>80</v>
      </c>
      <c r="L29" s="287">
        <f t="shared" si="6"/>
        <v>6</v>
      </c>
      <c r="M29" s="233">
        <f t="shared" si="16"/>
        <v>9</v>
      </c>
      <c r="N29" s="233">
        <f t="shared" si="17"/>
        <v>5</v>
      </c>
      <c r="O29" s="235"/>
      <c r="P29" s="91"/>
      <c r="R29" s="11"/>
      <c r="S29" s="11"/>
      <c r="T29" s="11"/>
    </row>
    <row r="30" spans="1:20">
      <c r="A30" s="11">
        <v>26</v>
      </c>
      <c r="B30" s="84">
        <f t="shared" si="1"/>
        <v>76</v>
      </c>
      <c r="C30" s="117">
        <f t="shared" si="2"/>
        <v>78</v>
      </c>
      <c r="D30" s="80">
        <v>1</v>
      </c>
      <c r="E30" s="121">
        <v>3</v>
      </c>
      <c r="F30" s="80"/>
      <c r="G30" s="344"/>
      <c r="H30" s="344">
        <f t="shared" si="18"/>
        <v>69.599999999999994</v>
      </c>
      <c r="I30" s="344">
        <v>10</v>
      </c>
      <c r="J30" s="74">
        <v>0.4</v>
      </c>
      <c r="K30" s="11">
        <f t="shared" si="8"/>
        <v>80</v>
      </c>
      <c r="L30" s="80">
        <f t="shared" si="6"/>
        <v>5.5</v>
      </c>
      <c r="M30" s="234">
        <f t="shared" si="16"/>
        <v>9</v>
      </c>
      <c r="N30" s="234">
        <f t="shared" si="17"/>
        <v>5.5</v>
      </c>
      <c r="O30" s="235"/>
      <c r="P30" s="91"/>
      <c r="R30" s="11"/>
      <c r="S30" s="11"/>
      <c r="T30" s="11"/>
    </row>
    <row r="31" spans="1:20">
      <c r="A31" s="11">
        <v>27</v>
      </c>
      <c r="B31" s="84">
        <f t="shared" si="1"/>
        <v>79</v>
      </c>
      <c r="C31" s="117">
        <f t="shared" si="2"/>
        <v>81</v>
      </c>
      <c r="D31" s="80">
        <v>1</v>
      </c>
      <c r="E31" s="121">
        <v>3</v>
      </c>
      <c r="F31" s="80"/>
      <c r="G31" s="344"/>
      <c r="H31" s="344">
        <f t="shared" si="18"/>
        <v>68.599999999999994</v>
      </c>
      <c r="I31" s="344">
        <f>I30+1</f>
        <v>11</v>
      </c>
      <c r="J31" s="74">
        <f t="shared" ref="J31:J34" si="21">J30</f>
        <v>0.4</v>
      </c>
      <c r="K31" s="11">
        <f t="shared" si="8"/>
        <v>80</v>
      </c>
      <c r="L31" s="80">
        <f t="shared" si="6"/>
        <v>5</v>
      </c>
      <c r="M31" s="234">
        <f t="shared" si="16"/>
        <v>8.5</v>
      </c>
      <c r="N31" s="234">
        <f>N30+1</f>
        <v>6.5</v>
      </c>
      <c r="O31" s="235"/>
      <c r="P31" s="91"/>
      <c r="R31" s="11"/>
      <c r="S31" s="11"/>
      <c r="T31" s="11"/>
    </row>
    <row r="32" spans="1:20">
      <c r="A32" s="11">
        <v>28</v>
      </c>
      <c r="B32" s="84">
        <f t="shared" si="1"/>
        <v>82</v>
      </c>
      <c r="C32" s="117">
        <f t="shared" si="2"/>
        <v>84</v>
      </c>
      <c r="D32" s="80">
        <v>1</v>
      </c>
      <c r="E32" s="121">
        <v>3</v>
      </c>
      <c r="F32" s="80"/>
      <c r="G32" s="344"/>
      <c r="H32" s="344">
        <f t="shared" si="18"/>
        <v>67.599999999999994</v>
      </c>
      <c r="I32" s="344">
        <f t="shared" ref="I32:I34" si="22">I31+1</f>
        <v>12</v>
      </c>
      <c r="J32" s="74">
        <f t="shared" si="21"/>
        <v>0.4</v>
      </c>
      <c r="K32" s="11">
        <f t="shared" si="8"/>
        <v>80</v>
      </c>
      <c r="L32" s="80">
        <f t="shared" si="6"/>
        <v>4.5</v>
      </c>
      <c r="M32" s="234">
        <f t="shared" si="16"/>
        <v>8</v>
      </c>
      <c r="N32" s="234">
        <f t="shared" ref="N32:N39" si="23">N31+1</f>
        <v>7.5</v>
      </c>
      <c r="O32" s="235"/>
      <c r="P32" s="91"/>
      <c r="R32" s="11"/>
      <c r="S32" s="11"/>
      <c r="T32" s="11"/>
    </row>
    <row r="33" spans="1:20">
      <c r="A33" s="11">
        <v>29</v>
      </c>
      <c r="B33" s="84">
        <f t="shared" si="1"/>
        <v>85</v>
      </c>
      <c r="C33" s="117">
        <f t="shared" si="2"/>
        <v>87</v>
      </c>
      <c r="D33" s="80">
        <v>1</v>
      </c>
      <c r="E33" s="121">
        <v>3</v>
      </c>
      <c r="F33" s="80"/>
      <c r="G33" s="344"/>
      <c r="H33" s="344">
        <f t="shared" si="18"/>
        <v>66.599999999999994</v>
      </c>
      <c r="I33" s="344">
        <f t="shared" si="22"/>
        <v>13</v>
      </c>
      <c r="J33" s="74">
        <f t="shared" si="21"/>
        <v>0.4</v>
      </c>
      <c r="K33" s="11">
        <f t="shared" si="8"/>
        <v>80</v>
      </c>
      <c r="L33" s="80">
        <f t="shared" si="6"/>
        <v>4</v>
      </c>
      <c r="M33" s="234">
        <f t="shared" si="16"/>
        <v>7.5</v>
      </c>
      <c r="N33" s="234">
        <f t="shared" si="23"/>
        <v>8.5</v>
      </c>
      <c r="O33" s="235"/>
      <c r="P33" s="91"/>
      <c r="R33" s="11"/>
      <c r="S33" s="11"/>
      <c r="T33" s="11"/>
    </row>
    <row r="34" spans="1:20">
      <c r="A34" s="11">
        <v>30</v>
      </c>
      <c r="B34" s="84">
        <f t="shared" si="1"/>
        <v>88</v>
      </c>
      <c r="C34" s="117">
        <f t="shared" si="2"/>
        <v>90</v>
      </c>
      <c r="D34" s="80">
        <v>1</v>
      </c>
      <c r="E34" s="121">
        <v>3</v>
      </c>
      <c r="F34" s="80"/>
      <c r="G34" s="344"/>
      <c r="H34" s="344">
        <f t="shared" si="18"/>
        <v>65.599999999999994</v>
      </c>
      <c r="I34" s="344">
        <f t="shared" si="22"/>
        <v>14</v>
      </c>
      <c r="J34" s="74">
        <f t="shared" si="21"/>
        <v>0.4</v>
      </c>
      <c r="K34" s="11">
        <f t="shared" si="8"/>
        <v>80</v>
      </c>
      <c r="L34" s="80">
        <f t="shared" si="6"/>
        <v>3.5</v>
      </c>
      <c r="M34" s="234">
        <f t="shared" si="16"/>
        <v>7</v>
      </c>
      <c r="N34" s="234">
        <f t="shared" si="23"/>
        <v>9.5</v>
      </c>
      <c r="O34" s="235"/>
      <c r="P34" s="91"/>
      <c r="R34" s="11"/>
      <c r="S34" s="11"/>
      <c r="T34" s="11"/>
    </row>
    <row r="35" spans="1:20">
      <c r="A35" s="11">
        <v>31</v>
      </c>
      <c r="B35" s="154">
        <f t="shared" si="1"/>
        <v>91</v>
      </c>
      <c r="C35" s="116">
        <f t="shared" si="2"/>
        <v>93</v>
      </c>
      <c r="D35" s="155">
        <v>1</v>
      </c>
      <c r="E35" s="120">
        <v>3</v>
      </c>
      <c r="F35" s="340"/>
      <c r="G35" s="343"/>
      <c r="H35" s="343">
        <f t="shared" si="18"/>
        <v>64.5</v>
      </c>
      <c r="I35" s="343">
        <v>15</v>
      </c>
      <c r="J35" s="90">
        <v>0.5</v>
      </c>
      <c r="K35" s="11">
        <f t="shared" si="8"/>
        <v>80</v>
      </c>
      <c r="L35" s="287">
        <f t="shared" si="6"/>
        <v>3</v>
      </c>
      <c r="M35" s="233">
        <f t="shared" si="16"/>
        <v>6.5</v>
      </c>
      <c r="N35" s="233">
        <f t="shared" si="23"/>
        <v>10.5</v>
      </c>
      <c r="O35" s="235"/>
      <c r="P35" s="91"/>
      <c r="R35" s="11"/>
      <c r="S35" s="11"/>
      <c r="T35" s="11"/>
    </row>
    <row r="36" spans="1:20">
      <c r="A36" s="11">
        <v>32</v>
      </c>
      <c r="B36" s="154">
        <f t="shared" si="1"/>
        <v>94</v>
      </c>
      <c r="C36" s="116">
        <f t="shared" si="2"/>
        <v>96</v>
      </c>
      <c r="D36" s="155">
        <v>1</v>
      </c>
      <c r="E36" s="120">
        <v>3</v>
      </c>
      <c r="F36" s="340"/>
      <c r="G36" s="343"/>
      <c r="H36" s="343">
        <f>80-I36-J36</f>
        <v>63.5</v>
      </c>
      <c r="I36" s="343">
        <f>I35+1</f>
        <v>16</v>
      </c>
      <c r="J36" s="90">
        <f t="shared" ref="J36:J39" si="24">J35</f>
        <v>0.5</v>
      </c>
      <c r="K36" s="11">
        <f t="shared" si="8"/>
        <v>80</v>
      </c>
      <c r="L36" s="287">
        <f t="shared" si="6"/>
        <v>2.5</v>
      </c>
      <c r="M36" s="233">
        <f t="shared" si="16"/>
        <v>6</v>
      </c>
      <c r="N36" s="233">
        <f t="shared" si="23"/>
        <v>11.5</v>
      </c>
      <c r="O36" s="235"/>
      <c r="P36" s="91"/>
      <c r="R36" s="11"/>
      <c r="S36" s="11"/>
      <c r="T36" s="11"/>
    </row>
    <row r="37" spans="1:20">
      <c r="A37" s="11">
        <v>33</v>
      </c>
      <c r="B37" s="154">
        <f t="shared" si="1"/>
        <v>97</v>
      </c>
      <c r="C37" s="116">
        <f t="shared" si="2"/>
        <v>99</v>
      </c>
      <c r="D37" s="155">
        <v>1</v>
      </c>
      <c r="E37" s="120">
        <v>3</v>
      </c>
      <c r="F37" s="340"/>
      <c r="G37" s="343"/>
      <c r="H37" s="343">
        <f t="shared" si="18"/>
        <v>62.5</v>
      </c>
      <c r="I37" s="343">
        <f t="shared" ref="I37:I39" si="25">I36+1</f>
        <v>17</v>
      </c>
      <c r="J37" s="90">
        <f t="shared" si="24"/>
        <v>0.5</v>
      </c>
      <c r="K37" s="11">
        <f t="shared" si="8"/>
        <v>80</v>
      </c>
      <c r="L37" s="287">
        <f t="shared" si="6"/>
        <v>2</v>
      </c>
      <c r="M37" s="233">
        <f t="shared" si="16"/>
        <v>5.5</v>
      </c>
      <c r="N37" s="233">
        <f t="shared" si="23"/>
        <v>12.5</v>
      </c>
      <c r="O37" s="235"/>
      <c r="P37" s="91"/>
      <c r="R37" s="11"/>
      <c r="S37" s="11"/>
      <c r="T37" s="11"/>
    </row>
    <row r="38" spans="1:20">
      <c r="A38" s="11">
        <v>34</v>
      </c>
      <c r="B38" s="154">
        <f t="shared" si="1"/>
        <v>100</v>
      </c>
      <c r="C38" s="116">
        <f t="shared" si="2"/>
        <v>102</v>
      </c>
      <c r="D38" s="155">
        <v>1</v>
      </c>
      <c r="E38" s="120">
        <v>3</v>
      </c>
      <c r="F38" s="340"/>
      <c r="G38" s="343"/>
      <c r="H38" s="343">
        <f t="shared" si="18"/>
        <v>61.5</v>
      </c>
      <c r="I38" s="343">
        <f t="shared" si="25"/>
        <v>18</v>
      </c>
      <c r="J38" s="90">
        <f t="shared" si="24"/>
        <v>0.5</v>
      </c>
      <c r="K38" s="11">
        <f t="shared" si="8"/>
        <v>80</v>
      </c>
      <c r="L38" s="287">
        <f t="shared" si="6"/>
        <v>1.5</v>
      </c>
      <c r="M38" s="233">
        <f t="shared" si="16"/>
        <v>5</v>
      </c>
      <c r="N38" s="233">
        <f t="shared" si="23"/>
        <v>13.5</v>
      </c>
      <c r="O38" s="235"/>
      <c r="P38" s="91"/>
      <c r="R38" s="11"/>
      <c r="S38" s="11"/>
      <c r="T38" s="11"/>
    </row>
    <row r="39" spans="1:20">
      <c r="A39" s="11">
        <v>35</v>
      </c>
      <c r="B39" s="154">
        <f t="shared" si="1"/>
        <v>103</v>
      </c>
      <c r="C39" s="116">
        <f t="shared" si="2"/>
        <v>105</v>
      </c>
      <c r="D39" s="155">
        <v>1</v>
      </c>
      <c r="E39" s="120">
        <v>3</v>
      </c>
      <c r="F39" s="340"/>
      <c r="G39" s="343"/>
      <c r="H39" s="343">
        <f t="shared" si="18"/>
        <v>60.5</v>
      </c>
      <c r="I39" s="343">
        <f t="shared" si="25"/>
        <v>19</v>
      </c>
      <c r="J39" s="90">
        <f t="shared" si="24"/>
        <v>0.5</v>
      </c>
      <c r="K39" s="11">
        <f t="shared" si="8"/>
        <v>80</v>
      </c>
      <c r="L39" s="287">
        <f t="shared" si="6"/>
        <v>1</v>
      </c>
      <c r="M39" s="233">
        <f t="shared" si="16"/>
        <v>4.5</v>
      </c>
      <c r="N39" s="233">
        <f t="shared" si="23"/>
        <v>14.5</v>
      </c>
      <c r="O39" s="235"/>
      <c r="P39" s="91"/>
      <c r="R39" s="11"/>
      <c r="S39" s="11"/>
      <c r="T39" s="11"/>
    </row>
    <row r="40" spans="1:20">
      <c r="A40" s="11">
        <v>36</v>
      </c>
      <c r="B40" s="84">
        <f t="shared" si="1"/>
        <v>106</v>
      </c>
      <c r="C40" s="117">
        <f t="shared" si="2"/>
        <v>108</v>
      </c>
      <c r="D40" s="80">
        <v>1</v>
      </c>
      <c r="E40" s="121">
        <v>3</v>
      </c>
      <c r="F40" s="80"/>
      <c r="G40" s="344"/>
      <c r="H40" s="344">
        <f t="shared" si="18"/>
        <v>59.4</v>
      </c>
      <c r="I40" s="344">
        <v>20</v>
      </c>
      <c r="J40" s="74">
        <v>0.6</v>
      </c>
      <c r="K40" s="11">
        <f t="shared" si="8"/>
        <v>80</v>
      </c>
      <c r="L40" s="80"/>
      <c r="M40" s="234">
        <f>20-N40-O40-P40</f>
        <v>4.5</v>
      </c>
      <c r="N40" s="232">
        <v>14.5</v>
      </c>
      <c r="O40" s="232">
        <v>0.5</v>
      </c>
      <c r="P40" s="85">
        <v>0.5</v>
      </c>
      <c r="R40" s="11"/>
      <c r="S40" s="11"/>
      <c r="T40" s="11"/>
    </row>
    <row r="41" spans="1:20">
      <c r="A41" s="11">
        <v>37</v>
      </c>
      <c r="B41" s="84">
        <f t="shared" si="1"/>
        <v>109</v>
      </c>
      <c r="C41" s="117">
        <f t="shared" si="2"/>
        <v>111</v>
      </c>
      <c r="D41" s="80">
        <v>1</v>
      </c>
      <c r="E41" s="121">
        <v>3</v>
      </c>
      <c r="F41" s="80"/>
      <c r="G41" s="344"/>
      <c r="H41" s="344">
        <f t="shared" si="18"/>
        <v>57.4</v>
      </c>
      <c r="I41" s="344">
        <f>I40+2</f>
        <v>22</v>
      </c>
      <c r="J41" s="74">
        <f t="shared" ref="J41:J44" si="26">J40</f>
        <v>0.6</v>
      </c>
      <c r="K41" s="11">
        <f t="shared" si="8"/>
        <v>80</v>
      </c>
      <c r="L41" s="80"/>
      <c r="M41" s="234">
        <f t="shared" ref="M41:M44" si="27">20-N41-O41-P41</f>
        <v>3.5</v>
      </c>
      <c r="N41" s="234">
        <f>N40</f>
        <v>14.5</v>
      </c>
      <c r="O41" s="234">
        <f>O40+0.5</f>
        <v>1</v>
      </c>
      <c r="P41" s="74">
        <f t="shared" ref="P41:P44" si="28">P40+0.5</f>
        <v>1</v>
      </c>
      <c r="R41" s="11"/>
      <c r="S41" s="11"/>
      <c r="T41" s="11"/>
    </row>
    <row r="42" spans="1:20">
      <c r="A42" s="11">
        <v>38</v>
      </c>
      <c r="B42" s="84">
        <f t="shared" si="1"/>
        <v>112</v>
      </c>
      <c r="C42" s="117">
        <f t="shared" si="2"/>
        <v>114</v>
      </c>
      <c r="D42" s="80">
        <v>1</v>
      </c>
      <c r="E42" s="121">
        <v>3</v>
      </c>
      <c r="F42" s="80"/>
      <c r="G42" s="344"/>
      <c r="H42" s="344">
        <f t="shared" si="18"/>
        <v>55.4</v>
      </c>
      <c r="I42" s="344">
        <f>I41+2</f>
        <v>24</v>
      </c>
      <c r="J42" s="74">
        <f t="shared" si="26"/>
        <v>0.6</v>
      </c>
      <c r="K42" s="11">
        <f t="shared" si="8"/>
        <v>80</v>
      </c>
      <c r="L42" s="80"/>
      <c r="M42" s="234">
        <f t="shared" si="27"/>
        <v>2.5</v>
      </c>
      <c r="N42" s="234">
        <f t="shared" ref="N42:N44" si="29">N41</f>
        <v>14.5</v>
      </c>
      <c r="O42" s="234">
        <f t="shared" ref="O42:O44" si="30">O41+0.5</f>
        <v>1.5</v>
      </c>
      <c r="P42" s="74">
        <f t="shared" si="28"/>
        <v>1.5</v>
      </c>
      <c r="R42" s="11"/>
      <c r="S42" s="11"/>
      <c r="T42" s="11"/>
    </row>
    <row r="43" spans="1:20">
      <c r="A43" s="11">
        <v>39</v>
      </c>
      <c r="B43" s="84">
        <f t="shared" si="1"/>
        <v>115</v>
      </c>
      <c r="C43" s="117">
        <f t="shared" si="2"/>
        <v>117</v>
      </c>
      <c r="D43" s="80">
        <v>1</v>
      </c>
      <c r="E43" s="121">
        <v>3</v>
      </c>
      <c r="F43" s="80"/>
      <c r="G43" s="344"/>
      <c r="H43" s="344">
        <f t="shared" si="18"/>
        <v>53.4</v>
      </c>
      <c r="I43" s="344">
        <f>I42+2</f>
        <v>26</v>
      </c>
      <c r="J43" s="74">
        <f t="shared" si="26"/>
        <v>0.6</v>
      </c>
      <c r="K43" s="11">
        <f t="shared" si="8"/>
        <v>80</v>
      </c>
      <c r="L43" s="80"/>
      <c r="M43" s="234">
        <f t="shared" si="27"/>
        <v>1.5</v>
      </c>
      <c r="N43" s="234">
        <f t="shared" si="29"/>
        <v>14.5</v>
      </c>
      <c r="O43" s="234">
        <f t="shared" si="30"/>
        <v>2</v>
      </c>
      <c r="P43" s="74">
        <f t="shared" si="28"/>
        <v>2</v>
      </c>
      <c r="R43" s="11"/>
      <c r="S43" s="11"/>
      <c r="T43" s="11"/>
    </row>
    <row r="44" spans="1:20" ht="17.25" thickBot="1">
      <c r="A44" s="11">
        <v>40</v>
      </c>
      <c r="B44" s="86">
        <f t="shared" si="1"/>
        <v>118</v>
      </c>
      <c r="C44" s="118">
        <f t="shared" si="2"/>
        <v>120</v>
      </c>
      <c r="D44" s="81">
        <v>1</v>
      </c>
      <c r="E44" s="122">
        <v>3</v>
      </c>
      <c r="F44" s="81"/>
      <c r="G44" s="76"/>
      <c r="H44" s="76">
        <f t="shared" si="18"/>
        <v>51.4</v>
      </c>
      <c r="I44" s="76">
        <f>I43+2</f>
        <v>28</v>
      </c>
      <c r="J44" s="92">
        <f t="shared" si="26"/>
        <v>0.6</v>
      </c>
      <c r="K44" s="11">
        <f t="shared" si="8"/>
        <v>80</v>
      </c>
      <c r="L44" s="81"/>
      <c r="M44" s="76">
        <f t="shared" si="27"/>
        <v>0.5</v>
      </c>
      <c r="N44" s="76">
        <f t="shared" si="29"/>
        <v>14.5</v>
      </c>
      <c r="O44" s="76">
        <f t="shared" si="30"/>
        <v>2.5</v>
      </c>
      <c r="P44" s="92">
        <f t="shared" si="28"/>
        <v>2.5</v>
      </c>
      <c r="R44" s="11"/>
      <c r="S44" s="11"/>
      <c r="T44" s="11"/>
    </row>
  </sheetData>
  <mergeCells count="5">
    <mergeCell ref="L2:O3"/>
    <mergeCell ref="B2:C3"/>
    <mergeCell ref="D2:E3"/>
    <mergeCell ref="F2:H3"/>
    <mergeCell ref="R2:T3"/>
  </mergeCells>
  <phoneticPr fontId="2" type="noConversion"/>
  <pageMargins left="0.7" right="0.7" top="0.75" bottom="0.75" header="0.3" footer="0.3"/>
  <ignoredErrors>
    <ignoredError sqref="H2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7"/>
  <sheetViews>
    <sheetView workbookViewId="0">
      <selection activeCell="F11" sqref="F11"/>
    </sheetView>
  </sheetViews>
  <sheetFormatPr defaultColWidth="3.625" defaultRowHeight="16.5"/>
  <cols>
    <col min="1" max="1" width="3.625" style="11"/>
    <col min="2" max="2" width="16.375" style="11" customWidth="1"/>
    <col min="3" max="3" width="16.75" style="11" bestFit="1" customWidth="1"/>
    <col min="4" max="4" width="25.125" style="11" bestFit="1" customWidth="1"/>
    <col min="5" max="5" width="13.75" style="11" customWidth="1"/>
    <col min="6" max="6" width="16.625" style="11" customWidth="1"/>
    <col min="7" max="7" width="3.625" style="11"/>
    <col min="8" max="8" width="12.5" style="11" customWidth="1"/>
    <col min="9" max="9" width="12" style="11" customWidth="1"/>
    <col min="10" max="17" width="10.625" style="11" customWidth="1"/>
    <col min="18" max="18" width="3.625" style="11"/>
    <col min="19" max="19" width="5.125" style="11" bestFit="1" customWidth="1"/>
    <col min="20" max="20" width="22.875" style="11" bestFit="1" customWidth="1"/>
    <col min="21" max="21" width="17.75" style="11" bestFit="1" customWidth="1"/>
    <col min="22" max="16384" width="3.625" style="11"/>
  </cols>
  <sheetData>
    <row r="2" spans="2:5">
      <c r="B2" s="4" t="s">
        <v>522</v>
      </c>
    </row>
    <row r="3" spans="2:5">
      <c r="B3" s="189" t="s">
        <v>1192</v>
      </c>
      <c r="C3" s="189" t="s">
        <v>1193</v>
      </c>
      <c r="D3" s="189" t="s">
        <v>1194</v>
      </c>
      <c r="E3" s="189" t="s">
        <v>1195</v>
      </c>
    </row>
    <row r="4" spans="2:5">
      <c r="B4" s="237" t="s">
        <v>1176</v>
      </c>
      <c r="C4" s="182">
        <v>1500</v>
      </c>
      <c r="D4" s="182" t="s">
        <v>523</v>
      </c>
      <c r="E4" s="182">
        <v>1</v>
      </c>
    </row>
    <row r="5" spans="2:5">
      <c r="B5" s="238" t="s">
        <v>1177</v>
      </c>
      <c r="C5" s="183">
        <v>1300</v>
      </c>
      <c r="D5" s="183" t="s">
        <v>524</v>
      </c>
      <c r="E5" s="183">
        <f>E6+1</f>
        <v>2</v>
      </c>
    </row>
    <row r="6" spans="2:5">
      <c r="B6" s="238" t="s">
        <v>1178</v>
      </c>
      <c r="C6" s="183">
        <v>1100</v>
      </c>
      <c r="D6" s="183" t="s">
        <v>524</v>
      </c>
      <c r="E6" s="183">
        <v>1</v>
      </c>
    </row>
    <row r="7" spans="2:5">
      <c r="B7" s="239" t="s">
        <v>1179</v>
      </c>
      <c r="C7" s="184">
        <v>1000</v>
      </c>
      <c r="D7" s="184" t="s">
        <v>524</v>
      </c>
      <c r="E7" s="184">
        <f>E8</f>
        <v>2</v>
      </c>
    </row>
    <row r="8" spans="2:5">
      <c r="B8" s="239" t="s">
        <v>1180</v>
      </c>
      <c r="C8" s="184">
        <v>900</v>
      </c>
      <c r="D8" s="184" t="s">
        <v>524</v>
      </c>
      <c r="E8" s="184">
        <f>E9+1</f>
        <v>2</v>
      </c>
    </row>
    <row r="9" spans="2:5">
      <c r="B9" s="239" t="s">
        <v>1181</v>
      </c>
      <c r="C9" s="184">
        <v>800</v>
      </c>
      <c r="D9" s="184" t="s">
        <v>524</v>
      </c>
      <c r="E9" s="184">
        <v>1</v>
      </c>
    </row>
    <row r="10" spans="2:5" ht="16.5" customHeight="1">
      <c r="B10" s="240" t="s">
        <v>1182</v>
      </c>
      <c r="C10" s="185">
        <v>650</v>
      </c>
      <c r="D10" s="185" t="s">
        <v>525</v>
      </c>
      <c r="E10" s="185">
        <f t="shared" ref="E10:E12" si="0">E11</f>
        <v>2</v>
      </c>
    </row>
    <row r="11" spans="2:5">
      <c r="B11" s="240" t="s">
        <v>1183</v>
      </c>
      <c r="C11" s="185">
        <v>600</v>
      </c>
      <c r="D11" s="185" t="s">
        <v>525</v>
      </c>
      <c r="E11" s="185">
        <f t="shared" si="0"/>
        <v>2</v>
      </c>
    </row>
    <row r="12" spans="2:5">
      <c r="B12" s="240" t="s">
        <v>1184</v>
      </c>
      <c r="C12" s="185">
        <v>550</v>
      </c>
      <c r="D12" s="185" t="s">
        <v>525</v>
      </c>
      <c r="E12" s="185">
        <f t="shared" si="0"/>
        <v>2</v>
      </c>
    </row>
    <row r="13" spans="2:5">
      <c r="B13" s="241" t="s">
        <v>1185</v>
      </c>
      <c r="C13" s="186">
        <v>400</v>
      </c>
      <c r="D13" s="186" t="s">
        <v>525</v>
      </c>
      <c r="E13" s="186">
        <f>E14</f>
        <v>2</v>
      </c>
    </row>
    <row r="14" spans="2:5">
      <c r="B14" s="241" t="s">
        <v>1186</v>
      </c>
      <c r="C14" s="186">
        <v>350</v>
      </c>
      <c r="D14" s="186" t="s">
        <v>525</v>
      </c>
      <c r="E14" s="186">
        <f>E15+1</f>
        <v>2</v>
      </c>
    </row>
    <row r="15" spans="2:5">
      <c r="B15" s="241" t="s">
        <v>1187</v>
      </c>
      <c r="C15" s="186">
        <v>300</v>
      </c>
      <c r="D15" s="186" t="s">
        <v>525</v>
      </c>
      <c r="E15" s="186">
        <v>1</v>
      </c>
    </row>
    <row r="16" spans="2:5">
      <c r="B16" s="242" t="s">
        <v>1188</v>
      </c>
      <c r="C16" s="187">
        <v>100</v>
      </c>
      <c r="D16" s="187" t="s">
        <v>526</v>
      </c>
      <c r="E16" s="187">
        <f>E17</f>
        <v>2</v>
      </c>
    </row>
    <row r="17" spans="2:5">
      <c r="B17" s="242" t="s">
        <v>1189</v>
      </c>
      <c r="C17" s="187">
        <v>70</v>
      </c>
      <c r="D17" s="187" t="s">
        <v>526</v>
      </c>
      <c r="E17" s="187">
        <f>E18</f>
        <v>2</v>
      </c>
    </row>
    <row r="18" spans="2:5">
      <c r="B18" s="242" t="s">
        <v>1190</v>
      </c>
      <c r="C18" s="187">
        <v>50</v>
      </c>
      <c r="D18" s="187" t="s">
        <v>526</v>
      </c>
      <c r="E18" s="187">
        <f>E19+1</f>
        <v>2</v>
      </c>
    </row>
    <row r="19" spans="2:5">
      <c r="B19" s="243" t="s">
        <v>1191</v>
      </c>
      <c r="C19" s="188">
        <v>30</v>
      </c>
      <c r="D19" s="188" t="s">
        <v>526</v>
      </c>
      <c r="E19" s="188">
        <v>1</v>
      </c>
    </row>
    <row r="27" spans="2:5" ht="16.5" customHeight="1"/>
  </sheetData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1"/>
  <sheetViews>
    <sheetView workbookViewId="0">
      <pane ySplit="3" topLeftCell="A4" activePane="bottomLeft" state="frozen"/>
      <selection pane="bottomLeft" activeCell="P33" sqref="P33"/>
    </sheetView>
  </sheetViews>
  <sheetFormatPr defaultColWidth="3.625" defaultRowHeight="16.5"/>
  <cols>
    <col min="1" max="1" width="3.625" style="11"/>
    <col min="2" max="2" width="18.375" style="11" bestFit="1" customWidth="1"/>
    <col min="3" max="3" width="8.625" style="11" bestFit="1" customWidth="1"/>
    <col min="4" max="4" width="7.25" style="11" customWidth="1"/>
    <col min="5" max="5" width="17.75" style="11" bestFit="1" customWidth="1"/>
    <col min="6" max="6" width="10.25" style="11" bestFit="1" customWidth="1"/>
    <col min="7" max="7" width="3.625" style="11"/>
    <col min="8" max="8" width="17.375" style="11" bestFit="1" customWidth="1"/>
    <col min="9" max="9" width="26.5" style="11" bestFit="1" customWidth="1"/>
    <col min="10" max="10" width="10.625" style="313" customWidth="1"/>
    <col min="11" max="11" width="15.5" style="16" bestFit="1" customWidth="1"/>
    <col min="12" max="12" width="10.625" style="318" customWidth="1"/>
    <col min="13" max="17" width="10.625" style="11" customWidth="1"/>
    <col min="18" max="18" width="3.625" style="11"/>
    <col min="19" max="19" width="5.125" style="11" customWidth="1"/>
    <col min="20" max="20" width="22.875" style="11" customWidth="1"/>
    <col min="21" max="21" width="17.75" style="11" customWidth="1"/>
    <col min="22" max="16384" width="3.625" style="11"/>
  </cols>
  <sheetData>
    <row r="2" spans="2:12">
      <c r="B2" s="4" t="s">
        <v>1448</v>
      </c>
      <c r="H2" s="4" t="s">
        <v>1462</v>
      </c>
    </row>
    <row r="3" spans="2:12">
      <c r="B3" s="303" t="s">
        <v>1449</v>
      </c>
      <c r="C3" s="303" t="s">
        <v>1454</v>
      </c>
      <c r="D3" s="189" t="s">
        <v>1451</v>
      </c>
      <c r="E3" s="189" t="s">
        <v>1194</v>
      </c>
      <c r="F3" s="189" t="s">
        <v>1195</v>
      </c>
      <c r="H3" s="303" t="s">
        <v>1449</v>
      </c>
      <c r="I3" s="303" t="s">
        <v>1454</v>
      </c>
      <c r="J3" s="314" t="s">
        <v>1479</v>
      </c>
      <c r="K3" s="303" t="s">
        <v>1194</v>
      </c>
      <c r="L3" s="189" t="s">
        <v>1195</v>
      </c>
    </row>
    <row r="4" spans="2:12">
      <c r="B4" s="469" t="s">
        <v>1450</v>
      </c>
      <c r="C4" s="469" t="s">
        <v>1452</v>
      </c>
      <c r="D4" s="182">
        <v>1</v>
      </c>
      <c r="E4" s="182" t="s">
        <v>1453</v>
      </c>
      <c r="F4" s="182">
        <v>1</v>
      </c>
      <c r="H4" s="469" t="s">
        <v>1450</v>
      </c>
      <c r="I4" s="312" t="s">
        <v>1463</v>
      </c>
      <c r="J4" s="315">
        <v>30</v>
      </c>
      <c r="K4" s="304" t="s">
        <v>1367</v>
      </c>
      <c r="L4" s="307">
        <v>1</v>
      </c>
    </row>
    <row r="5" spans="2:12">
      <c r="B5" s="469"/>
      <c r="C5" s="469"/>
      <c r="D5" s="182">
        <v>2</v>
      </c>
      <c r="E5" s="182" t="s">
        <v>1455</v>
      </c>
      <c r="F5" s="182" t="s">
        <v>1455</v>
      </c>
      <c r="H5" s="469"/>
      <c r="I5" s="312" t="s">
        <v>1464</v>
      </c>
      <c r="J5" s="315">
        <v>50</v>
      </c>
      <c r="K5" s="304" t="s">
        <v>1367</v>
      </c>
      <c r="L5" s="307">
        <v>2</v>
      </c>
    </row>
    <row r="6" spans="2:12">
      <c r="B6" s="469"/>
      <c r="C6" s="469" t="s">
        <v>1456</v>
      </c>
      <c r="D6" s="182">
        <v>1</v>
      </c>
      <c r="E6" s="182" t="s">
        <v>1453</v>
      </c>
      <c r="F6" s="182">
        <v>1</v>
      </c>
      <c r="H6" s="469"/>
      <c r="I6" s="312" t="s">
        <v>1465</v>
      </c>
      <c r="J6" s="315">
        <v>70</v>
      </c>
      <c r="K6" s="304" t="s">
        <v>1367</v>
      </c>
      <c r="L6" s="307">
        <v>1</v>
      </c>
    </row>
    <row r="7" spans="2:12">
      <c r="B7" s="469"/>
      <c r="C7" s="469"/>
      <c r="D7" s="182">
        <v>2</v>
      </c>
      <c r="E7" s="182" t="s">
        <v>1455</v>
      </c>
      <c r="F7" s="182" t="s">
        <v>1455</v>
      </c>
      <c r="H7" s="469"/>
      <c r="I7" s="312" t="s">
        <v>1466</v>
      </c>
      <c r="J7" s="315">
        <v>100</v>
      </c>
      <c r="K7" s="304" t="s">
        <v>1367</v>
      </c>
      <c r="L7" s="307">
        <v>2</v>
      </c>
    </row>
    <row r="8" spans="2:12">
      <c r="B8" s="469"/>
      <c r="C8" s="469" t="s">
        <v>1457</v>
      </c>
      <c r="D8" s="182">
        <v>1</v>
      </c>
      <c r="E8" s="182" t="s">
        <v>1453</v>
      </c>
      <c r="F8" s="182">
        <v>1</v>
      </c>
      <c r="H8" s="469"/>
      <c r="I8" s="312" t="s">
        <v>1467</v>
      </c>
      <c r="J8" s="315">
        <v>300</v>
      </c>
      <c r="K8" s="304" t="s">
        <v>1368</v>
      </c>
      <c r="L8" s="307">
        <v>2</v>
      </c>
    </row>
    <row r="9" spans="2:12">
      <c r="B9" s="469"/>
      <c r="C9" s="469"/>
      <c r="D9" s="182">
        <v>2</v>
      </c>
      <c r="E9" s="182" t="s">
        <v>1455</v>
      </c>
      <c r="F9" s="182" t="s">
        <v>1455</v>
      </c>
      <c r="H9" s="469"/>
      <c r="I9" s="312" t="s">
        <v>1468</v>
      </c>
      <c r="J9" s="315">
        <v>350</v>
      </c>
      <c r="K9" s="304" t="s">
        <v>1368</v>
      </c>
      <c r="L9" s="307">
        <v>1</v>
      </c>
    </row>
    <row r="10" spans="2:12" ht="16.5" customHeight="1">
      <c r="B10" s="470" t="s">
        <v>1458</v>
      </c>
      <c r="C10" s="470" t="s">
        <v>1452</v>
      </c>
      <c r="D10" s="183">
        <v>1</v>
      </c>
      <c r="E10" s="183" t="s">
        <v>1459</v>
      </c>
      <c r="F10" s="183">
        <v>1</v>
      </c>
      <c r="H10" s="469"/>
      <c r="I10" s="312" t="s">
        <v>1469</v>
      </c>
      <c r="J10" s="315">
        <v>400</v>
      </c>
      <c r="K10" s="304" t="s">
        <v>1368</v>
      </c>
      <c r="L10" s="307">
        <v>2</v>
      </c>
    </row>
    <row r="11" spans="2:12" ht="16.5" customHeight="1">
      <c r="B11" s="470"/>
      <c r="C11" s="470"/>
      <c r="D11" s="305">
        <v>2</v>
      </c>
      <c r="E11" s="183" t="s">
        <v>1453</v>
      </c>
      <c r="F11" s="183">
        <v>1</v>
      </c>
      <c r="H11" s="469"/>
      <c r="I11" s="312" t="s">
        <v>1470</v>
      </c>
      <c r="J11" s="315">
        <v>550</v>
      </c>
      <c r="K11" s="304" t="s">
        <v>1368</v>
      </c>
      <c r="L11" s="307">
        <v>2</v>
      </c>
    </row>
    <row r="12" spans="2:12">
      <c r="B12" s="470"/>
      <c r="C12" s="470"/>
      <c r="D12" s="183">
        <v>3</v>
      </c>
      <c r="E12" s="183" t="s">
        <v>1455</v>
      </c>
      <c r="F12" s="183" t="s">
        <v>1455</v>
      </c>
      <c r="H12" s="469"/>
      <c r="I12" s="312" t="s">
        <v>1471</v>
      </c>
      <c r="J12" s="315">
        <v>600</v>
      </c>
      <c r="K12" s="304" t="s">
        <v>1368</v>
      </c>
      <c r="L12" s="307">
        <v>2</v>
      </c>
    </row>
    <row r="13" spans="2:12">
      <c r="B13" s="470"/>
      <c r="C13" s="470" t="s">
        <v>1456</v>
      </c>
      <c r="D13" s="183">
        <v>1</v>
      </c>
      <c r="E13" s="183" t="s">
        <v>1459</v>
      </c>
      <c r="F13" s="183">
        <v>1</v>
      </c>
      <c r="H13" s="469"/>
      <c r="I13" s="312" t="s">
        <v>1472</v>
      </c>
      <c r="J13" s="315">
        <v>650</v>
      </c>
      <c r="K13" s="304" t="s">
        <v>1368</v>
      </c>
      <c r="L13" s="307">
        <v>2</v>
      </c>
    </row>
    <row r="14" spans="2:12">
      <c r="B14" s="470"/>
      <c r="C14" s="470"/>
      <c r="D14" s="305">
        <v>2</v>
      </c>
      <c r="E14" s="183" t="s">
        <v>1453</v>
      </c>
      <c r="F14" s="183">
        <v>1</v>
      </c>
      <c r="H14" s="469"/>
      <c r="I14" s="312" t="s">
        <v>1473</v>
      </c>
      <c r="J14" s="315">
        <v>800</v>
      </c>
      <c r="K14" s="304" t="s">
        <v>1369</v>
      </c>
      <c r="L14" s="307">
        <v>2</v>
      </c>
    </row>
    <row r="15" spans="2:12">
      <c r="B15" s="470"/>
      <c r="C15" s="470"/>
      <c r="D15" s="183">
        <v>3</v>
      </c>
      <c r="E15" s="305"/>
      <c r="F15" s="305"/>
      <c r="H15" s="469"/>
      <c r="I15" s="312" t="s">
        <v>1474</v>
      </c>
      <c r="J15" s="315">
        <v>900</v>
      </c>
      <c r="K15" s="304" t="s">
        <v>1369</v>
      </c>
      <c r="L15" s="307">
        <v>1</v>
      </c>
    </row>
    <row r="16" spans="2:12">
      <c r="B16" s="470"/>
      <c r="C16" s="470" t="s">
        <v>1457</v>
      </c>
      <c r="D16" s="183">
        <v>1</v>
      </c>
      <c r="E16" s="183" t="s">
        <v>1459</v>
      </c>
      <c r="F16" s="183">
        <v>1</v>
      </c>
      <c r="H16" s="469"/>
      <c r="I16" s="312" t="s">
        <v>1475</v>
      </c>
      <c r="J16" s="315">
        <v>1000</v>
      </c>
      <c r="K16" s="304" t="s">
        <v>1369</v>
      </c>
      <c r="L16" s="307">
        <v>2</v>
      </c>
    </row>
    <row r="17" spans="2:12">
      <c r="B17" s="470"/>
      <c r="C17" s="470"/>
      <c r="D17" s="305">
        <v>2</v>
      </c>
      <c r="E17" s="183" t="s">
        <v>1453</v>
      </c>
      <c r="F17" s="183">
        <v>1</v>
      </c>
      <c r="H17" s="469"/>
      <c r="I17" s="312" t="s">
        <v>1476</v>
      </c>
      <c r="J17" s="315">
        <v>1100</v>
      </c>
      <c r="K17" s="304" t="s">
        <v>1369</v>
      </c>
      <c r="L17" s="307">
        <v>2</v>
      </c>
    </row>
    <row r="18" spans="2:12">
      <c r="B18" s="470"/>
      <c r="C18" s="470"/>
      <c r="D18" s="183">
        <v>3</v>
      </c>
      <c r="E18" s="183" t="s">
        <v>1455</v>
      </c>
      <c r="F18" s="183" t="s">
        <v>1455</v>
      </c>
      <c r="H18" s="469"/>
      <c r="I18" s="312" t="s">
        <v>1477</v>
      </c>
      <c r="J18" s="315">
        <v>1300</v>
      </c>
      <c r="K18" s="304" t="s">
        <v>1369</v>
      </c>
      <c r="L18" s="307">
        <v>2</v>
      </c>
    </row>
    <row r="19" spans="2:12">
      <c r="B19" s="471" t="s">
        <v>1460</v>
      </c>
      <c r="C19" s="471" t="s">
        <v>1452</v>
      </c>
      <c r="D19" s="185">
        <v>1</v>
      </c>
      <c r="E19" s="185" t="s">
        <v>1461</v>
      </c>
      <c r="F19" s="185">
        <v>1</v>
      </c>
      <c r="H19" s="469"/>
      <c r="I19" s="312" t="s">
        <v>1478</v>
      </c>
      <c r="J19" s="315">
        <v>1500</v>
      </c>
      <c r="K19" s="304" t="s">
        <v>1480</v>
      </c>
      <c r="L19" s="307">
        <v>1</v>
      </c>
    </row>
    <row r="20" spans="2:12">
      <c r="B20" s="471"/>
      <c r="C20" s="471"/>
      <c r="D20" s="306">
        <v>2</v>
      </c>
      <c r="E20" s="185" t="s">
        <v>1459</v>
      </c>
      <c r="F20" s="185">
        <v>1</v>
      </c>
      <c r="H20" s="470" t="s">
        <v>1458</v>
      </c>
      <c r="I20" s="310" t="s">
        <v>1481</v>
      </c>
      <c r="J20" s="316">
        <v>37</v>
      </c>
      <c r="K20" s="305" t="s">
        <v>1367</v>
      </c>
      <c r="L20" s="311">
        <v>1</v>
      </c>
    </row>
    <row r="21" spans="2:12">
      <c r="B21" s="471"/>
      <c r="C21" s="471"/>
      <c r="D21" s="185">
        <v>3</v>
      </c>
      <c r="E21" s="185" t="s">
        <v>1453</v>
      </c>
      <c r="F21" s="185">
        <v>1</v>
      </c>
      <c r="H21" s="470"/>
      <c r="I21" s="310" t="s">
        <v>1482</v>
      </c>
      <c r="J21" s="316">
        <v>62</v>
      </c>
      <c r="K21" s="305" t="s">
        <v>1367</v>
      </c>
      <c r="L21" s="311">
        <v>2</v>
      </c>
    </row>
    <row r="22" spans="2:12">
      <c r="B22" s="471"/>
      <c r="C22" s="471"/>
      <c r="D22" s="306">
        <v>4</v>
      </c>
      <c r="E22" s="306"/>
      <c r="F22" s="306"/>
      <c r="H22" s="470"/>
      <c r="I22" s="310" t="s">
        <v>1483</v>
      </c>
      <c r="J22" s="316">
        <v>87</v>
      </c>
      <c r="K22" s="305" t="s">
        <v>1367</v>
      </c>
      <c r="L22" s="311">
        <v>1</v>
      </c>
    </row>
    <row r="23" spans="2:12">
      <c r="B23" s="471"/>
      <c r="C23" s="471" t="s">
        <v>1456</v>
      </c>
      <c r="D23" s="185">
        <v>1</v>
      </c>
      <c r="E23" s="185" t="s">
        <v>1461</v>
      </c>
      <c r="F23" s="185">
        <v>1</v>
      </c>
      <c r="H23" s="470"/>
      <c r="I23" s="310" t="s">
        <v>1484</v>
      </c>
      <c r="J23" s="316">
        <v>125</v>
      </c>
      <c r="K23" s="305" t="s">
        <v>1367</v>
      </c>
      <c r="L23" s="311">
        <v>2</v>
      </c>
    </row>
    <row r="24" spans="2:12">
      <c r="B24" s="471"/>
      <c r="C24" s="471"/>
      <c r="D24" s="306">
        <v>2</v>
      </c>
      <c r="E24" s="185" t="s">
        <v>1459</v>
      </c>
      <c r="F24" s="185">
        <v>1</v>
      </c>
      <c r="H24" s="470"/>
      <c r="I24" s="310" t="s">
        <v>1485</v>
      </c>
      <c r="J24" s="316">
        <v>375</v>
      </c>
      <c r="K24" s="305" t="s">
        <v>1368</v>
      </c>
      <c r="L24" s="311">
        <v>2</v>
      </c>
    </row>
    <row r="25" spans="2:12">
      <c r="B25" s="471"/>
      <c r="C25" s="471"/>
      <c r="D25" s="185">
        <v>3</v>
      </c>
      <c r="E25" s="185" t="s">
        <v>1453</v>
      </c>
      <c r="F25" s="185">
        <v>1</v>
      </c>
      <c r="H25" s="470"/>
      <c r="I25" s="310" t="s">
        <v>1486</v>
      </c>
      <c r="J25" s="316">
        <v>437</v>
      </c>
      <c r="K25" s="305" t="s">
        <v>1368</v>
      </c>
      <c r="L25" s="311">
        <v>1</v>
      </c>
    </row>
    <row r="26" spans="2:12">
      <c r="B26" s="471"/>
      <c r="C26" s="471"/>
      <c r="D26" s="306">
        <v>4</v>
      </c>
      <c r="E26" s="306"/>
      <c r="F26" s="306"/>
      <c r="H26" s="470"/>
      <c r="I26" s="310" t="s">
        <v>1487</v>
      </c>
      <c r="J26" s="316">
        <v>500</v>
      </c>
      <c r="K26" s="305" t="s">
        <v>1368</v>
      </c>
      <c r="L26" s="311">
        <v>2</v>
      </c>
    </row>
    <row r="27" spans="2:12">
      <c r="B27" s="471"/>
      <c r="C27" s="471" t="s">
        <v>1457</v>
      </c>
      <c r="D27" s="185">
        <v>1</v>
      </c>
      <c r="E27" s="185" t="s">
        <v>1461</v>
      </c>
      <c r="F27" s="185">
        <v>1</v>
      </c>
      <c r="H27" s="470"/>
      <c r="I27" s="310" t="s">
        <v>1488</v>
      </c>
      <c r="J27" s="316">
        <v>687</v>
      </c>
      <c r="K27" s="305" t="s">
        <v>1368</v>
      </c>
      <c r="L27" s="311">
        <v>2</v>
      </c>
    </row>
    <row r="28" spans="2:12">
      <c r="B28" s="471"/>
      <c r="C28" s="471"/>
      <c r="D28" s="306">
        <v>2</v>
      </c>
      <c r="E28" s="185" t="s">
        <v>1459</v>
      </c>
      <c r="F28" s="185">
        <v>1</v>
      </c>
      <c r="H28" s="470"/>
      <c r="I28" s="310" t="s">
        <v>1489</v>
      </c>
      <c r="J28" s="316">
        <v>750</v>
      </c>
      <c r="K28" s="305" t="s">
        <v>1368</v>
      </c>
      <c r="L28" s="311">
        <v>2</v>
      </c>
    </row>
    <row r="29" spans="2:12">
      <c r="B29" s="471"/>
      <c r="C29" s="471"/>
      <c r="D29" s="185">
        <v>3</v>
      </c>
      <c r="E29" s="185" t="s">
        <v>1453</v>
      </c>
      <c r="F29" s="185">
        <v>1</v>
      </c>
      <c r="H29" s="470"/>
      <c r="I29" s="310" t="s">
        <v>1490</v>
      </c>
      <c r="J29" s="316">
        <v>812</v>
      </c>
      <c r="K29" s="305" t="s">
        <v>1368</v>
      </c>
      <c r="L29" s="311">
        <v>2</v>
      </c>
    </row>
    <row r="30" spans="2:12">
      <c r="B30" s="471"/>
      <c r="C30" s="471"/>
      <c r="D30" s="306">
        <v>4</v>
      </c>
      <c r="E30" s="306"/>
      <c r="F30" s="306"/>
      <c r="H30" s="470"/>
      <c r="I30" s="310" t="s">
        <v>1491</v>
      </c>
      <c r="J30" s="316">
        <v>1000</v>
      </c>
      <c r="K30" s="305" t="s">
        <v>1369</v>
      </c>
      <c r="L30" s="311">
        <v>2</v>
      </c>
    </row>
    <row r="31" spans="2:12">
      <c r="H31" s="470"/>
      <c r="I31" s="310" t="s">
        <v>1492</v>
      </c>
      <c r="J31" s="316">
        <v>1125</v>
      </c>
      <c r="K31" s="305" t="s">
        <v>1369</v>
      </c>
      <c r="L31" s="311">
        <v>1</v>
      </c>
    </row>
    <row r="32" spans="2:12">
      <c r="H32" s="470"/>
      <c r="I32" s="310" t="s">
        <v>1493</v>
      </c>
      <c r="J32" s="316">
        <v>1250</v>
      </c>
      <c r="K32" s="305" t="s">
        <v>1369</v>
      </c>
      <c r="L32" s="311">
        <v>2</v>
      </c>
    </row>
    <row r="33" spans="8:12" ht="16.5" customHeight="1">
      <c r="H33" s="470"/>
      <c r="I33" s="310" t="s">
        <v>1494</v>
      </c>
      <c r="J33" s="316">
        <v>1375</v>
      </c>
      <c r="K33" s="305" t="s">
        <v>1369</v>
      </c>
      <c r="L33" s="311">
        <v>2</v>
      </c>
    </row>
    <row r="34" spans="8:12">
      <c r="H34" s="470"/>
      <c r="I34" s="310" t="s">
        <v>1495</v>
      </c>
      <c r="J34" s="316">
        <v>1625</v>
      </c>
      <c r="K34" s="305" t="s">
        <v>1369</v>
      </c>
      <c r="L34" s="311">
        <v>2</v>
      </c>
    </row>
    <row r="35" spans="8:12">
      <c r="H35" s="470"/>
      <c r="I35" s="310" t="s">
        <v>1496</v>
      </c>
      <c r="J35" s="316">
        <v>1875</v>
      </c>
      <c r="K35" s="305" t="s">
        <v>1480</v>
      </c>
      <c r="L35" s="311">
        <v>1</v>
      </c>
    </row>
    <row r="36" spans="8:12">
      <c r="H36" s="471" t="s">
        <v>1497</v>
      </c>
      <c r="I36" s="308" t="s">
        <v>1498</v>
      </c>
      <c r="J36" s="317">
        <v>46</v>
      </c>
      <c r="K36" s="306" t="s">
        <v>1367</v>
      </c>
      <c r="L36" s="309">
        <v>1</v>
      </c>
    </row>
    <row r="37" spans="8:12">
      <c r="H37" s="471"/>
      <c r="I37" s="308" t="s">
        <v>1499</v>
      </c>
      <c r="J37" s="317">
        <v>77</v>
      </c>
      <c r="K37" s="306" t="s">
        <v>1367</v>
      </c>
      <c r="L37" s="309">
        <v>2</v>
      </c>
    </row>
    <row r="38" spans="8:12">
      <c r="H38" s="471"/>
      <c r="I38" s="308" t="s">
        <v>1500</v>
      </c>
      <c r="J38" s="317">
        <v>108</v>
      </c>
      <c r="K38" s="306" t="s">
        <v>1367</v>
      </c>
      <c r="L38" s="309">
        <v>1</v>
      </c>
    </row>
    <row r="39" spans="8:12">
      <c r="H39" s="471"/>
      <c r="I39" s="308" t="s">
        <v>1501</v>
      </c>
      <c r="J39" s="317">
        <v>156</v>
      </c>
      <c r="K39" s="306" t="s">
        <v>1367</v>
      </c>
      <c r="L39" s="309">
        <v>2</v>
      </c>
    </row>
    <row r="40" spans="8:12">
      <c r="H40" s="471"/>
      <c r="I40" s="308" t="s">
        <v>1502</v>
      </c>
      <c r="J40" s="317">
        <v>468</v>
      </c>
      <c r="K40" s="306" t="s">
        <v>1368</v>
      </c>
      <c r="L40" s="309">
        <v>2</v>
      </c>
    </row>
    <row r="41" spans="8:12">
      <c r="H41" s="471"/>
      <c r="I41" s="308" t="s">
        <v>1503</v>
      </c>
      <c r="J41" s="317">
        <v>546</v>
      </c>
      <c r="K41" s="306" t="s">
        <v>1368</v>
      </c>
      <c r="L41" s="309">
        <v>1</v>
      </c>
    </row>
    <row r="42" spans="8:12">
      <c r="H42" s="471"/>
      <c r="I42" s="308" t="s">
        <v>1504</v>
      </c>
      <c r="J42" s="317">
        <v>625</v>
      </c>
      <c r="K42" s="306" t="s">
        <v>1368</v>
      </c>
      <c r="L42" s="309">
        <v>2</v>
      </c>
    </row>
    <row r="43" spans="8:12">
      <c r="H43" s="471"/>
      <c r="I43" s="308" t="s">
        <v>1505</v>
      </c>
      <c r="J43" s="317">
        <v>858</v>
      </c>
      <c r="K43" s="306" t="s">
        <v>1368</v>
      </c>
      <c r="L43" s="309">
        <v>2</v>
      </c>
    </row>
    <row r="44" spans="8:12">
      <c r="H44" s="471"/>
      <c r="I44" s="308" t="s">
        <v>1506</v>
      </c>
      <c r="J44" s="317">
        <v>937</v>
      </c>
      <c r="K44" s="306" t="s">
        <v>1368</v>
      </c>
      <c r="L44" s="309">
        <v>2</v>
      </c>
    </row>
    <row r="45" spans="8:12">
      <c r="H45" s="471"/>
      <c r="I45" s="308" t="s">
        <v>1507</v>
      </c>
      <c r="J45" s="317">
        <v>1015</v>
      </c>
      <c r="K45" s="306" t="s">
        <v>1368</v>
      </c>
      <c r="L45" s="309">
        <v>2</v>
      </c>
    </row>
    <row r="46" spans="8:12">
      <c r="H46" s="471"/>
      <c r="I46" s="308" t="s">
        <v>1508</v>
      </c>
      <c r="J46" s="317">
        <v>1250</v>
      </c>
      <c r="K46" s="306" t="s">
        <v>1369</v>
      </c>
      <c r="L46" s="309">
        <v>2</v>
      </c>
    </row>
    <row r="47" spans="8:12">
      <c r="H47" s="471"/>
      <c r="I47" s="308" t="s">
        <v>1509</v>
      </c>
      <c r="J47" s="317">
        <v>1406</v>
      </c>
      <c r="K47" s="306" t="s">
        <v>1369</v>
      </c>
      <c r="L47" s="309">
        <v>1</v>
      </c>
    </row>
    <row r="48" spans="8:12">
      <c r="H48" s="471"/>
      <c r="I48" s="308" t="s">
        <v>1510</v>
      </c>
      <c r="J48" s="317">
        <v>1562</v>
      </c>
      <c r="K48" s="306" t="s">
        <v>1369</v>
      </c>
      <c r="L48" s="309">
        <v>2</v>
      </c>
    </row>
    <row r="49" spans="8:12">
      <c r="H49" s="471"/>
      <c r="I49" s="308" t="s">
        <v>1511</v>
      </c>
      <c r="J49" s="317">
        <v>1718</v>
      </c>
      <c r="K49" s="306" t="s">
        <v>1369</v>
      </c>
      <c r="L49" s="309">
        <v>2</v>
      </c>
    </row>
    <row r="50" spans="8:12">
      <c r="H50" s="471"/>
      <c r="I50" s="308" t="s">
        <v>1512</v>
      </c>
      <c r="J50" s="317">
        <v>2031</v>
      </c>
      <c r="K50" s="306" t="s">
        <v>1369</v>
      </c>
      <c r="L50" s="309">
        <v>2</v>
      </c>
    </row>
    <row r="51" spans="8:12">
      <c r="H51" s="471"/>
      <c r="I51" s="308" t="s">
        <v>1513</v>
      </c>
      <c r="J51" s="317">
        <v>2343</v>
      </c>
      <c r="K51" s="306" t="s">
        <v>1480</v>
      </c>
      <c r="L51" s="309">
        <v>1</v>
      </c>
    </row>
  </sheetData>
  <mergeCells count="15">
    <mergeCell ref="H4:H19"/>
    <mergeCell ref="H20:H35"/>
    <mergeCell ref="H36:H51"/>
    <mergeCell ref="B19:B30"/>
    <mergeCell ref="C19:C22"/>
    <mergeCell ref="C23:C26"/>
    <mergeCell ref="C27:C30"/>
    <mergeCell ref="C4:C5"/>
    <mergeCell ref="C6:C7"/>
    <mergeCell ref="C8:C9"/>
    <mergeCell ref="B4:B9"/>
    <mergeCell ref="B10:B18"/>
    <mergeCell ref="C10:C12"/>
    <mergeCell ref="C13:C15"/>
    <mergeCell ref="C16:C18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18</vt:i4>
      </vt:variant>
    </vt:vector>
  </HeadingPairs>
  <TitlesOfParts>
    <vt:vector size="18" baseType="lpstr">
      <vt:lpstr>버전</vt:lpstr>
      <vt:lpstr>개요</vt:lpstr>
      <vt:lpstr>획득수량&amp;확률</vt:lpstr>
      <vt:lpstr>일반&amp;정예 던전</vt:lpstr>
      <vt:lpstr>요일 던전</vt:lpstr>
      <vt:lpstr>균열</vt:lpstr>
      <vt:lpstr>초월</vt:lpstr>
      <vt:lpstr>결투장</vt:lpstr>
      <vt:lpstr>점령전</vt:lpstr>
      <vt:lpstr>수호레이드</vt:lpstr>
      <vt:lpstr>반복완료</vt:lpstr>
      <vt:lpstr>던전클리어등급보상</vt:lpstr>
      <vt:lpstr>출석보상</vt:lpstr>
      <vt:lpstr>업적</vt:lpstr>
      <vt:lpstr>뽑기&amp;소환권</vt:lpstr>
      <vt:lpstr>퀘스트</vt:lpstr>
      <vt:lpstr>스토리</vt:lpstr>
      <vt:lpstr>위시 선택권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Joongwon</dc:creator>
  <cp:lastModifiedBy>KangDoHee</cp:lastModifiedBy>
  <dcterms:created xsi:type="dcterms:W3CDTF">2016-03-07T10:36:00Z</dcterms:created>
  <dcterms:modified xsi:type="dcterms:W3CDTF">2017-02-14T07:57:55Z</dcterms:modified>
</cp:coreProperties>
</file>