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Work\Project\EvilOfDarkness\Research\JoSoowoon\Document\Schedule\Program\JoSoowoon\"/>
    </mc:Choice>
  </mc:AlternateContent>
  <bookViews>
    <workbookView xWindow="15" yWindow="0" windowWidth="19320" windowHeight="11550"/>
  </bookViews>
  <sheets>
    <sheet name="과업목록" sheetId="1" r:id="rId1"/>
    <sheet name="휴무일 목록" sheetId="4" r:id="rId2"/>
  </sheets>
  <definedNames>
    <definedName name="_xlnm._FilterDatabase" localSheetId="0" hidden="1">과업목록!$A$12:$N$54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</workbook>
</file>

<file path=xl/calcChain.xml><?xml version="1.0" encoding="utf-8"?>
<calcChain xmlns="http://schemas.openxmlformats.org/spreadsheetml/2006/main">
  <c r="B16" i="4" l="1"/>
  <c r="B13" i="4" l="1"/>
  <c r="L53" i="1" l="1"/>
  <c r="K53" i="1"/>
  <c r="H53" i="1"/>
  <c r="L52" i="1"/>
  <c r="K52" i="1"/>
  <c r="H52" i="1"/>
  <c r="L51" i="1"/>
  <c r="K51" i="1"/>
  <c r="H51" i="1"/>
  <c r="L50" i="1"/>
  <c r="K50" i="1"/>
  <c r="H50" i="1"/>
  <c r="L49" i="1"/>
  <c r="K49" i="1"/>
  <c r="H49" i="1"/>
  <c r="L48" i="1"/>
  <c r="K48" i="1"/>
  <c r="H48" i="1"/>
  <c r="L47" i="1"/>
  <c r="K47" i="1"/>
  <c r="H47" i="1"/>
  <c r="L46" i="1"/>
  <c r="K46" i="1"/>
  <c r="H46" i="1"/>
  <c r="L15" i="1" l="1"/>
  <c r="K15" i="1"/>
  <c r="H15" i="1"/>
  <c r="L16" i="1" l="1"/>
  <c r="K16" i="1"/>
  <c r="H16" i="1"/>
  <c r="H35" i="1"/>
  <c r="K35" i="1"/>
  <c r="L35" i="1"/>
  <c r="H36" i="1"/>
  <c r="K36" i="1"/>
  <c r="L36" i="1"/>
  <c r="H37" i="1"/>
  <c r="K37" i="1"/>
  <c r="L37" i="1"/>
  <c r="H38" i="1"/>
  <c r="K38" i="1"/>
  <c r="L38" i="1"/>
  <c r="H39" i="1"/>
  <c r="K39" i="1"/>
  <c r="L39" i="1"/>
  <c r="H40" i="1"/>
  <c r="K40" i="1"/>
  <c r="L40" i="1"/>
  <c r="H41" i="1"/>
  <c r="K41" i="1"/>
  <c r="L41" i="1"/>
  <c r="H42" i="1"/>
  <c r="K42" i="1"/>
  <c r="L42" i="1"/>
  <c r="H43" i="1"/>
  <c r="K43" i="1"/>
  <c r="L43" i="1"/>
  <c r="H44" i="1"/>
  <c r="K44" i="1"/>
  <c r="L44" i="1"/>
  <c r="H45" i="1"/>
  <c r="K45" i="1"/>
  <c r="L45" i="1"/>
  <c r="L34" i="1"/>
  <c r="K34" i="1"/>
  <c r="H34" i="1"/>
  <c r="L33" i="1"/>
  <c r="K33" i="1"/>
  <c r="H33" i="1"/>
  <c r="H20" i="1"/>
  <c r="K20" i="1"/>
  <c r="L20" i="1"/>
  <c r="H21" i="1"/>
  <c r="K21" i="1"/>
  <c r="L21" i="1"/>
  <c r="H22" i="1"/>
  <c r="K22" i="1"/>
  <c r="L22" i="1"/>
  <c r="H23" i="1"/>
  <c r="K23" i="1"/>
  <c r="L23" i="1"/>
  <c r="H24" i="1"/>
  <c r="K24" i="1"/>
  <c r="L24" i="1"/>
  <c r="H25" i="1"/>
  <c r="K25" i="1"/>
  <c r="L25" i="1"/>
  <c r="H26" i="1"/>
  <c r="K26" i="1"/>
  <c r="L26" i="1"/>
  <c r="H27" i="1"/>
  <c r="K27" i="1"/>
  <c r="L27" i="1"/>
  <c r="H28" i="1"/>
  <c r="K28" i="1"/>
  <c r="L28" i="1"/>
  <c r="H29" i="1"/>
  <c r="K29" i="1"/>
  <c r="L29" i="1"/>
  <c r="H30" i="1"/>
  <c r="K30" i="1"/>
  <c r="L30" i="1"/>
  <c r="H31" i="1"/>
  <c r="K31" i="1"/>
  <c r="L31" i="1"/>
  <c r="J14" i="1" l="1"/>
  <c r="L14" i="1" l="1"/>
  <c r="K14" i="1"/>
  <c r="H14" i="1"/>
  <c r="B122" i="4" l="1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5" i="4"/>
  <c r="B14" i="4"/>
  <c r="B12" i="4"/>
  <c r="B11" i="4"/>
  <c r="B10" i="4"/>
  <c r="B9" i="4"/>
  <c r="B8" i="4"/>
  <c r="B7" i="4"/>
  <c r="B6" i="4"/>
  <c r="B5" i="4"/>
  <c r="B4" i="4"/>
  <c r="B3" i="4"/>
  <c r="B2" i="4"/>
  <c r="L32" i="1"/>
  <c r="K32" i="1"/>
  <c r="H32" i="1"/>
  <c r="L19" i="1"/>
  <c r="K19" i="1"/>
  <c r="H19" i="1"/>
  <c r="L18" i="1"/>
  <c r="K18" i="1"/>
  <c r="H18" i="1"/>
  <c r="L17" i="1"/>
  <c r="K17" i="1"/>
  <c r="H17" i="1"/>
  <c r="L13" i="1"/>
  <c r="K13" i="1"/>
  <c r="H13" i="1"/>
  <c r="G54" i="1"/>
  <c r="I54" i="1"/>
  <c r="J54" i="1"/>
  <c r="G55" i="1"/>
  <c r="I55" i="1"/>
  <c r="J55" i="1"/>
  <c r="H54" i="1" l="1"/>
  <c r="L54" i="1"/>
  <c r="K55" i="1"/>
  <c r="K54" i="1"/>
  <c r="L55" i="1"/>
  <c r="H55" i="1"/>
  <c r="G6" i="1" l="1"/>
  <c r="J6" i="1" l="1"/>
  <c r="I6" i="1"/>
  <c r="H6" i="1"/>
  <c r="J4" i="1" l="1"/>
  <c r="I4" i="1"/>
  <c r="H4" i="1"/>
  <c r="G4" i="1"/>
  <c r="K9" i="1" l="1"/>
  <c r="I3" i="1"/>
  <c r="I2" i="1" l="1"/>
  <c r="I5" i="1" s="1"/>
  <c r="I7" i="1"/>
  <c r="H3" i="1" l="1"/>
  <c r="H7" i="1" s="1"/>
  <c r="G3" i="1"/>
  <c r="G7" i="1" s="1"/>
  <c r="J3" i="1" l="1"/>
  <c r="J7" i="1" s="1"/>
  <c r="K3" i="1"/>
  <c r="H2" i="1"/>
  <c r="H5" i="1" s="1"/>
  <c r="G2" i="1"/>
  <c r="G5" i="1" s="1"/>
  <c r="J2" i="1" l="1"/>
  <c r="J5" i="1" s="1"/>
  <c r="K2" i="1"/>
</calcChain>
</file>

<file path=xl/sharedStrings.xml><?xml version="1.0" encoding="utf-8"?>
<sst xmlns="http://schemas.openxmlformats.org/spreadsheetml/2006/main" count="361" uniqueCount="215">
  <si>
    <t xml:space="preserve">※ 최종 목표 : </t>
    <phoneticPr fontId="1" type="noConversion"/>
  </si>
  <si>
    <t>: 이런 부분은 중간에 요청이나 필요에 의해 과업이 추가된 부분임.</t>
    <phoneticPr fontId="1" type="noConversion"/>
  </si>
  <si>
    <t xml:space="preserve">용어 해설 : </t>
    <phoneticPr fontId="1" type="noConversion"/>
  </si>
  <si>
    <t>책임자</t>
    <phoneticPr fontId="1" type="noConversion"/>
  </si>
  <si>
    <t>수행 결과</t>
    <phoneticPr fontId="1" type="noConversion"/>
  </si>
  <si>
    <t>작성시
참고 사항 :</t>
    <phoneticPr fontId="1" type="noConversion"/>
  </si>
  <si>
    <t>현재 진행</t>
    <phoneticPr fontId="1" type="noConversion"/>
  </si>
  <si>
    <t>2. 실제로 가능하다고 생각하는 과업과 일정으로 작성하라.</t>
    <phoneticPr fontId="1" type="noConversion"/>
  </si>
  <si>
    <t xml:space="preserve">우선순위 : </t>
    <phoneticPr fontId="1" type="noConversion"/>
  </si>
  <si>
    <t>매우 높음, 높음, 보통, 낮음, 매우 낮음의 5개 순위로 매길 것.(숫자도 상관없다.)</t>
    <phoneticPr fontId="1" type="noConversion"/>
  </si>
  <si>
    <t>현재 예측</t>
    <phoneticPr fontId="1" type="noConversion"/>
  </si>
  <si>
    <t>스프린트 시작일</t>
    <phoneticPr fontId="1" type="noConversion"/>
  </si>
  <si>
    <t>항   목</t>
    <phoneticPr fontId="1" type="noConversion"/>
  </si>
  <si>
    <t>4. 진행이나 예측에 표시되는 칸에 들어가는 숫자는 작업을 1시간 단위로 나타낸 양이다.</t>
    <phoneticPr fontId="1" type="noConversion"/>
  </si>
  <si>
    <r>
      <t xml:space="preserve">3. 초기 예측과 현재 예측이 궁극적으로 맞아떨어지록 노력할 것.
</t>
    </r>
    <r>
      <rPr>
        <b/>
        <sz val="11"/>
        <color rgb="FFFF0000"/>
        <rFont val="맑은 고딕"/>
        <family val="3"/>
        <charset val="129"/>
        <scheme val="minor"/>
      </rPr>
      <t xml:space="preserve"> (그렇다고 현재 예측을 사실과 다르게 적어서는 안된다.!)</t>
    </r>
    <phoneticPr fontId="1" type="noConversion"/>
  </si>
  <si>
    <t>: 칸이 이런 색이면, 이 과업은 일정이나 그 외 어떤 이유로 삭제되었음을 나타냄.</t>
    <phoneticPr fontId="1" type="noConversion"/>
  </si>
  <si>
    <r>
      <t xml:space="preserve"> 완료된 작업은 순번과 수행 결과 열을 이 색으로 맞춘다. 별 의미는 없고 알아보기 쉽게 하기 위한 것이다.
 개발 방법론의 이른바 </t>
    </r>
    <r>
      <rPr>
        <b/>
        <sz val="11"/>
        <color rgb="FF006600"/>
        <rFont val="맑은 고딕"/>
        <family val="3"/>
        <charset val="129"/>
        <scheme val="minor"/>
      </rPr>
      <t>초록 막대 패턴</t>
    </r>
    <r>
      <rPr>
        <sz val="11"/>
        <color theme="1"/>
        <rFont val="맑은 고딕"/>
        <family val="3"/>
        <charset val="129"/>
        <scheme val="minor"/>
      </rPr>
      <t>으로 봐도 좋다.</t>
    </r>
    <phoneticPr fontId="1" type="noConversion"/>
  </si>
  <si>
    <t>일일 과업시간</t>
    <phoneticPr fontId="1" type="noConversion"/>
  </si>
  <si>
    <r>
      <t xml:space="preserve">1. 개별 과업은 되도록 </t>
    </r>
    <r>
      <rPr>
        <b/>
        <sz val="11"/>
        <color theme="1"/>
        <rFont val="맑은 고딕"/>
        <family val="3"/>
        <charset val="129"/>
        <scheme val="minor"/>
      </rPr>
      <t>24시간 이상의 작업으로 설정하지 않는다.</t>
    </r>
    <phoneticPr fontId="1" type="noConversion"/>
  </si>
  <si>
    <t>누계</t>
    <phoneticPr fontId="1" type="noConversion"/>
  </si>
  <si>
    <t>특정
누계</t>
    <phoneticPr fontId="1" type="noConversion"/>
  </si>
  <si>
    <t>특정 범위 스프린트 종료일</t>
    <phoneticPr fontId="1" type="noConversion"/>
  </si>
  <si>
    <t>휴무 사유</t>
    <phoneticPr fontId="1" type="noConversion"/>
  </si>
  <si>
    <t>우선
순위</t>
    <phoneticPr fontId="1" type="noConversion"/>
  </si>
  <si>
    <t>초기 
예측</t>
    <phoneticPr fontId="1" type="noConversion"/>
  </si>
  <si>
    <t>현재 
진행</t>
    <phoneticPr fontId="1" type="noConversion"/>
  </si>
  <si>
    <t>남은 
시간</t>
    <phoneticPr fontId="1" type="noConversion"/>
  </si>
  <si>
    <t>측정
계수</t>
    <phoneticPr fontId="1" type="noConversion"/>
  </si>
  <si>
    <t>일일 과업 시간</t>
    <phoneticPr fontId="1" type="noConversion"/>
  </si>
  <si>
    <t>총 과업 일 수
※ (총 시간 / 일일 기준 시간) = 일 수</t>
    <phoneticPr fontId="1" type="noConversion"/>
  </si>
  <si>
    <t>특정 범위 과업 일 수
※ (총 시간 / 일일 기준 시간) = 일 수</t>
    <phoneticPr fontId="1" type="noConversion"/>
  </si>
  <si>
    <t>인원</t>
    <phoneticPr fontId="1" type="noConversion"/>
  </si>
  <si>
    <t>초기 예측</t>
    <phoneticPr fontId="1" type="noConversion"/>
  </si>
  <si>
    <t>남은 진행</t>
    <phoneticPr fontId="1" type="noConversion"/>
  </si>
  <si>
    <t>날짜 목록</t>
    <phoneticPr fontId="1" type="noConversion"/>
  </si>
  <si>
    <t>특정 스프린트 시작일</t>
    <phoneticPr fontId="1" type="noConversion"/>
  </si>
  <si>
    <t>토요일</t>
    <phoneticPr fontId="1" type="noConversion"/>
  </si>
  <si>
    <t>일요일</t>
    <phoneticPr fontId="1" type="noConversion"/>
  </si>
  <si>
    <t>상위 시나리오</t>
    <phoneticPr fontId="1" type="noConversion"/>
  </si>
  <si>
    <t>과업</t>
    <phoneticPr fontId="1" type="noConversion"/>
  </si>
  <si>
    <t>대분류</t>
    <phoneticPr fontId="1" type="noConversion"/>
  </si>
  <si>
    <t>경험 예측</t>
    <phoneticPr fontId="1" type="noConversion"/>
  </si>
  <si>
    <t>경험 예측 계수</t>
    <phoneticPr fontId="1" type="noConversion"/>
  </si>
  <si>
    <t>경험 
예측</t>
    <phoneticPr fontId="1" type="noConversion"/>
  </si>
  <si>
    <t>현재
예측</t>
    <phoneticPr fontId="1" type="noConversion"/>
  </si>
  <si>
    <t>이슈
번호</t>
    <phoneticPr fontId="1" type="noConversion"/>
  </si>
  <si>
    <t>스프린트 시작일</t>
    <phoneticPr fontId="1" type="noConversion"/>
  </si>
  <si>
    <t>스프린트 종료일</t>
    <phoneticPr fontId="1" type="noConversion"/>
  </si>
  <si>
    <t>특정 범위 스프린트 시작일</t>
    <phoneticPr fontId="1" type="noConversion"/>
  </si>
  <si>
    <t>신정</t>
    <phoneticPr fontId="1" type="noConversion"/>
  </si>
  <si>
    <t>보통</t>
    <phoneticPr fontId="1" type="noConversion"/>
  </si>
  <si>
    <t>대상 기간 : 2016년 1월 1일 ~ 2016년 1월 31일</t>
    <phoneticPr fontId="1" type="noConversion"/>
  </si>
  <si>
    <t>읽어온 데이터시트의 내용을 SQL 형식의 파일로 내보내는 기능 구현
- 현재로써는 Excel 2003 XML 타입만을 대상으로 한다.
- MySQL에서 수행 가능한 SQL만을 대상으로 한다.</t>
    <phoneticPr fontId="1" type="noConversion"/>
  </si>
  <si>
    <t>높음</t>
    <phoneticPr fontId="1" type="noConversion"/>
  </si>
  <si>
    <t>조수운</t>
    <phoneticPr fontId="1" type="noConversion"/>
  </si>
  <si>
    <t>변경한 구성 데이터 SQL 구문를 일괄 적용하는 도구, 혹은 명령행 파일을 제작</t>
    <phoneticPr fontId="1" type="noConversion"/>
  </si>
  <si>
    <t>보통</t>
    <phoneticPr fontId="1" type="noConversion"/>
  </si>
  <si>
    <t>토요일</t>
    <phoneticPr fontId="1" type="noConversion"/>
  </si>
  <si>
    <t>일요일</t>
    <phoneticPr fontId="1" type="noConversion"/>
  </si>
  <si>
    <t>일요일</t>
    <phoneticPr fontId="1" type="noConversion"/>
  </si>
  <si>
    <t>토요일</t>
    <phoneticPr fontId="1" type="noConversion"/>
  </si>
  <si>
    <t>일요일</t>
    <phoneticPr fontId="1" type="noConversion"/>
  </si>
  <si>
    <t>토요일</t>
    <phoneticPr fontId="1" type="noConversion"/>
  </si>
  <si>
    <t>일요일</t>
    <phoneticPr fontId="1" type="noConversion"/>
  </si>
  <si>
    <t>구정연휴, 일요일</t>
    <phoneticPr fontId="1" type="noConversion"/>
  </si>
  <si>
    <t>설날</t>
    <phoneticPr fontId="1" type="noConversion"/>
  </si>
  <si>
    <t>구정연휴</t>
    <phoneticPr fontId="1" type="noConversion"/>
  </si>
  <si>
    <t>대체휴일</t>
    <phoneticPr fontId="1" type="noConversion"/>
  </si>
  <si>
    <t>토요일</t>
    <phoneticPr fontId="1" type="noConversion"/>
  </si>
  <si>
    <t>일요일</t>
    <phoneticPr fontId="1" type="noConversion"/>
  </si>
  <si>
    <t>일요일</t>
    <phoneticPr fontId="1" type="noConversion"/>
  </si>
  <si>
    <t>토요일</t>
    <phoneticPr fontId="1" type="noConversion"/>
  </si>
  <si>
    <t>삼일절</t>
    <phoneticPr fontId="1" type="noConversion"/>
  </si>
  <si>
    <t>일요일</t>
    <phoneticPr fontId="1" type="noConversion"/>
  </si>
  <si>
    <t>일요일</t>
    <phoneticPr fontId="1" type="noConversion"/>
  </si>
  <si>
    <t>토요일</t>
    <phoneticPr fontId="1" type="noConversion"/>
  </si>
  <si>
    <t>근로자의날, 일요일</t>
    <phoneticPr fontId="1" type="noConversion"/>
  </si>
  <si>
    <t>어린이날</t>
    <phoneticPr fontId="1" type="noConversion"/>
  </si>
  <si>
    <t>석가탄신일, 토요일</t>
    <phoneticPr fontId="1" type="noConversion"/>
  </si>
  <si>
    <t>일요일</t>
    <phoneticPr fontId="1" type="noConversion"/>
  </si>
  <si>
    <t>토요일</t>
    <phoneticPr fontId="1" type="noConversion"/>
  </si>
  <si>
    <t>토요일</t>
    <phoneticPr fontId="1" type="noConversion"/>
  </si>
  <si>
    <t>일요일</t>
    <phoneticPr fontId="1" type="noConversion"/>
  </si>
  <si>
    <t>현충일</t>
    <phoneticPr fontId="1" type="noConversion"/>
  </si>
  <si>
    <t>토요일</t>
    <phoneticPr fontId="1" type="noConversion"/>
  </si>
  <si>
    <t>일요일</t>
    <phoneticPr fontId="1" type="noConversion"/>
  </si>
  <si>
    <t>일요일</t>
    <phoneticPr fontId="1" type="noConversion"/>
  </si>
  <si>
    <t>일요일</t>
    <phoneticPr fontId="1" type="noConversion"/>
  </si>
  <si>
    <t>일요일</t>
    <phoneticPr fontId="1" type="noConversion"/>
  </si>
  <si>
    <t>일요일</t>
    <phoneticPr fontId="1" type="noConversion"/>
  </si>
  <si>
    <t>광복절</t>
    <phoneticPr fontId="1" type="noConversion"/>
  </si>
  <si>
    <t>토요일</t>
    <phoneticPr fontId="1" type="noConversion"/>
  </si>
  <si>
    <t>일요일</t>
    <phoneticPr fontId="1" type="noConversion"/>
  </si>
  <si>
    <t>토요일</t>
    <phoneticPr fontId="1" type="noConversion"/>
  </si>
  <si>
    <t>추석연휴</t>
    <phoneticPr fontId="1" type="noConversion"/>
  </si>
  <si>
    <t>추석</t>
    <phoneticPr fontId="1" type="noConversion"/>
  </si>
  <si>
    <t>추석연휴</t>
    <phoneticPr fontId="1" type="noConversion"/>
  </si>
  <si>
    <t>토요일</t>
    <phoneticPr fontId="1" type="noConversion"/>
  </si>
  <si>
    <t>개천절</t>
    <phoneticPr fontId="1" type="noConversion"/>
  </si>
  <si>
    <t>토요일</t>
    <phoneticPr fontId="1" type="noConversion"/>
  </si>
  <si>
    <t>토요일</t>
    <phoneticPr fontId="1" type="noConversion"/>
  </si>
  <si>
    <t>일요일</t>
    <phoneticPr fontId="1" type="noConversion"/>
  </si>
  <si>
    <t>일요일</t>
    <phoneticPr fontId="1" type="noConversion"/>
  </si>
  <si>
    <t>성탄절, 일요일</t>
    <phoneticPr fontId="1" type="noConversion"/>
  </si>
  <si>
    <t>1. Eternal Guardians의 게임 데이터 스크립트 생성기 구현
2. 서버 사이드에서 사용할 데이터 스크립트들을 MySQL 구문으로 추출하는 기능의 구현</t>
    <phoneticPr fontId="1" type="noConversion"/>
  </si>
  <si>
    <t>데이터시트에서 여러 줄의 내용을 하나의 데이터로 구성하는 방식을 처리하기
- 이제는 그냥 단순히 한 줄씩 읽어서는 안 된다.
- 여러 줄의 내용이 하나의 데이터를 구성할 수 있게 만들어야 한다.
- (가능하면) 계층적으로 여러 단계를 표현할 수 있는 수단을 연구해본다.</t>
    <phoneticPr fontId="1" type="noConversion"/>
  </si>
  <si>
    <t>#1121</t>
    <phoneticPr fontId="1" type="noConversion"/>
  </si>
  <si>
    <t>완료</t>
    <phoneticPr fontId="1" type="noConversion"/>
  </si>
  <si>
    <t>완료</t>
    <phoneticPr fontId="1" type="noConversion"/>
  </si>
  <si>
    <t>게임 데이터 스크립트 생성기의 빌드 스크립트 추가
- 현재 게임 데이터 스크립트 생성기는 빌드할 때 약간 골치아픈 문제가 있다. 
- 그건 바로 GTK#의 라이브러리들을 실행 파일 위치에 꼭 포함시켜줘야 하는 문제다.
- 이 과정은 IDE(Visual Studio, Xamarin Studio)에서 자동으로 해주지 않기 때문에, 반드시 커스텀 빌드 스크립트가 필요함.</t>
    <phoneticPr fontId="1" type="noConversion"/>
  </si>
  <si>
    <t>개선된 데이터시트를 불러올 수 있도록 클라이언트의 데이터 관리자 모델을 수정
- 어쩌면 이 과정을 위해서 별도의 분기에서 작업을 해야 할 수도 있다.
: 게임 근간이 바뀌는 부분이라서…
- 기존 코드와 호환해야 할 필요는 없다. 필요한 부분은 전부 새 구조에 맞도록 수정해야 한다.</t>
    <phoneticPr fontId="1" type="noConversion"/>
  </si>
  <si>
    <t>[MonsterInfo.xml] 데이터시트들을 새로운 데이터시트 형식에 맞게 수정
- 기존 데이터시트의 데이터 구조는 꼭 필요한 경우가 아니라면 이 단계에서는 수정하지 않는다.
- 개선한 데이터시트의 파일 구조를 사용하도록 변경하는데만 역점을 둬야 한다.
- 단, 데이터 모델이 다른 분할시트들은 모두 별도의 데이터시트로 분리한다.</t>
    <phoneticPr fontId="1" type="noConversion"/>
  </si>
  <si>
    <t>수정한 [AvatarInfo.xml] 데이터시트를 클라이언트 코드에서 불러오기
- 새로운 데이터시트 형식에서는 각 필드 열마다 내보낼 대상 서비스 모듈을 지정할 수 있게 되어 있지만, 현재 단계에서는 기존처럼 클라이언트만 사용하게 한다.
- 기존 방식과 다름이 없이 그대로 작동해야 한다.</t>
    <phoneticPr fontId="1" type="noConversion"/>
  </si>
  <si>
    <t>[ActionInfo.xml] 데이터시트들을 새로운 데이터시트 형식에 맞게 수정
- 기존 데이터시트의 데이터 구조는 꼭 필요한 경우가 아니라면 이 단계에서는 수정하지 않는다.
- 개선한 데이터시트의 파일 구조를 사용하도록 변경하는데만 역점을 둬야 한다.
- 단, 데이터 모델이 다른 분할시트들은 모두 별도의 데이터시트로 분리한다.</t>
    <phoneticPr fontId="1" type="noConversion"/>
  </si>
  <si>
    <t>#1126</t>
    <phoneticPr fontId="1" type="noConversion"/>
  </si>
  <si>
    <t>[AvatarInfo.xml] 데이터시트들을 새로운 데이터시트 형식에 맞게 수정
- 기존 데이터시트의 데이터 구조는 꼭 필요한 경우가 아니라면 이 단계에서는 수정하지 않는다.
- 개선한 데이터시트의 파일 구조를 사용하도록 변경하는데만 역점을 둬야 한다.
- 단, 데이터 모델이 다른 분할시트들은 모두 별도의 데이터시트로 분리한다.</t>
    <phoneticPr fontId="1" type="noConversion"/>
  </si>
  <si>
    <t>#1127</t>
    <phoneticPr fontId="1" type="noConversion"/>
  </si>
  <si>
    <t>[CharacterInfo.xml] 데이터시트를 새로운 데이터시트 형식에 맞게 수정
- 기존 데이터시트의 데이터 구조는 꼭 필요한 경우가 아니라면 이 단계에서는 수정하지 않는다.
- 개선한 데이터시트의 파일 구조를 사용하도록 변경하는데만 역점을 둬야 한다.
- 단, 데이터 모델이 다른 분할시트들은 모두 별도의 데이터시트로 분리한다.</t>
    <phoneticPr fontId="1" type="noConversion"/>
  </si>
  <si>
    <t>#1128</t>
    <phoneticPr fontId="1" type="noConversion"/>
  </si>
  <si>
    <t>[ItmInfo.xml] 데이터시트들을 새로운 데이터시트 형식에 맞게 수정
- 기존 데이터시트의 데이터 구조는 꼭 필요한 경우가 아니라면 이 단계에서는 수정하지 않는다.
- 개선한 데이터시트의 파일 구조를 사용하도록 변경하는데만 역점을 둬야 한다.
- 단, 데이터 모델이 다른 분할시트들은 모두 별도의 데이터시트로 분리한다.</t>
    <phoneticPr fontId="1" type="noConversion"/>
  </si>
  <si>
    <t>#1129</t>
    <phoneticPr fontId="1" type="noConversion"/>
  </si>
  <si>
    <t>[MapInfo.xml] 데이터시트들을 새로운 데이터시트 형식에 맞게 수정
- 기존 데이터시트의 데이터 구조는 꼭 필요한 경우가 아니라면 이 단계에서는 수정하지 않는다.
- 개선한 데이터시트의 파일 구조를 사용하도록 변경하는데만 역점을 둬야 한다.
- 단, 데이터 모델이 다른 분할시트들은 모두 별도의 데이터시트로 분리한다.</t>
    <phoneticPr fontId="1" type="noConversion"/>
  </si>
  <si>
    <t>#1131</t>
    <phoneticPr fontId="1" type="noConversion"/>
  </si>
  <si>
    <t>#1130</t>
    <phoneticPr fontId="1" type="noConversion"/>
  </si>
  <si>
    <t>[PlayerInfo.xml] 데이터시트들을 새로운 데이터시트 형식에 맞게 수정
- 기존 데이터시트의 데이터 구조는 꼭 필요한 경우가 아니라면 이 단계에서는 수정하지 않는다.
- 개선한 데이터시트의 파일 구조를 사용하도록 변경하는데만 역점을 둬야 한다.
- 단, 데이터 모델이 다른 분할시트들은 모두 별도의 데이터시트로 분리한다.</t>
    <phoneticPr fontId="1" type="noConversion"/>
  </si>
  <si>
    <t>#1132</t>
    <phoneticPr fontId="1" type="noConversion"/>
  </si>
  <si>
    <t>#1133</t>
    <phoneticPr fontId="1" type="noConversion"/>
  </si>
  <si>
    <t>[RewardItemInfo.xml] 데이터시트들을 새로운 데이터시트 형식에 맞게 수정
- 기존 데이터시트의 데이터 구조는 꼭 필요한 경우가 아니라면 이 단계에서는 수정하지 않는다.
- 개선한 데이터시트의 파일 구조를 사용하도록 변경하는데만 역점을 둬야 한다.
- 단, 데이터 모델이 다른 분할시트들은 모두 별도의 데이터시트로 분리한다.</t>
    <phoneticPr fontId="1" type="noConversion"/>
  </si>
  <si>
    <t>#1134</t>
  </si>
  <si>
    <t>[ShopInfo.xml] 데이터시트들을 새로운 데이터시트 형식에 맞게 수정
- 기존 데이터시트의 데이터 구조는 꼭 필요한 경우가 아니라면 이 단계에서는 수정하지 않는다.
- 개선한 데이터시트의 파일 구조를 사용하도록 변경하는데만 역점을 둬야 한다.
- 단, 데이터 모델이 다른 분할시트들은 모두 별도의 데이터시트로 분리한다.</t>
    <phoneticPr fontId="1" type="noConversion"/>
  </si>
  <si>
    <t>#1135</t>
  </si>
  <si>
    <t>[SkillInfo.xml] 데이터시트들을 새로운 데이터시트 형식에 맞게 수정
- 기존 데이터시트의 데이터 구조는 꼭 필요한 경우가 아니라면 이 단계에서는 수정하지 않는다.
- 개선한 데이터시트의 파일 구조를 사용하도록 변경하는데만 역점을 둬야 한다.
- 단, 데이터 모델이 다른 분할시트들은 모두 별도의 데이터시트로 분리한다.</t>
    <phoneticPr fontId="1" type="noConversion"/>
  </si>
  <si>
    <t>#1136</t>
  </si>
  <si>
    <t>[TextInfo.xml] 데이터시트들을 새로운 데이터시트 형식에 맞게 수정
- 기존 데이터시트의 데이터 구조는 꼭 필요한 경우가 아니라면 이 단계에서는 수정하지 않는다.
- 개선한 데이터시트의 파일 구조를 사용하도록 변경하는데만 역점을 둬야 한다.
- 단, 데이터 모델이 다른 분할시트들은 모두 별도의 데이터시트로 분리한다.</t>
    <phoneticPr fontId="1" type="noConversion"/>
  </si>
  <si>
    <t>#1137</t>
    <phoneticPr fontId="1" type="noConversion"/>
  </si>
  <si>
    <t>[UIInfo.xml] 데이터시트들을 새로운 데이터시트 형식에 맞게 수정
- 기존 데이터시트의 데이터 구조는 꼭 필요한 경우가 아니라면 이 단계에서는 수정하지 않는다.
- 개선한 데이터시트의 파일 구조를 사용하도록 변경하는데만 역점을 둬야 한다.
- 단, 데이터 모델이 다른 분할시트들은 모두 별도의 데이터시트로 분리한다.</t>
    <phoneticPr fontId="1" type="noConversion"/>
  </si>
  <si>
    <t>#1138</t>
    <phoneticPr fontId="1" type="noConversion"/>
  </si>
  <si>
    <t>#1139</t>
    <phoneticPr fontId="1" type="noConversion"/>
  </si>
  <si>
    <t>수정한 [ActionInfo.xml] 데이터시트를 클라이언트 코드에서 불러오기
- 새로운 데이터시트 형식에서는 각 필드 열마다 내보낼 대상 서비스 모듈을 지정할 수 있게 되어 있지만, 현재 단계에서는 기존처럼 클라이언트만 사용하게 한다.
- 기존 방식과 다름이 없이 그대로 작동해야 한다.</t>
    <phoneticPr fontId="1" type="noConversion"/>
  </si>
  <si>
    <t>#1140</t>
  </si>
  <si>
    <t>#1141</t>
  </si>
  <si>
    <t>수정한 [CharacterInfo.xml] 데이터시트를 클라이언트 코드에서 불러오기
- 새로운 데이터시트 형식에서는 각 필드 열마다 내보낼 대상 서비스 모듈을 지정할 수 있게 되어 있지만, 현재 단계에서는 기존처럼 클라이언트만 사용하게 한다.
- 기존 방식과 다름이 없이 그대로 작동해야 한다.</t>
    <phoneticPr fontId="1" type="noConversion"/>
  </si>
  <si>
    <t>#1142</t>
  </si>
  <si>
    <t>수정한 [ItmInfo.xml] 데이터시트를 클라이언트 코드에서 불러오기
- 새로운 데이터시트 형식에서는 각 필드 열마다 내보낼 대상 서비스 모듈을 지정할 수 있게 되어 있지만, 현재 단계에서는 기존처럼 클라이언트만 사용하게 한다.
- 기존 방식과 다름이 없이 그대로 작동해야 한다.</t>
    <phoneticPr fontId="1" type="noConversion"/>
  </si>
  <si>
    <t>#1143</t>
  </si>
  <si>
    <t>수정한 [MapInfo.xml] 데이터시트를 클라이언트 코드에서 불러오기
- 새로운 데이터시트 형식에서는 각 필드 열마다 내보낼 대상 서비스 모듈을 지정할 수 있게 되어 있지만, 현재 단계에서는 기존처럼 클라이언트만 사용하게 한다.
- 기존 방식과 다름이 없이 그대로 작동해야 한다.</t>
    <phoneticPr fontId="1" type="noConversion"/>
  </si>
  <si>
    <t>#1144</t>
  </si>
  <si>
    <t>수정한 [MonsterInfo.xml] 데이터시트를 클라이언트 코드에서 불러오기
- 새로운 데이터시트 형식에서는 각 필드 열마다 내보낼 대상 서비스 모듈을 지정할 수 있게 되어 있지만, 현재 단계에서는 기존처럼 클라이언트만 사용하게 한다.
- 기존 방식과 다름이 없이 그대로 작동해야 한다.</t>
    <phoneticPr fontId="1" type="noConversion"/>
  </si>
  <si>
    <t>#1145</t>
  </si>
  <si>
    <t>수정한 [PlayerInfo.xml] 데이터시트를 클라이언트 코드에서 불러오기
- 새로운 데이터시트 형식에서는 각 필드 열마다 내보낼 대상 서비스 모듈을 지정할 수 있게 되어 있지만, 현재 단계에서는 기존처럼 클라이언트만 사용하게 한다.
- 기존 방식과 다름이 없이 그대로 작동해야 한다.</t>
    <phoneticPr fontId="1" type="noConversion"/>
  </si>
  <si>
    <t>#1146</t>
  </si>
  <si>
    <t>수정한 [ResourceInfo.xml] 데이터시트를 클라이언트 코드에서 불러오기
- 새로운 데이터시트 형식에서는 각 필드 열마다 내보낼 대상 서비스 모듈을 지정할 수 있게 되어 있지만, 현재 단계에서는 기존처럼 클라이언트만 사용하게 한다.
- 기존 방식과 다름이 없이 그대로 작동해야 한다.</t>
    <phoneticPr fontId="1" type="noConversion"/>
  </si>
  <si>
    <t>#1147</t>
  </si>
  <si>
    <t>수정한 [RewardItemInfo.xml] 데이터시트를 클라이언트 코드에서 
불러오기
- 새로운 데이터시트 형식에서는 각 필드 열마다 내보낼 대상 서비스 모듈을 지정할 수 있게 되어 있지만, 현재 단계에서는 기존처럼 클라이언트만 사용하게 한다.
- 기존 방식과 다름이 없이 그대로 작동해야 한다.</t>
    <phoneticPr fontId="1" type="noConversion"/>
  </si>
  <si>
    <t>#1148</t>
  </si>
  <si>
    <t>수정한 [ShopInfo.xml] 데이터시트를 클라이언트 코드에서 불러오기
- 새로운 데이터시트 형식에서는 각 필드 열마다 내보낼 대상 서비스 모듈을 지정할 수 있게 되어 있지만, 현재 단계에서는 기존처럼 클라이언트만 사용하게 한다.
- 기존 방식과 다름이 없이 그대로 작동해야 한다.</t>
    <phoneticPr fontId="1" type="noConversion"/>
  </si>
  <si>
    <t>#1149</t>
  </si>
  <si>
    <t>수정한 [SkillInfo.xml] 데이터시트를 클라이언트 코드에서 불러오기
- 새로운 데이터시트 형식에서는 각 필드 열마다 내보낼 대상 서비스 모듈을 지정할 수 있게 되어 있지만, 현재 단계에서는 기존처럼 클라이언트만 사용하게 한다.
- 기존 방식과 다름이 없이 그대로 작동해야 한다.</t>
    <phoneticPr fontId="1" type="noConversion"/>
  </si>
  <si>
    <t>#1150</t>
  </si>
  <si>
    <t>수정한 [TextInfo.xml] 데이터시트를 클라이언트 코드에서 불러오기
- 새로운 데이터시트 형식에서는 각 필드 열마다 내보낼 대상 서비스 모듈을 지정할 수 있게 되어 있지만, 현재 단계에서는 기존처럼 클라이언트만 사용하게 한다.
- 기존 방식과 다름이 없이 그대로 작동해야 한다.</t>
    <phoneticPr fontId="1" type="noConversion"/>
  </si>
  <si>
    <t>#1151</t>
  </si>
  <si>
    <t>수정한 [UIInfo.xml] 데이터시트를 클라이언트 코드에서 불러오기
- 새로운 데이터시트 형식에서는 각 필드 열마다 내보낼 대상 서비스 모듈을 지정할 수 있게 되어 있지만, 현재 단계에서는 기존처럼 클라이언트만 사용하게 한다.
- 기존 방식과 다름이 없이 그대로 작동해야 한다.</t>
    <phoneticPr fontId="1" type="noConversion"/>
  </si>
  <si>
    <t>#1152</t>
  </si>
  <si>
    <t>#1113</t>
    <phoneticPr fontId="1" type="noConversion"/>
  </si>
  <si>
    <t>#1123</t>
    <phoneticPr fontId="1" type="noConversion"/>
  </si>
  <si>
    <t>#1124</t>
    <phoneticPr fontId="1" type="noConversion"/>
  </si>
  <si>
    <t>게임 데이터 스크립트 변환기가 Excel 형식의 데이터시트를 지원한다.
- xlsx, xls 형식의 파일이 데이터시트일 경우에 처리할 수 있게 한다.
- xlsx를 처리하는 게 우선이다.
: 현재 가장 일반적인 파일임.
- xlsm은 반드시 처리하지 않아도 됨.
: xlsm 파일은 매크로 포함 파일임.
- Excel 2003 XML 형식(xml)이 OSX에서 일부 파일이 엑셀 프로그램으로 열리지 않는 등의 문제가 있어서 그렇다.</t>
    <phoneticPr fontId="1" type="noConversion"/>
  </si>
  <si>
    <t>#1153</t>
    <phoneticPr fontId="1" type="noConversion"/>
  </si>
  <si>
    <r>
      <t xml:space="preserve">데이터시트의 각 분할시트가 데이터 구조가 달라도 이를 허용하도록 
변경
- 데이터 스크립트와는 관계가 없고, 데이터시트를 운용하는 방식에만 관계가 있다.
- 기획팀에서는 데이터시트의 파일 개수가 지나치게 많은 것보다는, 하나의 파일에서 여러 데이터시트를 편집하는 편이 더 관리하기 용이하다고 판단함.
- 파일 개수가 적기 때문에 작업자가 여럿일 경우의 충돌 문제는 자체적으로 규칙을 세워서 해결한다고 함.
- 기존 규칙, 즉, 하나의 데이터시트를 여러 개의 분할시트로 나누는 것은 용도상 크게 의미가 없다고 함.
: 데이터시트의 열이 많다고 해서 특별히 불편하게 여기지 않으며, 셀 참조 표현식을 많이 쓰기 때문에, 분할시트로 나누면 오히려 더 불편하다고 함.
- 구조 변경 자체는 큰 문제는 아니지만, 다음과 같은 한계가 있다.
 </t>
    </r>
    <r>
      <rPr>
        <sz val="10"/>
        <color theme="1"/>
        <rFont val="Wingdings 2"/>
        <family val="1"/>
        <charset val="2"/>
      </rPr>
      <t></t>
    </r>
    <r>
      <rPr>
        <sz val="9"/>
        <color theme="1"/>
        <rFont val="맑은 고딕"/>
        <family val="3"/>
        <charset val="129"/>
      </rPr>
      <t xml:space="preserve"> </t>
    </r>
    <r>
      <rPr>
        <sz val="10"/>
        <color theme="1"/>
        <rFont val="맑은 고딕"/>
        <family val="3"/>
        <charset val="129"/>
        <scheme val="minor"/>
      </rPr>
      <t xml:space="preserve">이전처럼 하나의 데이터시트를 여러 개의 분할시트로 분할해서 쓰는 것은 금지된다.
 : 데이터 모델마다 무조건 하나의 분할시트만을 써야 한다.
 </t>
    </r>
    <r>
      <rPr>
        <sz val="10"/>
        <color theme="1"/>
        <rFont val="Wingdings 2"/>
        <family val="1"/>
        <charset val="2"/>
      </rPr>
      <t></t>
    </r>
    <r>
      <rPr>
        <sz val="9"/>
        <color theme="1"/>
        <rFont val="맑은 고딕"/>
        <family val="3"/>
        <charset val="129"/>
      </rPr>
      <t xml:space="preserve"> </t>
    </r>
    <r>
      <rPr>
        <sz val="10"/>
        <color theme="1"/>
        <rFont val="맑은 고딕"/>
        <family val="3"/>
        <charset val="129"/>
        <scheme val="minor"/>
      </rPr>
      <t>데이터시트를 쓸 때, 이전 구조와 섞어서 쓸 수 없다.
  : 옛 버전 데이터시트가 일부 시트를 그런 식으로 쓴 적이 있는데, 그런 식으로 섞어 쓸 경우에 데이터시트에 암묵적인 규칙들이 너무 많아져서 해석기 만들기가 심히 골룸하고 구조적으로 예쁘게 나오지도 않는다.</t>
    </r>
    <phoneticPr fontId="1" type="noConversion"/>
  </si>
  <si>
    <t>완료</t>
    <phoneticPr fontId="1" type="noConversion"/>
  </si>
  <si>
    <t>#1155</t>
    <phoneticPr fontId="1" type="noConversion"/>
  </si>
  <si>
    <t>완료</t>
    <phoneticPr fontId="1" type="noConversion"/>
  </si>
  <si>
    <t>명령행으로 공통 프로젝트를 빌드하는 도구 제작
- IDE의 도움 없이 운영체제 별로, 빌드 옵션 별로 빌드할 수 있어야 
한다.
- 지원해야 하는 운영체제는 Windows와 OSX다.
- 필요한 경우, 빌드 결과물을 다른 지점으로 복사해서 갱신해줄 수 있어야 한다.</t>
    <phoneticPr fontId="1" type="noConversion"/>
  </si>
  <si>
    <t>#1157</t>
    <phoneticPr fontId="1" type="noConversion"/>
  </si>
  <si>
    <t>보통</t>
    <phoneticPr fontId="1" type="noConversion"/>
  </si>
  <si>
    <t>조수운</t>
    <phoneticPr fontId="1" type="noConversion"/>
  </si>
  <si>
    <t>명령행으로 클라이언트 프로젝트를 빌드하는 도구 제작
- IDE의 도움 없이 운영체제 별로, 빌드 옵션 별로 빌드할 수 있어야 
한다.
- 지원해야 하는 운영체제는 Windows와 OSX다.
- 필요한 경우, 빌드 결과물을 다른 지점으로 복사해서 갱신해줄 수 있어야 한다.</t>
    <phoneticPr fontId="1" type="noConversion"/>
  </si>
  <si>
    <t>#487</t>
    <phoneticPr fontId="1" type="noConversion"/>
  </si>
  <si>
    <t>명령행으로 서버 프로젝트를 빌드하는 도구 제작
- IDE의 도움 없이 운영체제 별로, 빌드 옵션 별로 빌드할 수 있어야 
한다.
- 지원해야 하는 운영체제는 Windows와 OSX다.
- 필요한 경우, 빌드 결과물을 다른 지점으로 복사해서 갱신해줄 수 있어야 한다.</t>
    <phoneticPr fontId="1" type="noConversion"/>
  </si>
  <si>
    <t>#1158</t>
    <phoneticPr fontId="1" type="noConversion"/>
  </si>
  <si>
    <t>게임 데이터 스크립트 툴을 명령행으로 작동하게 만들기
- IDE의 도움 없이 운영체제 별로, 빌드 옵션 별로 빌드할 수 있어야 
한다.
- 지원해야 하는 운영체제는 Windows와 OSX다.
- 필요한 경우, 빌드 결과물을 다른 지점으로 복사해서 갱신해줄 수 있어야 한다.</t>
    <phoneticPr fontId="1" type="noConversion"/>
  </si>
  <si>
    <t>#1159</t>
    <phoneticPr fontId="1" type="noConversion"/>
  </si>
  <si>
    <t>보통</t>
    <phoneticPr fontId="1" type="noConversion"/>
  </si>
  <si>
    <t>명령행으로 전체 프로젝트를 빌드하는 도구 제작
- IDE의 도움 없이 운영체제 별로, 빌드 옵션 별로 빌드할 수 있어야 
한다.
- 지원해야 하는 운영체제는 Windows와 OSX다.
- 저장소와 연동해서 커밋할 수 있으면 더욱 좋다.</t>
    <phoneticPr fontId="1" type="noConversion"/>
  </si>
  <si>
    <t>#1160</t>
    <phoneticPr fontId="1" type="noConversion"/>
  </si>
  <si>
    <t>게임 데이터를 패키징하는 도구 제작
- Unity 3D 엔진을 쓰기 때문에, Asset Bundle을 사용할 가능성이 높다.
- 에셋 번들을 구축하는 방식에 대한 세부적인 명세가 필요함</t>
    <phoneticPr fontId="1" type="noConversion"/>
  </si>
  <si>
    <t>#487</t>
    <phoneticPr fontId="1" type="noConversion"/>
  </si>
  <si>
    <t>서비스 마켓 대상 별로 빌드를 분리하기
- 마켓마다 DB가 분리되어 있고, 각자 다른 버전을 적용해야 할 수 있다.
- 여러 마켓이 공통 서버를 이용할지, 서버 자체를 분리할지에 대한 정책을 정해야 한다.
- 빌드는 여러 개가 생성되어야 할 수는 있으나, 프로젝트 소스는 하나를 유지해야 한다.
: 같은 버전을 서비스한다는 전제 하에는 그러해야 한다.</t>
    <phoneticPr fontId="1" type="noConversion"/>
  </si>
  <si>
    <t>#486</t>
    <phoneticPr fontId="1" type="noConversion"/>
  </si>
  <si>
    <t>보통</t>
    <phoneticPr fontId="1" type="noConversion"/>
  </si>
  <si>
    <t>서비스 언어 / 문화권 별로 빌드를 분리하기
- 서비스 언어 / 문화권 별로 DB가 분리되어 있고, 각자 다른 버전을 적용해야 할 수 있다.
- 빌드는 여러 개가 생성되어야 할 수는 있으나, 프로젝트 소스는 하나를 유지해야 한다.
: 같은 버전을 서비스한다는 전제 하에는 그러해야 한다.</t>
    <phoneticPr fontId="1" type="noConversion"/>
  </si>
  <si>
    <t>#1161</t>
    <phoneticPr fontId="1" type="noConversion"/>
  </si>
  <si>
    <t>빌드 자동화</t>
    <phoneticPr fontId="1" type="noConversion"/>
  </si>
  <si>
    <t>#458</t>
    <phoneticPr fontId="1" type="noConversion"/>
  </si>
  <si>
    <t>Windows 빌드는 완성</t>
    <phoneticPr fontId="1" type="noConversion"/>
  </si>
  <si>
    <t>Windows 빌드는 완성</t>
    <phoneticPr fontId="1" type="noConversion"/>
  </si>
  <si>
    <t>Windows 빌드는 완성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</si>
  <si>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</si>
  <si>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</si>
  <si>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</si>
  <si>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</si>
  <si>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</si>
  <si>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</si>
  <si>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[ResourceInfo.xml] 데이터시트들을 새로운 데이터시트 형식에 맞게 수정
- 기존 데이터시트의 데이터 구조는 꼭 필요한 경우가 아니라면 이 단계에서는 수정하지 않는다.
- 개선한 데이터시트의 파일 구조를 사용하도록 변경하는데만 역점을 둬야 한다.
- 단, 데이터 모델이 다른 분할시트들은 모두 별도의 데이터시트로 분리한다.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</si>
  <si>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</si>
  <si>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</si>
  <si>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</si>
  <si>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</si>
  <si>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Google Cloud Platform 교육 참석</t>
    <phoneticPr fontId="1" type="noConversion"/>
  </si>
  <si>
    <t>완료</t>
    <phoneticPr fontId="1" type="noConversion"/>
  </si>
  <si>
    <t>병가(감기몸살)</t>
    <phoneticPr fontId="1" type="noConversion"/>
  </si>
  <si>
    <t>수정한 게임 데이터 스크립트 구조를 기존 프로젝트에 이식</t>
    <phoneticPr fontId="1" type="noConversion"/>
  </si>
  <si>
    <t>#1125</t>
    <phoneticPr fontId="1" type="noConversion"/>
  </si>
  <si>
    <t>게임 데이터 스크립트 툴 수정</t>
    <phoneticPr fontId="1" type="noConversion"/>
  </si>
  <si>
    <t>#973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</si>
</sst>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1"/>
      <color rgb="FF9C0006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rgb="FF0000CC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9" tint="-0.499984740745262"/>
      <name val="맑은 고딕"/>
      <family val="3"/>
      <charset val="129"/>
      <scheme val="minor"/>
    </font>
    <font>
      <sz val="10"/>
      <color rgb="FF0000CC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1"/>
      <color rgb="FF006600"/>
      <name val="맑은 고딕"/>
      <family val="3"/>
      <charset val="129"/>
      <scheme val="minor"/>
    </font>
    <font>
      <b/>
      <sz val="10"/>
      <color rgb="FF0000CC"/>
      <name val="맑은 고딕"/>
      <family val="3"/>
      <charset val="129"/>
      <scheme val="minor"/>
    </font>
    <font>
      <sz val="10"/>
      <color theme="1"/>
      <name val="Wingdings 2"/>
      <family val="1"/>
      <charset val="2"/>
    </font>
    <font>
      <sz val="9"/>
      <color theme="1"/>
      <name val="맑은 고딕"/>
      <family val="3"/>
      <charset val="129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1F6C0"/>
        <bgColor indexed="64"/>
      </patternFill>
    </fill>
    <fill>
      <patternFill patternType="solid">
        <fgColor rgb="FFFFD6C1"/>
        <bgColor indexed="64"/>
      </patternFill>
    </fill>
    <fill>
      <patternFill patternType="solid">
        <fgColor rgb="FFE8D1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 indent="1"/>
    </xf>
    <xf numFmtId="0" fontId="3" fillId="0" borderId="0" xfId="0" applyFont="1" applyAlignment="1">
      <alignment horizontal="left" vertical="top" wrapText="1" indent="1"/>
    </xf>
    <xf numFmtId="0" fontId="2" fillId="0" borderId="0" xfId="0" applyFon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 wrapText="1" indent="1"/>
    </xf>
    <xf numFmtId="0" fontId="10" fillId="13" borderId="1" xfId="0" applyFont="1" applyFill="1" applyBorder="1" applyAlignment="1">
      <alignment horizontal="center" vertical="center" wrapText="1"/>
    </xf>
    <xf numFmtId="0" fontId="13" fillId="14" borderId="1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 indent="1"/>
    </xf>
    <xf numFmtId="0" fontId="8" fillId="14" borderId="6" xfId="1" applyFont="1" applyFill="1" applyBorder="1" applyAlignment="1">
      <alignment horizontal="left" vertical="top" wrapText="1" indent="1"/>
    </xf>
    <xf numFmtId="0" fontId="3" fillId="0" borderId="5" xfId="0" applyFont="1" applyBorder="1" applyAlignment="1">
      <alignment horizontal="left" vertical="top" wrapText="1" indent="1"/>
    </xf>
    <xf numFmtId="0" fontId="8" fillId="14" borderId="7" xfId="1" applyFont="1" applyFill="1" applyBorder="1" applyAlignment="1">
      <alignment horizontal="left" vertical="top" wrapText="1" indent="1"/>
    </xf>
    <xf numFmtId="0" fontId="2" fillId="0" borderId="5" xfId="0" applyFont="1" applyFill="1" applyBorder="1" applyAlignment="1">
      <alignment horizontal="left" vertical="top" wrapText="1" indent="1"/>
    </xf>
    <xf numFmtId="0" fontId="10" fillId="10" borderId="8" xfId="0" applyFont="1" applyFill="1" applyBorder="1" applyAlignment="1">
      <alignment horizontal="center" vertical="center" wrapText="1"/>
    </xf>
    <xf numFmtId="14" fontId="2" fillId="15" borderId="9" xfId="0" applyNumberFormat="1" applyFont="1" applyFill="1" applyBorder="1" applyAlignment="1">
      <alignment horizontal="center" vertical="center" wrapText="1"/>
    </xf>
    <xf numFmtId="14" fontId="2" fillId="12" borderId="2" xfId="0" applyNumberFormat="1" applyFont="1" applyFill="1" applyBorder="1" applyAlignment="1">
      <alignment horizontal="center" vertical="center" wrapText="1"/>
    </xf>
    <xf numFmtId="14" fontId="2" fillId="6" borderId="10" xfId="0" applyNumberFormat="1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14" fontId="6" fillId="6" borderId="10" xfId="0" applyNumberFormat="1" applyFont="1" applyFill="1" applyBorder="1" applyAlignment="1">
      <alignment horizontal="center" vertical="center" wrapText="1"/>
    </xf>
    <xf numFmtId="14" fontId="2" fillId="7" borderId="10" xfId="0" applyNumberFormat="1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9" fillId="11" borderId="10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5" fillId="16" borderId="0" xfId="0" applyFont="1" applyFill="1" applyAlignment="1">
      <alignment horizontal="center" vertical="center"/>
    </xf>
    <xf numFmtId="14" fontId="15" fillId="9" borderId="10" xfId="0" applyNumberFormat="1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13" fillId="11" borderId="11" xfId="1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left" vertical="top" wrapText="1" indent="1"/>
    </xf>
    <xf numFmtId="0" fontId="6" fillId="9" borderId="11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 indent="1"/>
    </xf>
    <xf numFmtId="0" fontId="8" fillId="14" borderId="5" xfId="1" applyFont="1" applyFill="1" applyBorder="1" applyAlignment="1">
      <alignment horizontal="left" vertical="top" wrapText="1" indent="1"/>
    </xf>
    <xf numFmtId="0" fontId="8" fillId="2" borderId="11" xfId="1" applyFont="1" applyFill="1" applyBorder="1" applyAlignment="1">
      <alignment horizontal="left" vertical="center" wrapText="1" indent="1"/>
    </xf>
    <xf numFmtId="0" fontId="8" fillId="2" borderId="11" xfId="1" applyFont="1" applyFill="1" applyBorder="1" applyAlignment="1">
      <alignment horizontal="center" vertical="center" wrapText="1"/>
    </xf>
    <xf numFmtId="0" fontId="8" fillId="5" borderId="11" xfId="1" applyFont="1" applyFill="1" applyBorder="1" applyAlignment="1">
      <alignment horizontal="center" vertical="center" wrapText="1"/>
    </xf>
    <xf numFmtId="0" fontId="12" fillId="9" borderId="11" xfId="1" applyFont="1" applyFill="1" applyBorder="1" applyAlignment="1">
      <alignment horizontal="center" vertical="center" wrapText="1"/>
    </xf>
    <xf numFmtId="0" fontId="8" fillId="7" borderId="11" xfId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top" wrapText="1" indent="1"/>
    </xf>
    <xf numFmtId="0" fontId="8" fillId="11" borderId="11" xfId="1" applyFont="1" applyFill="1" applyBorder="1" applyAlignment="1">
      <alignment horizontal="left" vertical="center" wrapText="1" indent="1"/>
    </xf>
    <xf numFmtId="0" fontId="8" fillId="11" borderId="11" xfId="1" applyFont="1" applyFill="1" applyBorder="1" applyAlignment="1">
      <alignment horizontal="center" vertical="center" wrapText="1"/>
    </xf>
    <xf numFmtId="0" fontId="12" fillId="11" borderId="11" xfId="1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left" vertical="top" wrapText="1" indent="1"/>
    </xf>
    <xf numFmtId="0" fontId="8" fillId="2" borderId="12" xfId="0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left" vertical="center" wrapText="1" indent="1"/>
    </xf>
    <xf numFmtId="0" fontId="8" fillId="17" borderId="15" xfId="1" applyFont="1" applyFill="1" applyBorder="1" applyAlignment="1">
      <alignment horizontal="left" vertical="center" wrapText="1" indent="1"/>
    </xf>
    <xf numFmtId="0" fontId="8" fillId="17" borderId="11" xfId="1" applyFont="1" applyFill="1" applyBorder="1" applyAlignment="1">
      <alignment horizontal="left" vertical="center" wrapText="1" indent="1"/>
    </xf>
    <xf numFmtId="0" fontId="8" fillId="17" borderId="11" xfId="1" applyFont="1" applyFill="1" applyBorder="1" applyAlignment="1">
      <alignment horizontal="center" vertical="center" wrapText="1"/>
    </xf>
    <xf numFmtId="0" fontId="12" fillId="17" borderId="11" xfId="1" applyFont="1" applyFill="1" applyBorder="1" applyAlignment="1">
      <alignment horizontal="center" vertical="center" wrapText="1"/>
    </xf>
    <xf numFmtId="0" fontId="13" fillId="17" borderId="11" xfId="1" applyFont="1" applyFill="1" applyBorder="1" applyAlignment="1">
      <alignment horizontal="center" vertical="center" wrapText="1"/>
    </xf>
    <xf numFmtId="0" fontId="8" fillId="17" borderId="11" xfId="0" applyFont="1" applyFill="1" applyBorder="1" applyAlignment="1">
      <alignment horizontal="center" vertical="center" wrapText="1"/>
    </xf>
    <xf numFmtId="0" fontId="8" fillId="17" borderId="11" xfId="0" applyFont="1" applyFill="1" applyBorder="1" applyAlignment="1">
      <alignment horizontal="left" vertical="top" wrapText="1" inden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</cellXfs>
  <cellStyles count="2">
    <cellStyle name="나쁨" xfId="1" builtinId="27"/>
    <cellStyle name="표준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FFFF99"/>
      <color rgb="FFE1F6C0"/>
      <color rgb="FF99FF66"/>
      <color rgb="FF66FF33"/>
      <color rgb="FF00FF00"/>
      <color rgb="FF006600"/>
      <color rgb="FF7DFF7D"/>
      <color rgb="FFCCFF99"/>
      <color rgb="FFCCFF66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64"/>
  <sheetViews>
    <sheetView tabSelected="1" topLeftCell="A43" zoomScale="90" zoomScaleNormal="90" workbookViewId="0">
      <selection activeCell="D50" sqref="D50:N50"/>
    </sheetView>
  </sheetViews>
  <sheetFormatPr defaultRowHeight="16.5"/>
  <cols>
    <col min="1" max="1" width="16.625" style="2" customWidth="1"/>
    <col min="2" max="2" width="45.625" style="3" customWidth="1"/>
    <col min="3" max="3" width="8.625" style="3" customWidth="1"/>
    <col min="4" max="4" width="56.5" style="3" customWidth="1"/>
    <col min="5" max="5" width="8.625" style="3" customWidth="1"/>
    <col min="6" max="6" width="10.625" style="3" customWidth="1"/>
    <col min="7" max="12" width="10.625" style="5" customWidth="1"/>
    <col min="13" max="13" width="9.125" style="2" customWidth="1"/>
    <col min="14" max="14" width="38.75" style="3" customWidth="1"/>
    <col min="15" max="16384" width="9" style="1"/>
  </cols>
  <sheetData>
    <row r="1" spans="1:14" ht="33">
      <c r="B1" s="4"/>
      <c r="C1" s="4"/>
      <c r="D1" s="10" t="s">
        <v>12</v>
      </c>
      <c r="E1" s="10" t="s">
        <v>28</v>
      </c>
      <c r="F1" s="10" t="s">
        <v>31</v>
      </c>
      <c r="G1" s="10" t="s">
        <v>32</v>
      </c>
      <c r="H1" s="10" t="s">
        <v>41</v>
      </c>
      <c r="I1" s="10" t="s">
        <v>10</v>
      </c>
      <c r="J1" s="10" t="s">
        <v>6</v>
      </c>
      <c r="K1" s="10" t="s">
        <v>33</v>
      </c>
      <c r="L1" s="10"/>
      <c r="M1" s="8"/>
    </row>
    <row r="2" spans="1:14" ht="33">
      <c r="D2" s="28" t="s">
        <v>29</v>
      </c>
      <c r="E2" s="29">
        <v>8</v>
      </c>
      <c r="F2" s="29">
        <v>1</v>
      </c>
      <c r="G2" s="30">
        <f>QUOTIENT(과업목록!G54, (E2 * F2))</f>
        <v>27</v>
      </c>
      <c r="H2" s="30">
        <f>QUOTIENT(과업목록!H54, (E2 * F2))</f>
        <v>30</v>
      </c>
      <c r="I2" s="30">
        <f>QUOTIENT(과업목록!I54, (E2 * F2))</f>
        <v>30</v>
      </c>
      <c r="J2" s="30">
        <f>QUOTIENT(과업목록!J54, (E2 * F2))</f>
        <v>19</v>
      </c>
      <c r="K2" s="30">
        <f>QUOTIENT(과업목록!J54, (E2 * F2))</f>
        <v>19</v>
      </c>
      <c r="L2" s="30"/>
      <c r="M2" s="8"/>
    </row>
    <row r="3" spans="1:14" ht="33">
      <c r="D3" s="28" t="s">
        <v>30</v>
      </c>
      <c r="E3" s="29">
        <v>8</v>
      </c>
      <c r="F3" s="29">
        <v>1</v>
      </c>
      <c r="G3" s="30">
        <f>QUOTIENT(과업목록!G55, (E3 * F3))</f>
        <v>27</v>
      </c>
      <c r="H3" s="30">
        <f>QUOTIENT(과업목록!H55, (E3 * F3))</f>
        <v>30</v>
      </c>
      <c r="I3" s="30">
        <f>QUOTIENT(과업목록!I55, (E3 * F3))</f>
        <v>30</v>
      </c>
      <c r="J3" s="30">
        <f>QUOTIENT(과업목록!J55, (E3 * F3))</f>
        <v>19</v>
      </c>
      <c r="K3" s="30">
        <f>QUOTIENT(과업목록!J55, (E3 * F3))</f>
        <v>19</v>
      </c>
      <c r="L3" s="30"/>
      <c r="M3" s="8"/>
    </row>
    <row r="4" spans="1:14">
      <c r="D4" s="28" t="s">
        <v>46</v>
      </c>
      <c r="E4" s="25"/>
      <c r="F4" s="25"/>
      <c r="G4" s="32">
        <f>'휴무일 목록'!B2</f>
        <v>42370</v>
      </c>
      <c r="H4" s="32">
        <f>'휴무일 목록'!B2</f>
        <v>42370</v>
      </c>
      <c r="I4" s="32">
        <f>'휴무일 목록'!B2</f>
        <v>42370</v>
      </c>
      <c r="J4" s="32">
        <f>'휴무일 목록'!B2</f>
        <v>42370</v>
      </c>
      <c r="K4" s="26"/>
      <c r="L4" s="26"/>
      <c r="M4" s="8"/>
    </row>
    <row r="5" spans="1:14">
      <c r="D5" s="28" t="s">
        <v>47</v>
      </c>
      <c r="E5" s="25"/>
      <c r="F5" s="25"/>
      <c r="G5" s="32">
        <f>WORKDAY('휴무일 목록'!B2,G2,'휴무일 목록'!B4:B122)</f>
        <v>42416</v>
      </c>
      <c r="H5" s="32">
        <f>WORKDAY('휴무일 목록'!B2,H2,'휴무일 목록'!B4:B122)</f>
        <v>42419</v>
      </c>
      <c r="I5" s="32">
        <f>WORKDAY('휴무일 목록'!B2,I2,'휴무일 목록'!B4:B122)</f>
        <v>42419</v>
      </c>
      <c r="J5" s="32">
        <f>WORKDAY('휴무일 목록'!B2,J2,'휴무일 목록'!B4:B122)</f>
        <v>42398</v>
      </c>
      <c r="K5" s="26"/>
      <c r="L5" s="26"/>
      <c r="M5" s="8"/>
    </row>
    <row r="6" spans="1:14">
      <c r="D6" s="28" t="s">
        <v>48</v>
      </c>
      <c r="E6" s="25"/>
      <c r="F6" s="25"/>
      <c r="G6" s="32">
        <f>'휴무일 목록'!B3</f>
        <v>42370</v>
      </c>
      <c r="H6" s="32">
        <f>'휴무일 목록'!B3</f>
        <v>42370</v>
      </c>
      <c r="I6" s="32">
        <f>'휴무일 목록'!B3</f>
        <v>42370</v>
      </c>
      <c r="J6" s="32">
        <f>'휴무일 목록'!B3</f>
        <v>42370</v>
      </c>
      <c r="K6" s="26"/>
      <c r="L6" s="26"/>
      <c r="M6" s="8"/>
    </row>
    <row r="7" spans="1:14">
      <c r="D7" s="28" t="s">
        <v>21</v>
      </c>
      <c r="E7" s="25"/>
      <c r="F7" s="25"/>
      <c r="G7" s="32">
        <f>WORKDAY('휴무일 목록'!B3,G3,'휴무일 목록'!B4:B122)</f>
        <v>42416</v>
      </c>
      <c r="H7" s="32">
        <f>WORKDAY('휴무일 목록'!B3,H3,'휴무일 목록'!B4:B122)</f>
        <v>42419</v>
      </c>
      <c r="I7" s="32">
        <f>WORKDAY('휴무일 목록'!B3,I3,'휴무일 목록'!B4:B122)</f>
        <v>42419</v>
      </c>
      <c r="J7" s="32">
        <f>WORKDAY('휴무일 목록'!B3,J3,'휴무일 목록'!B4:B122)</f>
        <v>42398</v>
      </c>
      <c r="K7" s="26"/>
      <c r="L7" s="26"/>
      <c r="M7" s="8"/>
    </row>
    <row r="8" spans="1:14">
      <c r="D8" s="4"/>
      <c r="E8" s="4"/>
      <c r="F8" s="4"/>
      <c r="M8" s="8"/>
    </row>
    <row r="9" spans="1:14">
      <c r="B9" s="12" t="s">
        <v>17</v>
      </c>
      <c r="C9" s="13"/>
      <c r="D9" s="13"/>
      <c r="E9" s="13"/>
      <c r="F9" s="13"/>
      <c r="G9" s="14"/>
      <c r="H9" s="15">
        <v>8</v>
      </c>
      <c r="I9" s="15"/>
      <c r="J9" s="15">
        <v>0</v>
      </c>
      <c r="K9" s="11">
        <f>SUM(H9,-J9)</f>
        <v>8</v>
      </c>
      <c r="M9" s="8"/>
    </row>
    <row r="10" spans="1:14">
      <c r="B10" s="12" t="s">
        <v>42</v>
      </c>
      <c r="C10" s="13"/>
      <c r="D10" s="13"/>
      <c r="E10" s="13"/>
      <c r="F10" s="13"/>
      <c r="G10" s="14"/>
      <c r="H10" s="15"/>
      <c r="I10" s="15">
        <v>1.0509999999999999</v>
      </c>
      <c r="J10" s="15"/>
      <c r="K10" s="11"/>
      <c r="M10" s="8"/>
    </row>
    <row r="11" spans="1:14">
      <c r="D11" s="4"/>
      <c r="E11" s="4"/>
      <c r="F11" s="4"/>
      <c r="M11" s="8"/>
    </row>
    <row r="12" spans="1:14" ht="27">
      <c r="A12" s="33" t="s">
        <v>40</v>
      </c>
      <c r="B12" s="34" t="s">
        <v>38</v>
      </c>
      <c r="C12" s="34" t="s">
        <v>45</v>
      </c>
      <c r="D12" s="34" t="s">
        <v>39</v>
      </c>
      <c r="E12" s="34" t="s">
        <v>45</v>
      </c>
      <c r="F12" s="34" t="s">
        <v>23</v>
      </c>
      <c r="G12" s="34" t="s">
        <v>24</v>
      </c>
      <c r="H12" s="34" t="s">
        <v>43</v>
      </c>
      <c r="I12" s="34" t="s">
        <v>44</v>
      </c>
      <c r="J12" s="34" t="s">
        <v>25</v>
      </c>
      <c r="K12" s="34" t="s">
        <v>26</v>
      </c>
      <c r="L12" s="34" t="s">
        <v>27</v>
      </c>
      <c r="M12" s="35" t="s">
        <v>3</v>
      </c>
      <c r="N12" s="34" t="s">
        <v>4</v>
      </c>
    </row>
    <row r="13" spans="1:14" ht="40.5">
      <c r="A13" s="71"/>
      <c r="B13" s="72" t="s">
        <v>213</v>
      </c>
      <c r="C13" s="68" t="s">
        <v>214</v>
      </c>
      <c r="D13" s="52" t="s">
        <v>52</v>
      </c>
      <c r="E13" s="52" t="s">
        <v>163</v>
      </c>
      <c r="F13" s="53" t="s">
        <v>53</v>
      </c>
      <c r="G13" s="53">
        <v>24</v>
      </c>
      <c r="H13" s="53">
        <f t="shared" ref="H13:H32" si="0" xml:space="preserve"> G13 * 1.118</f>
        <v>26.832000000000001</v>
      </c>
      <c r="I13" s="53">
        <v>16</v>
      </c>
      <c r="J13" s="54">
        <v>16</v>
      </c>
      <c r="K13" s="36">
        <f t="shared" ref="K13:K32" si="1">SUM(I13,-J13)</f>
        <v>0</v>
      </c>
      <c r="L13" s="53">
        <f t="shared" ref="L13:L32" si="2">I13/G13</f>
        <v>0.66666666666666663</v>
      </c>
      <c r="M13" s="55" t="s">
        <v>54</v>
      </c>
      <c r="N13" s="56" t="s">
        <v>107</v>
      </c>
    </row>
    <row r="14" spans="1:14" ht="67.5">
      <c r="A14" s="71"/>
      <c r="B14" s="72"/>
      <c r="C14" s="69"/>
      <c r="D14" s="52" t="s">
        <v>105</v>
      </c>
      <c r="E14" s="52" t="s">
        <v>106</v>
      </c>
      <c r="F14" s="53" t="s">
        <v>53</v>
      </c>
      <c r="G14" s="53">
        <v>24</v>
      </c>
      <c r="H14" s="53">
        <f t="shared" ref="H14:H16" si="3" xml:space="preserve"> G14 * 1.118</f>
        <v>26.832000000000001</v>
      </c>
      <c r="I14" s="53">
        <v>56</v>
      </c>
      <c r="J14" s="54">
        <f xml:space="preserve"> 32 + 24</f>
        <v>56</v>
      </c>
      <c r="K14" s="36">
        <f t="shared" ref="K14:K16" si="4">SUM(I14,-J14)</f>
        <v>0</v>
      </c>
      <c r="L14" s="53">
        <f t="shared" ref="L14:L16" si="5">I14/G14</f>
        <v>2.3333333333333335</v>
      </c>
      <c r="M14" s="55" t="s">
        <v>54</v>
      </c>
      <c r="N14" s="56" t="s">
        <v>108</v>
      </c>
    </row>
    <row r="15" spans="1:14" ht="297">
      <c r="A15" s="71"/>
      <c r="B15" s="72"/>
      <c r="C15" s="69"/>
      <c r="D15" s="52" t="s">
        <v>168</v>
      </c>
      <c r="E15" s="52" t="s">
        <v>170</v>
      </c>
      <c r="F15" s="53" t="s">
        <v>50</v>
      </c>
      <c r="G15" s="53">
        <v>6</v>
      </c>
      <c r="H15" s="53">
        <f t="shared" ref="H15" si="6" xml:space="preserve"> G15 * 1.118</f>
        <v>6.7080000000000002</v>
      </c>
      <c r="I15" s="53">
        <v>24</v>
      </c>
      <c r="J15" s="54">
        <v>24</v>
      </c>
      <c r="K15" s="36">
        <f t="shared" ref="K15" si="7">SUM(I15,-J15)</f>
        <v>0</v>
      </c>
      <c r="L15" s="53">
        <f t="shared" ref="L15" si="8">I15/G15</f>
        <v>4</v>
      </c>
      <c r="M15" s="55" t="s">
        <v>54</v>
      </c>
      <c r="N15" s="56" t="s">
        <v>169</v>
      </c>
    </row>
    <row r="16" spans="1:14" ht="108">
      <c r="A16" s="71"/>
      <c r="B16" s="72"/>
      <c r="C16" s="69"/>
      <c r="D16" s="45" t="s">
        <v>166</v>
      </c>
      <c r="E16" s="45" t="s">
        <v>167</v>
      </c>
      <c r="F16" s="46" t="s">
        <v>50</v>
      </c>
      <c r="G16" s="46">
        <v>24</v>
      </c>
      <c r="H16" s="47">
        <f t="shared" si="3"/>
        <v>26.832000000000001</v>
      </c>
      <c r="I16" s="46">
        <v>24</v>
      </c>
      <c r="J16" s="48">
        <v>0</v>
      </c>
      <c r="K16" s="36">
        <f t="shared" si="4"/>
        <v>24</v>
      </c>
      <c r="L16" s="49">
        <f t="shared" si="5"/>
        <v>1</v>
      </c>
      <c r="M16" s="50" t="s">
        <v>54</v>
      </c>
      <c r="N16" s="51"/>
    </row>
    <row r="17" spans="1:14" ht="27">
      <c r="A17" s="71"/>
      <c r="B17" s="72"/>
      <c r="C17" s="69"/>
      <c r="D17" s="45" t="s">
        <v>55</v>
      </c>
      <c r="E17" s="45" t="s">
        <v>164</v>
      </c>
      <c r="F17" s="46" t="s">
        <v>56</v>
      </c>
      <c r="G17" s="46">
        <v>8</v>
      </c>
      <c r="H17" s="47">
        <f t="shared" si="0"/>
        <v>8.9440000000000008</v>
      </c>
      <c r="I17" s="46">
        <v>8</v>
      </c>
      <c r="J17" s="48">
        <v>0</v>
      </c>
      <c r="K17" s="36">
        <f t="shared" si="1"/>
        <v>8</v>
      </c>
      <c r="L17" s="49">
        <f t="shared" si="2"/>
        <v>1</v>
      </c>
      <c r="M17" s="50" t="s">
        <v>54</v>
      </c>
      <c r="N17" s="51"/>
    </row>
    <row r="18" spans="1:14" ht="94.5">
      <c r="A18" s="71"/>
      <c r="B18" s="72"/>
      <c r="C18" s="70"/>
      <c r="D18" s="52" t="s">
        <v>109</v>
      </c>
      <c r="E18" s="52" t="s">
        <v>165</v>
      </c>
      <c r="F18" s="53" t="s">
        <v>56</v>
      </c>
      <c r="G18" s="53">
        <v>16</v>
      </c>
      <c r="H18" s="53">
        <f t="shared" si="0"/>
        <v>17.888000000000002</v>
      </c>
      <c r="I18" s="53">
        <v>13.5</v>
      </c>
      <c r="J18" s="54">
        <v>13.5</v>
      </c>
      <c r="K18" s="36">
        <f t="shared" si="1"/>
        <v>0</v>
      </c>
      <c r="L18" s="53">
        <f t="shared" si="2"/>
        <v>0.84375</v>
      </c>
      <c r="M18" s="55" t="s">
        <v>54</v>
      </c>
      <c r="N18" s="56" t="s">
        <v>171</v>
      </c>
    </row>
    <row r="19" spans="1:14" ht="94.5">
      <c r="A19" s="71"/>
      <c r="B19" s="68" t="s">
        <v>211</v>
      </c>
      <c r="C19" s="68" t="s">
        <v>212</v>
      </c>
      <c r="D19" s="52" t="s">
        <v>113</v>
      </c>
      <c r="E19" s="52" t="s">
        <v>114</v>
      </c>
      <c r="F19" s="53" t="s">
        <v>56</v>
      </c>
      <c r="G19" s="53">
        <v>3</v>
      </c>
      <c r="H19" s="53">
        <f t="shared" si="0"/>
        <v>3.3540000000000001</v>
      </c>
      <c r="I19" s="53">
        <v>4</v>
      </c>
      <c r="J19" s="54">
        <v>4</v>
      </c>
      <c r="K19" s="36">
        <f t="shared" si="1"/>
        <v>0</v>
      </c>
      <c r="L19" s="53">
        <f t="shared" si="2"/>
        <v>1.3333333333333333</v>
      </c>
      <c r="M19" s="55" t="s">
        <v>54</v>
      </c>
      <c r="N19" s="56" t="s">
        <v>197</v>
      </c>
    </row>
    <row r="20" spans="1:14" ht="94.5">
      <c r="A20" s="71"/>
      <c r="B20" s="69"/>
      <c r="C20" s="69"/>
      <c r="D20" s="52" t="s">
        <v>115</v>
      </c>
      <c r="E20" s="52" t="s">
        <v>116</v>
      </c>
      <c r="F20" s="53" t="s">
        <v>50</v>
      </c>
      <c r="G20" s="53">
        <v>3</v>
      </c>
      <c r="H20" s="53">
        <f t="shared" ref="H20:H31" si="9" xml:space="preserve"> G20 * 1.118</f>
        <v>3.3540000000000001</v>
      </c>
      <c r="I20" s="53">
        <v>1</v>
      </c>
      <c r="J20" s="54">
        <v>1</v>
      </c>
      <c r="K20" s="36">
        <f t="shared" ref="K20:K31" si="10">SUM(I20,-J20)</f>
        <v>0</v>
      </c>
      <c r="L20" s="53">
        <f t="shared" ref="L20:L31" si="11">I20/G20</f>
        <v>0.33333333333333331</v>
      </c>
      <c r="M20" s="55" t="s">
        <v>54</v>
      </c>
      <c r="N20" s="56" t="s">
        <v>107</v>
      </c>
    </row>
    <row r="21" spans="1:14" ht="94.5">
      <c r="A21" s="71"/>
      <c r="B21" s="69"/>
      <c r="C21" s="69"/>
      <c r="D21" s="52" t="s">
        <v>117</v>
      </c>
      <c r="E21" s="52" t="s">
        <v>118</v>
      </c>
      <c r="F21" s="53" t="s">
        <v>50</v>
      </c>
      <c r="G21" s="53">
        <v>3</v>
      </c>
      <c r="H21" s="53">
        <f t="shared" si="9"/>
        <v>3.3540000000000001</v>
      </c>
      <c r="I21" s="53">
        <v>0.1</v>
      </c>
      <c r="J21" s="54">
        <v>0.1</v>
      </c>
      <c r="K21" s="36">
        <f t="shared" si="10"/>
        <v>0</v>
      </c>
      <c r="L21" s="53">
        <f t="shared" si="11"/>
        <v>3.3333333333333333E-2</v>
      </c>
      <c r="M21" s="55" t="s">
        <v>54</v>
      </c>
      <c r="N21" s="56" t="s">
        <v>198</v>
      </c>
    </row>
    <row r="22" spans="1:14" ht="94.5">
      <c r="A22" s="71"/>
      <c r="B22" s="69"/>
      <c r="C22" s="69"/>
      <c r="D22" s="52" t="s">
        <v>119</v>
      </c>
      <c r="E22" s="52" t="s">
        <v>120</v>
      </c>
      <c r="F22" s="53" t="s">
        <v>50</v>
      </c>
      <c r="G22" s="53">
        <v>3</v>
      </c>
      <c r="H22" s="53">
        <f t="shared" si="9"/>
        <v>3.3540000000000001</v>
      </c>
      <c r="I22" s="53">
        <v>1.4</v>
      </c>
      <c r="J22" s="54">
        <v>1.4</v>
      </c>
      <c r="K22" s="36">
        <f t="shared" si="10"/>
        <v>0</v>
      </c>
      <c r="L22" s="53">
        <f t="shared" si="11"/>
        <v>0.46666666666666662</v>
      </c>
      <c r="M22" s="55" t="s">
        <v>54</v>
      </c>
      <c r="N22" s="56" t="s">
        <v>199</v>
      </c>
    </row>
    <row r="23" spans="1:14" ht="94.5">
      <c r="A23" s="71"/>
      <c r="B23" s="69"/>
      <c r="C23" s="69"/>
      <c r="D23" s="52" t="s">
        <v>121</v>
      </c>
      <c r="E23" s="52" t="s">
        <v>122</v>
      </c>
      <c r="F23" s="53" t="s">
        <v>50</v>
      </c>
      <c r="G23" s="53">
        <v>3</v>
      </c>
      <c r="H23" s="53">
        <f t="shared" si="9"/>
        <v>3.3540000000000001</v>
      </c>
      <c r="I23" s="53">
        <v>1.5</v>
      </c>
      <c r="J23" s="54">
        <v>1.5</v>
      </c>
      <c r="K23" s="36">
        <f t="shared" si="10"/>
        <v>0</v>
      </c>
      <c r="L23" s="53">
        <f t="shared" si="11"/>
        <v>0.5</v>
      </c>
      <c r="M23" s="55" t="s">
        <v>54</v>
      </c>
      <c r="N23" s="56" t="s">
        <v>200</v>
      </c>
    </row>
    <row r="24" spans="1:14" ht="94.5">
      <c r="A24" s="71"/>
      <c r="B24" s="69"/>
      <c r="C24" s="69"/>
      <c r="D24" s="52" t="s">
        <v>111</v>
      </c>
      <c r="E24" s="52" t="s">
        <v>123</v>
      </c>
      <c r="F24" s="53" t="s">
        <v>50</v>
      </c>
      <c r="G24" s="53">
        <v>3</v>
      </c>
      <c r="H24" s="53">
        <f t="shared" si="9"/>
        <v>3.3540000000000001</v>
      </c>
      <c r="I24" s="53">
        <v>0.5</v>
      </c>
      <c r="J24" s="54">
        <v>0.5</v>
      </c>
      <c r="K24" s="36">
        <f t="shared" si="10"/>
        <v>0</v>
      </c>
      <c r="L24" s="53">
        <f t="shared" si="11"/>
        <v>0.16666666666666666</v>
      </c>
      <c r="M24" s="55" t="s">
        <v>54</v>
      </c>
      <c r="N24" s="56" t="s">
        <v>201</v>
      </c>
    </row>
    <row r="25" spans="1:14" ht="94.5">
      <c r="A25" s="71"/>
      <c r="B25" s="69"/>
      <c r="C25" s="69"/>
      <c r="D25" s="52" t="s">
        <v>124</v>
      </c>
      <c r="E25" s="52" t="s">
        <v>125</v>
      </c>
      <c r="F25" s="53" t="s">
        <v>50</v>
      </c>
      <c r="G25" s="53">
        <v>3</v>
      </c>
      <c r="H25" s="53">
        <f t="shared" si="9"/>
        <v>3.3540000000000001</v>
      </c>
      <c r="I25" s="53">
        <v>1</v>
      </c>
      <c r="J25" s="54">
        <v>1</v>
      </c>
      <c r="K25" s="36">
        <f t="shared" si="10"/>
        <v>0</v>
      </c>
      <c r="L25" s="53">
        <f t="shared" si="11"/>
        <v>0.33333333333333331</v>
      </c>
      <c r="M25" s="55" t="s">
        <v>54</v>
      </c>
      <c r="N25" s="56" t="s">
        <v>107</v>
      </c>
    </row>
    <row r="26" spans="1:14" ht="94.5">
      <c r="A26" s="71"/>
      <c r="B26" s="69"/>
      <c r="C26" s="69"/>
      <c r="D26" s="52" t="s">
        <v>203</v>
      </c>
      <c r="E26" s="52" t="s">
        <v>126</v>
      </c>
      <c r="F26" s="53" t="s">
        <v>50</v>
      </c>
      <c r="G26" s="53">
        <v>3</v>
      </c>
      <c r="H26" s="53">
        <f t="shared" si="9"/>
        <v>3.3540000000000001</v>
      </c>
      <c r="I26" s="53">
        <v>2.5</v>
      </c>
      <c r="J26" s="54">
        <v>2.5</v>
      </c>
      <c r="K26" s="36">
        <f t="shared" si="10"/>
        <v>0</v>
      </c>
      <c r="L26" s="53">
        <f t="shared" si="11"/>
        <v>0.83333333333333337</v>
      </c>
      <c r="M26" s="55" t="s">
        <v>54</v>
      </c>
      <c r="N26" s="56" t="s">
        <v>202</v>
      </c>
    </row>
    <row r="27" spans="1:14" ht="108">
      <c r="A27" s="71"/>
      <c r="B27" s="69"/>
      <c r="C27" s="69"/>
      <c r="D27" s="52" t="s">
        <v>127</v>
      </c>
      <c r="E27" s="52" t="s">
        <v>128</v>
      </c>
      <c r="F27" s="53" t="s">
        <v>50</v>
      </c>
      <c r="G27" s="53">
        <v>3</v>
      </c>
      <c r="H27" s="53">
        <f t="shared" si="9"/>
        <v>3.3540000000000001</v>
      </c>
      <c r="I27" s="53">
        <v>2</v>
      </c>
      <c r="J27" s="54">
        <v>2</v>
      </c>
      <c r="K27" s="36">
        <f t="shared" si="10"/>
        <v>0</v>
      </c>
      <c r="L27" s="53">
        <f t="shared" si="11"/>
        <v>0.66666666666666663</v>
      </c>
      <c r="M27" s="55" t="s">
        <v>54</v>
      </c>
      <c r="N27" s="56" t="s">
        <v>204</v>
      </c>
    </row>
    <row r="28" spans="1:14" ht="94.5">
      <c r="A28" s="71"/>
      <c r="B28" s="69"/>
      <c r="C28" s="69"/>
      <c r="D28" s="52" t="s">
        <v>129</v>
      </c>
      <c r="E28" s="52" t="s">
        <v>130</v>
      </c>
      <c r="F28" s="53" t="s">
        <v>50</v>
      </c>
      <c r="G28" s="53">
        <v>3</v>
      </c>
      <c r="H28" s="53">
        <f t="shared" si="9"/>
        <v>3.3540000000000001</v>
      </c>
      <c r="I28" s="53">
        <v>0.5</v>
      </c>
      <c r="J28" s="54">
        <v>0.5</v>
      </c>
      <c r="K28" s="36">
        <f t="shared" si="10"/>
        <v>0</v>
      </c>
      <c r="L28" s="53">
        <f t="shared" si="11"/>
        <v>0.16666666666666666</v>
      </c>
      <c r="M28" s="55" t="s">
        <v>54</v>
      </c>
      <c r="N28" s="56" t="s">
        <v>205</v>
      </c>
    </row>
    <row r="29" spans="1:14" ht="94.5">
      <c r="A29" s="71"/>
      <c r="B29" s="69"/>
      <c r="C29" s="69"/>
      <c r="D29" s="52" t="s">
        <v>131</v>
      </c>
      <c r="E29" s="52" t="s">
        <v>132</v>
      </c>
      <c r="F29" s="53" t="s">
        <v>50</v>
      </c>
      <c r="G29" s="53">
        <v>3</v>
      </c>
      <c r="H29" s="53">
        <f t="shared" si="9"/>
        <v>3.3540000000000001</v>
      </c>
      <c r="I29" s="53">
        <v>1</v>
      </c>
      <c r="J29" s="54">
        <v>1</v>
      </c>
      <c r="K29" s="36">
        <f t="shared" si="10"/>
        <v>0</v>
      </c>
      <c r="L29" s="53">
        <f t="shared" si="11"/>
        <v>0.33333333333333331</v>
      </c>
      <c r="M29" s="55" t="s">
        <v>54</v>
      </c>
      <c r="N29" s="56" t="s">
        <v>206</v>
      </c>
    </row>
    <row r="30" spans="1:14" ht="94.5">
      <c r="A30" s="71"/>
      <c r="B30" s="69"/>
      <c r="C30" s="69"/>
      <c r="D30" s="52" t="s">
        <v>133</v>
      </c>
      <c r="E30" s="52" t="s">
        <v>134</v>
      </c>
      <c r="F30" s="53" t="s">
        <v>50</v>
      </c>
      <c r="G30" s="53">
        <v>3</v>
      </c>
      <c r="H30" s="53">
        <f t="shared" si="9"/>
        <v>3.3540000000000001</v>
      </c>
      <c r="I30" s="53">
        <v>3.25</v>
      </c>
      <c r="J30" s="54">
        <v>3.25</v>
      </c>
      <c r="K30" s="36">
        <f t="shared" si="10"/>
        <v>0</v>
      </c>
      <c r="L30" s="53">
        <f t="shared" si="11"/>
        <v>1.0833333333333333</v>
      </c>
      <c r="M30" s="55" t="s">
        <v>54</v>
      </c>
      <c r="N30" s="56" t="s">
        <v>107</v>
      </c>
    </row>
    <row r="31" spans="1:14" ht="94.5">
      <c r="A31" s="71"/>
      <c r="B31" s="69"/>
      <c r="C31" s="69"/>
      <c r="D31" s="52" t="s">
        <v>135</v>
      </c>
      <c r="E31" s="52" t="s">
        <v>136</v>
      </c>
      <c r="F31" s="53" t="s">
        <v>50</v>
      </c>
      <c r="G31" s="53">
        <v>3</v>
      </c>
      <c r="H31" s="53">
        <f t="shared" si="9"/>
        <v>3.3540000000000001</v>
      </c>
      <c r="I31" s="53">
        <v>0.25</v>
      </c>
      <c r="J31" s="54">
        <v>0.25</v>
      </c>
      <c r="K31" s="36">
        <f t="shared" si="10"/>
        <v>0</v>
      </c>
      <c r="L31" s="53">
        <f t="shared" si="11"/>
        <v>8.3333333333333329E-2</v>
      </c>
      <c r="M31" s="55" t="s">
        <v>54</v>
      </c>
      <c r="N31" s="56" t="s">
        <v>207</v>
      </c>
    </row>
    <row r="32" spans="1:14" ht="81">
      <c r="A32" s="71"/>
      <c r="B32" s="69"/>
      <c r="C32" s="69"/>
      <c r="D32" s="52" t="s">
        <v>110</v>
      </c>
      <c r="E32" s="52" t="s">
        <v>137</v>
      </c>
      <c r="F32" s="53" t="s">
        <v>56</v>
      </c>
      <c r="G32" s="53">
        <v>24</v>
      </c>
      <c r="H32" s="53">
        <f t="shared" si="0"/>
        <v>26.832000000000001</v>
      </c>
      <c r="I32" s="53">
        <v>25</v>
      </c>
      <c r="J32" s="54">
        <v>25</v>
      </c>
      <c r="K32" s="36">
        <f t="shared" si="1"/>
        <v>0</v>
      </c>
      <c r="L32" s="53">
        <f t="shared" si="2"/>
        <v>1.0416666666666667</v>
      </c>
      <c r="M32" s="55" t="s">
        <v>54</v>
      </c>
      <c r="N32" s="56" t="s">
        <v>209</v>
      </c>
    </row>
    <row r="33" spans="1:14" ht="67.5">
      <c r="A33" s="71"/>
      <c r="B33" s="69"/>
      <c r="C33" s="69"/>
      <c r="D33" s="61" t="s">
        <v>138</v>
      </c>
      <c r="E33" s="61" t="s">
        <v>139</v>
      </c>
      <c r="F33" s="62" t="s">
        <v>50</v>
      </c>
      <c r="G33" s="62">
        <v>4</v>
      </c>
      <c r="H33" s="62">
        <f t="shared" ref="H33" si="12" xml:space="preserve"> G33 * 1.118</f>
        <v>4.4720000000000004</v>
      </c>
      <c r="I33" s="62">
        <v>10</v>
      </c>
      <c r="J33" s="63">
        <v>2</v>
      </c>
      <c r="K33" s="64">
        <f t="shared" ref="K33" si="13">SUM(I33,-J33)</f>
        <v>8</v>
      </c>
      <c r="L33" s="62">
        <f t="shared" ref="L33" si="14">I33/G33</f>
        <v>2.5</v>
      </c>
      <c r="M33" s="65" t="s">
        <v>54</v>
      </c>
      <c r="N33" s="66"/>
    </row>
    <row r="34" spans="1:14" ht="67.5">
      <c r="A34" s="71"/>
      <c r="B34" s="69"/>
      <c r="C34" s="69"/>
      <c r="D34" s="45" t="s">
        <v>112</v>
      </c>
      <c r="E34" s="45" t="s">
        <v>140</v>
      </c>
      <c r="F34" s="67" t="s">
        <v>50</v>
      </c>
      <c r="G34" s="67">
        <v>4</v>
      </c>
      <c r="H34" s="47">
        <f t="shared" ref="H34" si="15" xml:space="preserve"> G34 * 1.118</f>
        <v>4.4720000000000004</v>
      </c>
      <c r="I34" s="67">
        <v>4</v>
      </c>
      <c r="J34" s="48">
        <v>0</v>
      </c>
      <c r="K34" s="36">
        <f t="shared" ref="K34" si="16">SUM(I34,-J34)</f>
        <v>4</v>
      </c>
      <c r="L34" s="49">
        <f t="shared" ref="L34" si="17">I34/G34</f>
        <v>1</v>
      </c>
      <c r="M34" s="50" t="s">
        <v>54</v>
      </c>
      <c r="N34" s="51"/>
    </row>
    <row r="35" spans="1:14" ht="67.5">
      <c r="A35" s="71"/>
      <c r="B35" s="69"/>
      <c r="C35" s="69"/>
      <c r="D35" s="45" t="s">
        <v>141</v>
      </c>
      <c r="E35" s="45" t="s">
        <v>142</v>
      </c>
      <c r="F35" s="67" t="s">
        <v>50</v>
      </c>
      <c r="G35" s="67">
        <v>4</v>
      </c>
      <c r="H35" s="47">
        <f t="shared" ref="H35:H53" si="18" xml:space="preserve"> G35 * 1.118</f>
        <v>4.4720000000000004</v>
      </c>
      <c r="I35" s="67">
        <v>4</v>
      </c>
      <c r="J35" s="48">
        <v>0</v>
      </c>
      <c r="K35" s="36">
        <f t="shared" ref="K35:K53" si="19">SUM(I35,-J35)</f>
        <v>4</v>
      </c>
      <c r="L35" s="49">
        <f t="shared" ref="L35:L53" si="20">I35/G35</f>
        <v>1</v>
      </c>
      <c r="M35" s="50" t="s">
        <v>54</v>
      </c>
      <c r="N35" s="51"/>
    </row>
    <row r="36" spans="1:14" ht="67.5">
      <c r="A36" s="71"/>
      <c r="B36" s="69"/>
      <c r="C36" s="69"/>
      <c r="D36" s="45" t="s">
        <v>143</v>
      </c>
      <c r="E36" s="45" t="s">
        <v>144</v>
      </c>
      <c r="F36" s="67" t="s">
        <v>50</v>
      </c>
      <c r="G36" s="67">
        <v>4</v>
      </c>
      <c r="H36" s="47">
        <f t="shared" si="18"/>
        <v>4.4720000000000004</v>
      </c>
      <c r="I36" s="67">
        <v>4</v>
      </c>
      <c r="J36" s="48">
        <v>0</v>
      </c>
      <c r="K36" s="36">
        <f t="shared" si="19"/>
        <v>4</v>
      </c>
      <c r="L36" s="49">
        <f t="shared" si="20"/>
        <v>1</v>
      </c>
      <c r="M36" s="50" t="s">
        <v>54</v>
      </c>
      <c r="N36" s="51"/>
    </row>
    <row r="37" spans="1:14" ht="67.5">
      <c r="A37" s="71"/>
      <c r="B37" s="69"/>
      <c r="C37" s="69"/>
      <c r="D37" s="45" t="s">
        <v>145</v>
      </c>
      <c r="E37" s="45" t="s">
        <v>146</v>
      </c>
      <c r="F37" s="46" t="s">
        <v>50</v>
      </c>
      <c r="G37" s="46">
        <v>4</v>
      </c>
      <c r="H37" s="47">
        <f t="shared" si="18"/>
        <v>4.4720000000000004</v>
      </c>
      <c r="I37" s="46">
        <v>4</v>
      </c>
      <c r="J37" s="48">
        <v>0</v>
      </c>
      <c r="K37" s="36">
        <f t="shared" si="19"/>
        <v>4</v>
      </c>
      <c r="L37" s="49">
        <f t="shared" si="20"/>
        <v>1</v>
      </c>
      <c r="M37" s="50" t="s">
        <v>54</v>
      </c>
      <c r="N37" s="51"/>
    </row>
    <row r="38" spans="1:14" ht="67.5">
      <c r="A38" s="71"/>
      <c r="B38" s="69"/>
      <c r="C38" s="69"/>
      <c r="D38" s="45" t="s">
        <v>147</v>
      </c>
      <c r="E38" s="45" t="s">
        <v>148</v>
      </c>
      <c r="F38" s="46" t="s">
        <v>50</v>
      </c>
      <c r="G38" s="46">
        <v>4</v>
      </c>
      <c r="H38" s="47">
        <f t="shared" si="18"/>
        <v>4.4720000000000004</v>
      </c>
      <c r="I38" s="46">
        <v>4</v>
      </c>
      <c r="J38" s="48">
        <v>0</v>
      </c>
      <c r="K38" s="36">
        <f t="shared" si="19"/>
        <v>4</v>
      </c>
      <c r="L38" s="49">
        <f t="shared" si="20"/>
        <v>1</v>
      </c>
      <c r="M38" s="50" t="s">
        <v>54</v>
      </c>
      <c r="N38" s="51"/>
    </row>
    <row r="39" spans="1:14" ht="67.5">
      <c r="A39" s="71"/>
      <c r="B39" s="69"/>
      <c r="C39" s="69"/>
      <c r="D39" s="45" t="s">
        <v>149</v>
      </c>
      <c r="E39" s="45" t="s">
        <v>150</v>
      </c>
      <c r="F39" s="46" t="s">
        <v>50</v>
      </c>
      <c r="G39" s="46">
        <v>4</v>
      </c>
      <c r="H39" s="47">
        <f t="shared" si="18"/>
        <v>4.4720000000000004</v>
      </c>
      <c r="I39" s="46">
        <v>4</v>
      </c>
      <c r="J39" s="48">
        <v>0</v>
      </c>
      <c r="K39" s="36">
        <f t="shared" si="19"/>
        <v>4</v>
      </c>
      <c r="L39" s="49">
        <f t="shared" si="20"/>
        <v>1</v>
      </c>
      <c r="M39" s="50" t="s">
        <v>54</v>
      </c>
      <c r="N39" s="51"/>
    </row>
    <row r="40" spans="1:14" ht="67.5">
      <c r="A40" s="71"/>
      <c r="B40" s="69"/>
      <c r="C40" s="69"/>
      <c r="D40" s="45" t="s">
        <v>151</v>
      </c>
      <c r="E40" s="45" t="s">
        <v>152</v>
      </c>
      <c r="F40" s="46" t="s">
        <v>50</v>
      </c>
      <c r="G40" s="46">
        <v>4</v>
      </c>
      <c r="H40" s="47">
        <f t="shared" si="18"/>
        <v>4.4720000000000004</v>
      </c>
      <c r="I40" s="46">
        <v>4</v>
      </c>
      <c r="J40" s="48">
        <v>0</v>
      </c>
      <c r="K40" s="36">
        <f t="shared" si="19"/>
        <v>4</v>
      </c>
      <c r="L40" s="49">
        <f t="shared" si="20"/>
        <v>1</v>
      </c>
      <c r="M40" s="50" t="s">
        <v>54</v>
      </c>
      <c r="N40" s="51"/>
    </row>
    <row r="41" spans="1:14" ht="81">
      <c r="A41" s="71"/>
      <c r="B41" s="69"/>
      <c r="C41" s="69"/>
      <c r="D41" s="45" t="s">
        <v>153</v>
      </c>
      <c r="E41" s="45" t="s">
        <v>154</v>
      </c>
      <c r="F41" s="46" t="s">
        <v>50</v>
      </c>
      <c r="G41" s="46">
        <v>4</v>
      </c>
      <c r="H41" s="47">
        <f t="shared" si="18"/>
        <v>4.4720000000000004</v>
      </c>
      <c r="I41" s="46">
        <v>4</v>
      </c>
      <c r="J41" s="48">
        <v>0</v>
      </c>
      <c r="K41" s="36">
        <f t="shared" si="19"/>
        <v>4</v>
      </c>
      <c r="L41" s="49">
        <f t="shared" si="20"/>
        <v>1</v>
      </c>
      <c r="M41" s="50" t="s">
        <v>54</v>
      </c>
      <c r="N41" s="51"/>
    </row>
    <row r="42" spans="1:14" ht="67.5">
      <c r="A42" s="71"/>
      <c r="B42" s="69"/>
      <c r="C42" s="69"/>
      <c r="D42" s="45" t="s">
        <v>155</v>
      </c>
      <c r="E42" s="45" t="s">
        <v>156</v>
      </c>
      <c r="F42" s="46" t="s">
        <v>50</v>
      </c>
      <c r="G42" s="46">
        <v>4</v>
      </c>
      <c r="H42" s="47">
        <f t="shared" si="18"/>
        <v>4.4720000000000004</v>
      </c>
      <c r="I42" s="46">
        <v>4</v>
      </c>
      <c r="J42" s="48">
        <v>0</v>
      </c>
      <c r="K42" s="36">
        <f t="shared" si="19"/>
        <v>4</v>
      </c>
      <c r="L42" s="49">
        <f t="shared" si="20"/>
        <v>1</v>
      </c>
      <c r="M42" s="50" t="s">
        <v>54</v>
      </c>
      <c r="N42" s="51"/>
    </row>
    <row r="43" spans="1:14" ht="67.5">
      <c r="A43" s="71"/>
      <c r="B43" s="69"/>
      <c r="C43" s="69"/>
      <c r="D43" s="45" t="s">
        <v>157</v>
      </c>
      <c r="E43" s="45" t="s">
        <v>158</v>
      </c>
      <c r="F43" s="46" t="s">
        <v>50</v>
      </c>
      <c r="G43" s="46">
        <v>4</v>
      </c>
      <c r="H43" s="47">
        <f t="shared" si="18"/>
        <v>4.4720000000000004</v>
      </c>
      <c r="I43" s="46">
        <v>4</v>
      </c>
      <c r="J43" s="48">
        <v>0</v>
      </c>
      <c r="K43" s="36">
        <f t="shared" si="19"/>
        <v>4</v>
      </c>
      <c r="L43" s="49">
        <f t="shared" si="20"/>
        <v>1</v>
      </c>
      <c r="M43" s="50" t="s">
        <v>54</v>
      </c>
      <c r="N43" s="51"/>
    </row>
    <row r="44" spans="1:14" ht="67.5">
      <c r="A44" s="71"/>
      <c r="B44" s="69"/>
      <c r="C44" s="69"/>
      <c r="D44" s="45" t="s">
        <v>159</v>
      </c>
      <c r="E44" s="45" t="s">
        <v>160</v>
      </c>
      <c r="F44" s="46" t="s">
        <v>50</v>
      </c>
      <c r="G44" s="46">
        <v>4</v>
      </c>
      <c r="H44" s="47">
        <f t="shared" si="18"/>
        <v>4.4720000000000004</v>
      </c>
      <c r="I44" s="46">
        <v>4</v>
      </c>
      <c r="J44" s="48">
        <v>0</v>
      </c>
      <c r="K44" s="36">
        <f t="shared" si="19"/>
        <v>4</v>
      </c>
      <c r="L44" s="49">
        <f t="shared" si="20"/>
        <v>1</v>
      </c>
      <c r="M44" s="50" t="s">
        <v>54</v>
      </c>
      <c r="N44" s="51"/>
    </row>
    <row r="45" spans="1:14" ht="67.5">
      <c r="A45" s="71"/>
      <c r="B45" s="70"/>
      <c r="C45" s="70"/>
      <c r="D45" s="45" t="s">
        <v>161</v>
      </c>
      <c r="E45" s="45" t="s">
        <v>162</v>
      </c>
      <c r="F45" s="46" t="s">
        <v>50</v>
      </c>
      <c r="G45" s="46">
        <v>4</v>
      </c>
      <c r="H45" s="47">
        <f t="shared" si="18"/>
        <v>4.4720000000000004</v>
      </c>
      <c r="I45" s="46">
        <v>4</v>
      </c>
      <c r="J45" s="48">
        <v>0</v>
      </c>
      <c r="K45" s="36">
        <f t="shared" si="19"/>
        <v>4</v>
      </c>
      <c r="L45" s="49">
        <f t="shared" si="20"/>
        <v>1</v>
      </c>
      <c r="M45" s="50" t="s">
        <v>54</v>
      </c>
      <c r="N45" s="51"/>
    </row>
    <row r="46" spans="1:14" ht="81">
      <c r="A46" s="57"/>
      <c r="B46" s="68" t="s">
        <v>192</v>
      </c>
      <c r="C46" s="68" t="s">
        <v>193</v>
      </c>
      <c r="D46" s="60" t="s">
        <v>172</v>
      </c>
      <c r="E46" s="61" t="s">
        <v>173</v>
      </c>
      <c r="F46" s="62" t="s">
        <v>174</v>
      </c>
      <c r="G46" s="62">
        <v>6</v>
      </c>
      <c r="H46" s="62">
        <f t="shared" si="18"/>
        <v>6.7080000000000002</v>
      </c>
      <c r="I46" s="62">
        <v>2.5</v>
      </c>
      <c r="J46" s="63">
        <v>2.5</v>
      </c>
      <c r="K46" s="64">
        <f t="shared" si="19"/>
        <v>0</v>
      </c>
      <c r="L46" s="62">
        <f t="shared" si="20"/>
        <v>0.41666666666666669</v>
      </c>
      <c r="M46" s="65" t="s">
        <v>175</v>
      </c>
      <c r="N46" s="66" t="s">
        <v>195</v>
      </c>
    </row>
    <row r="47" spans="1:14" ht="81">
      <c r="A47" s="57"/>
      <c r="B47" s="69"/>
      <c r="C47" s="69"/>
      <c r="D47" s="59" t="s">
        <v>176</v>
      </c>
      <c r="E47" s="45" t="s">
        <v>177</v>
      </c>
      <c r="F47" s="58" t="s">
        <v>174</v>
      </c>
      <c r="G47" s="58">
        <v>6</v>
      </c>
      <c r="H47" s="47">
        <f t="shared" si="18"/>
        <v>6.7080000000000002</v>
      </c>
      <c r="I47" s="58">
        <v>6</v>
      </c>
      <c r="J47" s="48">
        <v>0</v>
      </c>
      <c r="K47" s="36">
        <f t="shared" si="19"/>
        <v>6</v>
      </c>
      <c r="L47" s="49">
        <f t="shared" si="20"/>
        <v>1</v>
      </c>
      <c r="M47" s="50" t="s">
        <v>175</v>
      </c>
      <c r="N47" s="51"/>
    </row>
    <row r="48" spans="1:14" ht="81">
      <c r="A48" s="57"/>
      <c r="B48" s="69"/>
      <c r="C48" s="69"/>
      <c r="D48" s="60" t="s">
        <v>178</v>
      </c>
      <c r="E48" s="61" t="s">
        <v>179</v>
      </c>
      <c r="F48" s="62" t="s">
        <v>174</v>
      </c>
      <c r="G48" s="62">
        <v>6</v>
      </c>
      <c r="H48" s="62">
        <f t="shared" si="18"/>
        <v>6.7080000000000002</v>
      </c>
      <c r="I48" s="62">
        <v>6</v>
      </c>
      <c r="J48" s="63">
        <v>3</v>
      </c>
      <c r="K48" s="64">
        <f t="shared" si="19"/>
        <v>3</v>
      </c>
      <c r="L48" s="62">
        <f t="shared" si="20"/>
        <v>1</v>
      </c>
      <c r="M48" s="65" t="s">
        <v>54</v>
      </c>
      <c r="N48" s="66" t="s">
        <v>194</v>
      </c>
    </row>
    <row r="49" spans="1:14" ht="81">
      <c r="A49" s="57"/>
      <c r="B49" s="69"/>
      <c r="C49" s="69"/>
      <c r="D49" s="59" t="s">
        <v>180</v>
      </c>
      <c r="E49" s="45" t="s">
        <v>181</v>
      </c>
      <c r="F49" s="58" t="s">
        <v>182</v>
      </c>
      <c r="G49" s="58">
        <v>4</v>
      </c>
      <c r="H49" s="47">
        <f t="shared" si="18"/>
        <v>4.4720000000000004</v>
      </c>
      <c r="I49" s="58">
        <v>4</v>
      </c>
      <c r="J49" s="48">
        <v>0</v>
      </c>
      <c r="K49" s="36">
        <f t="shared" si="19"/>
        <v>4</v>
      </c>
      <c r="L49" s="49">
        <f t="shared" si="20"/>
        <v>1</v>
      </c>
      <c r="M49" s="50" t="s">
        <v>175</v>
      </c>
      <c r="N49" s="51"/>
    </row>
    <row r="50" spans="1:14" ht="67.5">
      <c r="A50" s="57"/>
      <c r="B50" s="69"/>
      <c r="C50" s="69"/>
      <c r="D50" s="60" t="s">
        <v>183</v>
      </c>
      <c r="E50" s="61" t="s">
        <v>184</v>
      </c>
      <c r="F50" s="62" t="s">
        <v>174</v>
      </c>
      <c r="G50" s="62">
        <v>2</v>
      </c>
      <c r="H50" s="62">
        <f t="shared" si="18"/>
        <v>2.2360000000000002</v>
      </c>
      <c r="I50" s="62">
        <v>4</v>
      </c>
      <c r="J50" s="63">
        <v>2</v>
      </c>
      <c r="K50" s="64">
        <f t="shared" si="19"/>
        <v>2</v>
      </c>
      <c r="L50" s="62">
        <f t="shared" si="20"/>
        <v>2</v>
      </c>
      <c r="M50" s="65" t="s">
        <v>54</v>
      </c>
      <c r="N50" s="66" t="s">
        <v>196</v>
      </c>
    </row>
    <row r="51" spans="1:14" ht="40.5">
      <c r="A51" s="57"/>
      <c r="B51" s="69"/>
      <c r="C51" s="69"/>
      <c r="D51" s="59" t="s">
        <v>185</v>
      </c>
      <c r="E51" s="45" t="s">
        <v>186</v>
      </c>
      <c r="F51" s="58" t="s">
        <v>174</v>
      </c>
      <c r="G51" s="58">
        <v>40</v>
      </c>
      <c r="H51" s="47">
        <f t="shared" si="18"/>
        <v>44.720000000000006</v>
      </c>
      <c r="I51" s="58">
        <v>40</v>
      </c>
      <c r="J51" s="48">
        <v>0</v>
      </c>
      <c r="K51" s="36">
        <f t="shared" si="19"/>
        <v>40</v>
      </c>
      <c r="L51" s="49">
        <f t="shared" si="20"/>
        <v>1</v>
      </c>
      <c r="M51" s="50" t="s">
        <v>175</v>
      </c>
      <c r="N51" s="51"/>
    </row>
    <row r="52" spans="1:14" ht="94.5">
      <c r="A52" s="57"/>
      <c r="B52" s="69"/>
      <c r="C52" s="69"/>
      <c r="D52" s="59" t="s">
        <v>187</v>
      </c>
      <c r="E52" s="45" t="s">
        <v>188</v>
      </c>
      <c r="F52" s="58" t="s">
        <v>189</v>
      </c>
      <c r="G52" s="58">
        <v>16</v>
      </c>
      <c r="H52" s="47">
        <f t="shared" si="18"/>
        <v>17.888000000000002</v>
      </c>
      <c r="I52" s="58">
        <v>4</v>
      </c>
      <c r="J52" s="48">
        <v>0</v>
      </c>
      <c r="K52" s="36">
        <f t="shared" si="19"/>
        <v>4</v>
      </c>
      <c r="L52" s="49">
        <f t="shared" si="20"/>
        <v>0.25</v>
      </c>
      <c r="M52" s="50" t="s">
        <v>54</v>
      </c>
      <c r="N52" s="51"/>
    </row>
    <row r="53" spans="1:14" ht="81">
      <c r="A53" s="57"/>
      <c r="B53" s="70"/>
      <c r="C53" s="70"/>
      <c r="D53" s="59" t="s">
        <v>190</v>
      </c>
      <c r="E53" s="45" t="s">
        <v>191</v>
      </c>
      <c r="F53" s="58" t="s">
        <v>174</v>
      </c>
      <c r="G53" s="58">
        <v>16</v>
      </c>
      <c r="H53" s="47">
        <f t="shared" si="18"/>
        <v>17.888000000000002</v>
      </c>
      <c r="I53" s="58">
        <v>4</v>
      </c>
      <c r="J53" s="48">
        <v>0</v>
      </c>
      <c r="K53" s="36">
        <f t="shared" si="19"/>
        <v>4</v>
      </c>
      <c r="L53" s="49">
        <f t="shared" si="20"/>
        <v>0.25</v>
      </c>
      <c r="M53" s="50" t="s">
        <v>175</v>
      </c>
      <c r="N53" s="51"/>
    </row>
    <row r="54" spans="1:14" ht="16.350000000000001" customHeight="1">
      <c r="A54" s="37" t="s">
        <v>19</v>
      </c>
      <c r="B54" s="38"/>
      <c r="C54" s="38"/>
      <c r="D54" s="38"/>
      <c r="E54" s="38"/>
      <c r="F54" s="39"/>
      <c r="G54" s="39">
        <f>SUM(G13:G45)</f>
        <v>217</v>
      </c>
      <c r="H54" s="39">
        <f>SUM(H13:H45)</f>
        <v>242.60600000000022</v>
      </c>
      <c r="I54" s="39">
        <f>SUM(I13:I45)</f>
        <v>243.5</v>
      </c>
      <c r="J54" s="39">
        <f>SUM(J13:J45)</f>
        <v>155.5</v>
      </c>
      <c r="K54" s="40">
        <f>SUM(K13:K45)</f>
        <v>88</v>
      </c>
      <c r="L54" s="39">
        <f>AVERAGE(L13:L45)</f>
        <v>0.96117424242424243</v>
      </c>
      <c r="M54" s="41"/>
      <c r="N54" s="38"/>
    </row>
    <row r="55" spans="1:14" ht="48" customHeight="1">
      <c r="A55" s="42" t="s">
        <v>20</v>
      </c>
      <c r="B55" s="38"/>
      <c r="C55" s="38"/>
      <c r="D55" s="38"/>
      <c r="E55" s="38"/>
      <c r="F55" s="39"/>
      <c r="G55" s="39">
        <f>SUM(G13:G45)</f>
        <v>217</v>
      </c>
      <c r="H55" s="39">
        <f>SUM(H13:H45)</f>
        <v>242.60600000000022</v>
      </c>
      <c r="I55" s="39">
        <f>SUM(I13:I45)</f>
        <v>243.5</v>
      </c>
      <c r="J55" s="39">
        <f>SUM(J13:J45)</f>
        <v>155.5</v>
      </c>
      <c r="K55" s="40">
        <f>SUM(K13:K45)</f>
        <v>88</v>
      </c>
      <c r="L55" s="39">
        <f>AVERAGE(L13:L45)</f>
        <v>0.96117424242424243</v>
      </c>
      <c r="M55" s="41"/>
      <c r="N55" s="38"/>
    </row>
    <row r="57" spans="1:14" ht="33">
      <c r="B57" s="3" t="s">
        <v>51</v>
      </c>
      <c r="K57" s="5" t="s">
        <v>2</v>
      </c>
      <c r="M57" s="6"/>
      <c r="N57" s="3" t="s">
        <v>1</v>
      </c>
    </row>
    <row r="58" spans="1:14" ht="33">
      <c r="M58" s="7"/>
      <c r="N58" s="3" t="s">
        <v>15</v>
      </c>
    </row>
    <row r="59" spans="1:14" ht="82.5">
      <c r="B59" s="4" t="s">
        <v>0</v>
      </c>
      <c r="C59" s="4"/>
      <c r="D59" s="3" t="s">
        <v>104</v>
      </c>
      <c r="M59" s="31"/>
      <c r="N59" s="3" t="s">
        <v>16</v>
      </c>
    </row>
    <row r="60" spans="1:14" ht="33">
      <c r="B60" s="4"/>
      <c r="C60" s="4"/>
      <c r="D60" s="16"/>
      <c r="E60" s="43"/>
      <c r="F60" s="9"/>
      <c r="K60" s="5" t="s">
        <v>8</v>
      </c>
      <c r="M60" s="8"/>
      <c r="N60" s="3" t="s">
        <v>9</v>
      </c>
    </row>
    <row r="61" spans="1:14" ht="33">
      <c r="D61" s="19"/>
      <c r="E61" s="44"/>
      <c r="F61" s="20"/>
      <c r="K61" s="5" t="s">
        <v>5</v>
      </c>
      <c r="M61" s="8"/>
      <c r="N61" s="3" t="s">
        <v>18</v>
      </c>
    </row>
    <row r="62" spans="1:14" ht="33">
      <c r="D62" s="17"/>
      <c r="E62" s="44"/>
      <c r="F62" s="18"/>
      <c r="M62" s="8"/>
      <c r="N62" s="3" t="s">
        <v>7</v>
      </c>
    </row>
    <row r="63" spans="1:14" ht="66">
      <c r="D63" s="19"/>
      <c r="E63" s="44"/>
      <c r="F63" s="18"/>
      <c r="M63" s="8"/>
      <c r="N63" s="3" t="s">
        <v>14</v>
      </c>
    </row>
    <row r="64" spans="1:14" ht="49.5">
      <c r="D64" s="4"/>
      <c r="E64" s="4"/>
      <c r="F64" s="4"/>
      <c r="M64" s="8"/>
      <c r="N64" s="3" t="s">
        <v>13</v>
      </c>
    </row>
  </sheetData>
  <autoFilter ref="A12:N54"/>
  <mergeCells count="7">
    <mergeCell ref="C46:C53"/>
    <mergeCell ref="B46:B53"/>
    <mergeCell ref="A13:A45"/>
    <mergeCell ref="B13:B18"/>
    <mergeCell ref="C13:C18"/>
    <mergeCell ref="B19:B45"/>
    <mergeCell ref="C19:C45"/>
  </mergeCells>
  <phoneticPr fontId="1" type="noConversion"/>
  <pageMargins left="0.39370078740157483" right="0.39370078740157483" top="0.39370078740157483" bottom="0.39370078740157483" header="0" footer="0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22"/>
  <sheetViews>
    <sheetView workbookViewId="0">
      <selection activeCell="C16" sqref="C16"/>
    </sheetView>
  </sheetViews>
  <sheetFormatPr defaultRowHeight="16.5"/>
  <cols>
    <col min="1" max="1" width="22.625" customWidth="1"/>
    <col min="2" max="2" width="35.375" customWidth="1"/>
    <col min="3" max="3" width="40.875" customWidth="1"/>
  </cols>
  <sheetData>
    <row r="1" spans="1:3">
      <c r="A1" s="10" t="s">
        <v>12</v>
      </c>
      <c r="B1" s="10" t="s">
        <v>34</v>
      </c>
      <c r="C1" s="10" t="s">
        <v>22</v>
      </c>
    </row>
    <row r="2" spans="1:3">
      <c r="A2" s="21" t="s">
        <v>11</v>
      </c>
      <c r="B2" s="22">
        <f>DATE(2016,1,1)</f>
        <v>42370</v>
      </c>
      <c r="C2" s="24"/>
    </row>
    <row r="3" spans="1:3">
      <c r="A3" s="21" t="s">
        <v>35</v>
      </c>
      <c r="B3" s="22">
        <f>DATE(2016,1,1)</f>
        <v>42370</v>
      </c>
      <c r="C3" s="24"/>
    </row>
    <row r="4" spans="1:3">
      <c r="A4" s="73"/>
      <c r="B4" s="23">
        <f>DATE(2016,1,1)</f>
        <v>42370</v>
      </c>
      <c r="C4" s="27" t="s">
        <v>49</v>
      </c>
    </row>
    <row r="5" spans="1:3">
      <c r="A5" s="73"/>
      <c r="B5" s="23">
        <f>DATE(2016,1,2)</f>
        <v>42371</v>
      </c>
      <c r="C5" s="27" t="s">
        <v>57</v>
      </c>
    </row>
    <row r="6" spans="1:3">
      <c r="A6" s="73"/>
      <c r="B6" s="23">
        <f>DATE(2016,1,3)</f>
        <v>42372</v>
      </c>
      <c r="C6" s="27" t="s">
        <v>58</v>
      </c>
    </row>
    <row r="7" spans="1:3">
      <c r="A7" s="73"/>
      <c r="B7" s="23">
        <f>DATE(2016,1,9)</f>
        <v>42378</v>
      </c>
      <c r="C7" s="27" t="s">
        <v>36</v>
      </c>
    </row>
    <row r="8" spans="1:3">
      <c r="A8" s="73"/>
      <c r="B8" s="23">
        <f>DATE(2016,1,10)</f>
        <v>42379</v>
      </c>
      <c r="C8" s="27" t="s">
        <v>37</v>
      </c>
    </row>
    <row r="9" spans="1:3">
      <c r="A9" s="73"/>
      <c r="B9" s="23">
        <f>DATE(2016,1,16)</f>
        <v>42385</v>
      </c>
      <c r="C9" s="27" t="s">
        <v>36</v>
      </c>
    </row>
    <row r="10" spans="1:3">
      <c r="A10" s="73"/>
      <c r="B10" s="23">
        <f>DATE(2016,1,17)</f>
        <v>42386</v>
      </c>
      <c r="C10" s="27" t="s">
        <v>59</v>
      </c>
    </row>
    <row r="11" spans="1:3">
      <c r="A11" s="73"/>
      <c r="B11" s="23">
        <f>DATE(2016,1,23)</f>
        <v>42392</v>
      </c>
      <c r="C11" s="27" t="s">
        <v>60</v>
      </c>
    </row>
    <row r="12" spans="1:3">
      <c r="A12" s="73"/>
      <c r="B12" s="23">
        <f>DATE(2016,1,24)</f>
        <v>42393</v>
      </c>
      <c r="C12" s="27" t="s">
        <v>61</v>
      </c>
    </row>
    <row r="13" spans="1:3">
      <c r="A13" s="73"/>
      <c r="B13" s="23">
        <f>DATE(2016,1,27)</f>
        <v>42396</v>
      </c>
      <c r="C13" s="27" t="s">
        <v>208</v>
      </c>
    </row>
    <row r="14" spans="1:3">
      <c r="A14" s="73"/>
      <c r="B14" s="23">
        <f>DATE(2016,1,30)</f>
        <v>42399</v>
      </c>
      <c r="C14" s="27" t="s">
        <v>62</v>
      </c>
    </row>
    <row r="15" spans="1:3">
      <c r="A15" s="73"/>
      <c r="B15" s="23">
        <f>DATE(2016,1,31)</f>
        <v>42400</v>
      </c>
      <c r="C15" s="27" t="s">
        <v>63</v>
      </c>
    </row>
    <row r="16" spans="1:3">
      <c r="A16" s="73"/>
      <c r="B16" s="23">
        <f>DATE(2016,2,2)</f>
        <v>42402</v>
      </c>
      <c r="C16" s="27" t="s">
        <v>210</v>
      </c>
    </row>
    <row r="17" spans="1:3">
      <c r="A17" s="73"/>
      <c r="B17" s="23">
        <f>DATE(2016,2,6)</f>
        <v>42406</v>
      </c>
      <c r="C17" s="27" t="s">
        <v>60</v>
      </c>
    </row>
    <row r="18" spans="1:3">
      <c r="A18" s="73"/>
      <c r="B18" s="23">
        <f>DATE(2016,2,7)</f>
        <v>42407</v>
      </c>
      <c r="C18" s="27" t="s">
        <v>64</v>
      </c>
    </row>
    <row r="19" spans="1:3">
      <c r="A19" s="73"/>
      <c r="B19" s="23">
        <f>DATE(2016,2,8)</f>
        <v>42408</v>
      </c>
      <c r="C19" s="27" t="s">
        <v>65</v>
      </c>
    </row>
    <row r="20" spans="1:3">
      <c r="A20" s="73"/>
      <c r="B20" s="23">
        <f>DATE(2016,2,9)</f>
        <v>42409</v>
      </c>
      <c r="C20" s="27" t="s">
        <v>66</v>
      </c>
    </row>
    <row r="21" spans="1:3">
      <c r="A21" s="73"/>
      <c r="B21" s="23">
        <f>DATE(2016,2,10)</f>
        <v>42410</v>
      </c>
      <c r="C21" s="27" t="s">
        <v>67</v>
      </c>
    </row>
    <row r="22" spans="1:3">
      <c r="A22" s="73"/>
      <c r="B22" s="23">
        <f>DATE(2016,2,13)</f>
        <v>42413</v>
      </c>
      <c r="C22" s="27" t="s">
        <v>68</v>
      </c>
    </row>
    <row r="23" spans="1:3">
      <c r="A23" s="73"/>
      <c r="B23" s="23">
        <f>DATE(2016,2,14)</f>
        <v>42414</v>
      </c>
      <c r="C23" s="27" t="s">
        <v>69</v>
      </c>
    </row>
    <row r="24" spans="1:3">
      <c r="A24" s="73"/>
      <c r="B24" s="23">
        <f>DATE(2016,2,20)</f>
        <v>42420</v>
      </c>
      <c r="C24" s="27" t="s">
        <v>60</v>
      </c>
    </row>
    <row r="25" spans="1:3">
      <c r="A25" s="73"/>
      <c r="B25" s="23">
        <f>DATE(2016,2,21)</f>
        <v>42421</v>
      </c>
      <c r="C25" s="27" t="s">
        <v>70</v>
      </c>
    </row>
    <row r="26" spans="1:3">
      <c r="A26" s="73"/>
      <c r="B26" s="23">
        <f>DATE(2016,2,27)</f>
        <v>42427</v>
      </c>
      <c r="C26" s="27" t="s">
        <v>71</v>
      </c>
    </row>
    <row r="27" spans="1:3">
      <c r="A27" s="73"/>
      <c r="B27" s="23">
        <f>DATE(2016,2,28)</f>
        <v>42428</v>
      </c>
      <c r="C27" s="27" t="s">
        <v>37</v>
      </c>
    </row>
    <row r="28" spans="1:3">
      <c r="A28" s="73"/>
      <c r="B28" s="23">
        <f>DATE(2016,3,1)</f>
        <v>42430</v>
      </c>
      <c r="C28" s="27" t="s">
        <v>72</v>
      </c>
    </row>
    <row r="29" spans="1:3">
      <c r="A29" s="73"/>
      <c r="B29" s="23">
        <f>DATE(2016,3,5)</f>
        <v>42434</v>
      </c>
      <c r="C29" s="27" t="s">
        <v>62</v>
      </c>
    </row>
    <row r="30" spans="1:3">
      <c r="A30" s="73"/>
      <c r="B30" s="23">
        <f>DATE(2016,3,6)</f>
        <v>42435</v>
      </c>
      <c r="C30" s="27" t="s">
        <v>58</v>
      </c>
    </row>
    <row r="31" spans="1:3">
      <c r="A31" s="73"/>
      <c r="B31" s="23">
        <f>DATE(2016,3,12)</f>
        <v>42441</v>
      </c>
      <c r="C31" s="27" t="s">
        <v>68</v>
      </c>
    </row>
    <row r="32" spans="1:3">
      <c r="A32" s="73"/>
      <c r="B32" s="23">
        <f>DATE(2016,3,13)</f>
        <v>42442</v>
      </c>
      <c r="C32" s="27" t="s">
        <v>37</v>
      </c>
    </row>
    <row r="33" spans="1:3">
      <c r="A33" s="73"/>
      <c r="B33" s="23">
        <f>DATE(2016,3,19)</f>
        <v>42448</v>
      </c>
      <c r="C33" s="27" t="s">
        <v>60</v>
      </c>
    </row>
    <row r="34" spans="1:3">
      <c r="A34" s="73"/>
      <c r="B34" s="23">
        <f>DATE(2016,3,20)</f>
        <v>42449</v>
      </c>
      <c r="C34" s="27" t="s">
        <v>73</v>
      </c>
    </row>
    <row r="35" spans="1:3">
      <c r="A35" s="73"/>
      <c r="B35" s="23">
        <f>DATE(2016,3,26)</f>
        <v>42455</v>
      </c>
      <c r="C35" s="27" t="s">
        <v>60</v>
      </c>
    </row>
    <row r="36" spans="1:3">
      <c r="A36" s="73"/>
      <c r="B36" s="23">
        <f>DATE(2016,3,27)</f>
        <v>42456</v>
      </c>
      <c r="C36" s="27" t="s">
        <v>61</v>
      </c>
    </row>
    <row r="37" spans="1:3">
      <c r="A37" s="73"/>
      <c r="B37" s="23">
        <f>DATE(2016,4,2)</f>
        <v>42462</v>
      </c>
      <c r="C37" s="27" t="s">
        <v>36</v>
      </c>
    </row>
    <row r="38" spans="1:3">
      <c r="A38" s="73"/>
      <c r="B38" s="23">
        <f>DATE(2016,4,3)</f>
        <v>42463</v>
      </c>
      <c r="C38" s="27" t="s">
        <v>74</v>
      </c>
    </row>
    <row r="39" spans="1:3">
      <c r="A39" s="73"/>
      <c r="B39" s="23">
        <f>DATE(2016,4,9)</f>
        <v>42469</v>
      </c>
      <c r="C39" s="27" t="s">
        <v>68</v>
      </c>
    </row>
    <row r="40" spans="1:3">
      <c r="A40" s="73"/>
      <c r="B40" s="23">
        <f>DATE(2016,4,10)</f>
        <v>42470</v>
      </c>
      <c r="C40" s="27" t="s">
        <v>37</v>
      </c>
    </row>
    <row r="41" spans="1:3">
      <c r="A41" s="73"/>
      <c r="B41" s="23">
        <f>DATE(2016,4,16)</f>
        <v>42476</v>
      </c>
      <c r="C41" s="27" t="s">
        <v>71</v>
      </c>
    </row>
    <row r="42" spans="1:3">
      <c r="A42" s="73"/>
      <c r="B42" s="23">
        <f>DATE(2016,4,17)</f>
        <v>42477</v>
      </c>
      <c r="C42" s="27" t="s">
        <v>69</v>
      </c>
    </row>
    <row r="43" spans="1:3">
      <c r="A43" s="73"/>
      <c r="B43" s="23">
        <f>DATE(2016,4,23)</f>
        <v>42483</v>
      </c>
      <c r="C43" s="27" t="s">
        <v>71</v>
      </c>
    </row>
    <row r="44" spans="1:3">
      <c r="A44" s="73"/>
      <c r="B44" s="23">
        <f>DATE(2016,4,24)</f>
        <v>42484</v>
      </c>
      <c r="C44" s="27" t="s">
        <v>59</v>
      </c>
    </row>
    <row r="45" spans="1:3">
      <c r="A45" s="73"/>
      <c r="B45" s="23">
        <f>DATE(2016,4,30)</f>
        <v>42490</v>
      </c>
      <c r="C45" s="27" t="s">
        <v>75</v>
      </c>
    </row>
    <row r="46" spans="1:3">
      <c r="A46" s="73"/>
      <c r="B46" s="23">
        <f>DATE(2016,5,1)</f>
        <v>42491</v>
      </c>
      <c r="C46" s="27" t="s">
        <v>76</v>
      </c>
    </row>
    <row r="47" spans="1:3">
      <c r="A47" s="73"/>
      <c r="B47" s="23">
        <f>DATE(2016,5,5)</f>
        <v>42495</v>
      </c>
      <c r="C47" s="27" t="s">
        <v>77</v>
      </c>
    </row>
    <row r="48" spans="1:3">
      <c r="A48" s="73"/>
      <c r="B48" s="23">
        <f>DATE(2016,5,7)</f>
        <v>42497</v>
      </c>
      <c r="C48" s="27" t="s">
        <v>60</v>
      </c>
    </row>
    <row r="49" spans="1:3">
      <c r="A49" s="73"/>
      <c r="B49" s="23">
        <f>DATE(2016,5,8)</f>
        <v>42498</v>
      </c>
      <c r="C49" s="27" t="s">
        <v>37</v>
      </c>
    </row>
    <row r="50" spans="1:3">
      <c r="A50" s="73"/>
      <c r="B50" s="23">
        <f>DATE(2016,5,14)</f>
        <v>42504</v>
      </c>
      <c r="C50" s="27" t="s">
        <v>78</v>
      </c>
    </row>
    <row r="51" spans="1:3">
      <c r="A51" s="73"/>
      <c r="B51" s="23">
        <f>DATE(2016,5,15)</f>
        <v>42505</v>
      </c>
      <c r="C51" s="27" t="s">
        <v>79</v>
      </c>
    </row>
    <row r="52" spans="1:3">
      <c r="A52" s="73"/>
      <c r="B52" s="23">
        <f>DATE(2016,5,21)</f>
        <v>42511</v>
      </c>
      <c r="C52" s="27" t="s">
        <v>71</v>
      </c>
    </row>
    <row r="53" spans="1:3">
      <c r="A53" s="73"/>
      <c r="B53" s="23">
        <f>DATE(2016,5,22)</f>
        <v>42512</v>
      </c>
      <c r="C53" s="27" t="s">
        <v>74</v>
      </c>
    </row>
    <row r="54" spans="1:3">
      <c r="A54" s="73"/>
      <c r="B54" s="23">
        <f>DATE(2016,5,28)</f>
        <v>42518</v>
      </c>
      <c r="C54" s="27" t="s">
        <v>80</v>
      </c>
    </row>
    <row r="55" spans="1:3">
      <c r="A55" s="73"/>
      <c r="B55" s="23">
        <f>DATE(2016,5,29)</f>
        <v>42519</v>
      </c>
      <c r="C55" s="27" t="s">
        <v>74</v>
      </c>
    </row>
    <row r="56" spans="1:3">
      <c r="A56" s="73"/>
      <c r="B56" s="23">
        <f>DATE(2016,6,4)</f>
        <v>42525</v>
      </c>
      <c r="C56" s="27" t="s">
        <v>81</v>
      </c>
    </row>
    <row r="57" spans="1:3">
      <c r="A57" s="73"/>
      <c r="B57" s="23">
        <f>DATE(2016,6,5)</f>
        <v>42526</v>
      </c>
      <c r="C57" s="27" t="s">
        <v>82</v>
      </c>
    </row>
    <row r="58" spans="1:3">
      <c r="A58" s="73"/>
      <c r="B58" s="23">
        <f>DATE(2016,6,6)</f>
        <v>42527</v>
      </c>
      <c r="C58" s="27" t="s">
        <v>83</v>
      </c>
    </row>
    <row r="59" spans="1:3">
      <c r="A59" s="73"/>
      <c r="B59" s="23">
        <f>DATE(2016,6,11)</f>
        <v>42532</v>
      </c>
      <c r="C59" s="27" t="s">
        <v>84</v>
      </c>
    </row>
    <row r="60" spans="1:3">
      <c r="A60" s="73"/>
      <c r="B60" s="23">
        <f>DATE(2016,6,12)</f>
        <v>42533</v>
      </c>
      <c r="C60" s="27" t="s">
        <v>59</v>
      </c>
    </row>
    <row r="61" spans="1:3">
      <c r="A61" s="73"/>
      <c r="B61" s="23">
        <f>DATE(2016,6,18)</f>
        <v>42539</v>
      </c>
      <c r="C61" s="27" t="s">
        <v>81</v>
      </c>
    </row>
    <row r="62" spans="1:3">
      <c r="A62" s="73"/>
      <c r="B62" s="23">
        <f>DATE(2016,6,19)</f>
        <v>42540</v>
      </c>
      <c r="C62" s="27" t="s">
        <v>37</v>
      </c>
    </row>
    <row r="63" spans="1:3">
      <c r="A63" s="73"/>
      <c r="B63" s="23">
        <f>DATE(2016,6,25)</f>
        <v>42546</v>
      </c>
      <c r="C63" s="27" t="s">
        <v>36</v>
      </c>
    </row>
    <row r="64" spans="1:3">
      <c r="A64" s="73"/>
      <c r="B64" s="23">
        <f>DATE(2016,6,26)</f>
        <v>42547</v>
      </c>
      <c r="C64" s="27" t="s">
        <v>85</v>
      </c>
    </row>
    <row r="65" spans="1:3">
      <c r="A65" s="73"/>
      <c r="B65" s="23">
        <f>DATE(2016,7,2)</f>
        <v>42553</v>
      </c>
      <c r="C65" s="27" t="s">
        <v>60</v>
      </c>
    </row>
    <row r="66" spans="1:3">
      <c r="A66" s="73"/>
      <c r="B66" s="23">
        <f>DATE(2016,7,3)</f>
        <v>42554</v>
      </c>
      <c r="C66" s="27" t="s">
        <v>86</v>
      </c>
    </row>
    <row r="67" spans="1:3">
      <c r="A67" s="73"/>
      <c r="B67" s="23">
        <f>DATE(2016,7,9)</f>
        <v>42560</v>
      </c>
      <c r="C67" s="27" t="s">
        <v>84</v>
      </c>
    </row>
    <row r="68" spans="1:3">
      <c r="A68" s="73"/>
      <c r="B68" s="23">
        <f>DATE(2016,7,10)</f>
        <v>42561</v>
      </c>
      <c r="C68" s="27" t="s">
        <v>87</v>
      </c>
    </row>
    <row r="69" spans="1:3">
      <c r="A69" s="73"/>
      <c r="B69" s="23">
        <f>DATE(2016,7,16)</f>
        <v>42567</v>
      </c>
      <c r="C69" s="27" t="s">
        <v>84</v>
      </c>
    </row>
    <row r="70" spans="1:3">
      <c r="A70" s="73"/>
      <c r="B70" s="23">
        <f>DATE(2016,7,17)</f>
        <v>42568</v>
      </c>
      <c r="C70" s="27" t="s">
        <v>87</v>
      </c>
    </row>
    <row r="71" spans="1:3">
      <c r="A71" s="73"/>
      <c r="B71" s="23">
        <f>DATE(2016,7,23)</f>
        <v>42574</v>
      </c>
      <c r="C71" s="27" t="s">
        <v>68</v>
      </c>
    </row>
    <row r="72" spans="1:3">
      <c r="A72" s="73"/>
      <c r="B72" s="23">
        <f>DATE(2016,7,24)</f>
        <v>42575</v>
      </c>
      <c r="C72" s="27" t="s">
        <v>87</v>
      </c>
    </row>
    <row r="73" spans="1:3">
      <c r="A73" s="73"/>
      <c r="B73" s="23">
        <f>DATE(2016,7,30)</f>
        <v>42581</v>
      </c>
      <c r="C73" s="27" t="s">
        <v>36</v>
      </c>
    </row>
    <row r="74" spans="1:3">
      <c r="A74" s="73"/>
      <c r="B74" s="23">
        <f>DATE(2016,7,31)</f>
        <v>42582</v>
      </c>
      <c r="C74" s="27" t="s">
        <v>88</v>
      </c>
    </row>
    <row r="75" spans="1:3">
      <c r="A75" s="73"/>
      <c r="B75" s="23">
        <f>DATE(2016,8,6)</f>
        <v>42588</v>
      </c>
      <c r="C75" s="27" t="s">
        <v>84</v>
      </c>
    </row>
    <row r="76" spans="1:3">
      <c r="A76" s="73"/>
      <c r="B76" s="23">
        <f>DATE(2016,8,7)</f>
        <v>42589</v>
      </c>
      <c r="C76" s="27" t="s">
        <v>87</v>
      </c>
    </row>
    <row r="77" spans="1:3">
      <c r="A77" s="73"/>
      <c r="B77" s="23">
        <f>DATE(2016,8,13)</f>
        <v>42595</v>
      </c>
      <c r="C77" s="27" t="s">
        <v>60</v>
      </c>
    </row>
    <row r="78" spans="1:3">
      <c r="A78" s="73"/>
      <c r="B78" s="23">
        <f>DATE(2016,8,14)</f>
        <v>42596</v>
      </c>
      <c r="C78" s="27" t="s">
        <v>89</v>
      </c>
    </row>
    <row r="79" spans="1:3">
      <c r="A79" s="73"/>
      <c r="B79" s="23">
        <f>DATE(2016,8,15)</f>
        <v>42597</v>
      </c>
      <c r="C79" s="27" t="s">
        <v>90</v>
      </c>
    </row>
    <row r="80" spans="1:3">
      <c r="A80" s="73"/>
      <c r="B80" s="23">
        <f>DATE(2016,8,20)</f>
        <v>42602</v>
      </c>
      <c r="C80" s="27" t="s">
        <v>91</v>
      </c>
    </row>
    <row r="81" spans="1:3">
      <c r="A81" s="73"/>
      <c r="B81" s="23">
        <f>DATE(2016,8,21)</f>
        <v>42603</v>
      </c>
      <c r="C81" s="27" t="s">
        <v>92</v>
      </c>
    </row>
    <row r="82" spans="1:3">
      <c r="A82" s="73"/>
      <c r="B82" s="23">
        <f>DATE(2016,8,27)</f>
        <v>42609</v>
      </c>
      <c r="C82" s="27" t="s">
        <v>62</v>
      </c>
    </row>
    <row r="83" spans="1:3">
      <c r="A83" s="73"/>
      <c r="B83" s="23">
        <f>DATE(2016,8,28)</f>
        <v>42610</v>
      </c>
      <c r="C83" s="27" t="s">
        <v>86</v>
      </c>
    </row>
    <row r="84" spans="1:3">
      <c r="A84" s="73"/>
      <c r="B84" s="23">
        <f>DATE(2016,9,3)</f>
        <v>42616</v>
      </c>
      <c r="C84" s="27" t="s">
        <v>93</v>
      </c>
    </row>
    <row r="85" spans="1:3">
      <c r="A85" s="73"/>
      <c r="B85" s="23">
        <f>DATE(2016,9,4)</f>
        <v>42617</v>
      </c>
      <c r="C85" s="27" t="s">
        <v>87</v>
      </c>
    </row>
    <row r="86" spans="1:3">
      <c r="A86" s="73"/>
      <c r="B86" s="23">
        <f>DATE(2016,9,10)</f>
        <v>42623</v>
      </c>
      <c r="C86" s="27" t="s">
        <v>60</v>
      </c>
    </row>
    <row r="87" spans="1:3">
      <c r="A87" s="73"/>
      <c r="B87" s="23">
        <f>DATE(2016,9,11)</f>
        <v>42624</v>
      </c>
      <c r="C87" s="27" t="s">
        <v>58</v>
      </c>
    </row>
    <row r="88" spans="1:3">
      <c r="A88" s="73"/>
      <c r="B88" s="23">
        <f>DATE(2016,9,14)</f>
        <v>42627</v>
      </c>
      <c r="C88" s="27" t="s">
        <v>94</v>
      </c>
    </row>
    <row r="89" spans="1:3">
      <c r="A89" s="73"/>
      <c r="B89" s="23">
        <f>DATE(2016,9,15)</f>
        <v>42628</v>
      </c>
      <c r="C89" s="27" t="s">
        <v>95</v>
      </c>
    </row>
    <row r="90" spans="1:3">
      <c r="A90" s="73"/>
      <c r="B90" s="23">
        <f>DATE(2016,9,16)</f>
        <v>42629</v>
      </c>
      <c r="C90" s="27" t="s">
        <v>96</v>
      </c>
    </row>
    <row r="91" spans="1:3">
      <c r="A91" s="73"/>
      <c r="B91" s="23">
        <f>DATE(2016,9,17)</f>
        <v>42630</v>
      </c>
      <c r="C91" s="27" t="s">
        <v>60</v>
      </c>
    </row>
    <row r="92" spans="1:3">
      <c r="A92" s="73"/>
      <c r="B92" s="23">
        <f>DATE(2016,9,18)</f>
        <v>42631</v>
      </c>
      <c r="C92" s="27" t="s">
        <v>58</v>
      </c>
    </row>
    <row r="93" spans="1:3">
      <c r="A93" s="73"/>
      <c r="B93" s="23">
        <f>DATE(2016,9,24)</f>
        <v>42637</v>
      </c>
      <c r="C93" s="27" t="s">
        <v>60</v>
      </c>
    </row>
    <row r="94" spans="1:3">
      <c r="A94" s="73"/>
      <c r="B94" s="23">
        <f>DATE(2016,9,25)</f>
        <v>42638</v>
      </c>
      <c r="C94" s="27" t="s">
        <v>58</v>
      </c>
    </row>
    <row r="95" spans="1:3">
      <c r="A95" s="73"/>
      <c r="B95" s="23">
        <f>DATE(2016,10,1)</f>
        <v>42644</v>
      </c>
      <c r="C95" s="27" t="s">
        <v>97</v>
      </c>
    </row>
    <row r="96" spans="1:3">
      <c r="A96" s="73"/>
      <c r="B96" s="23">
        <f>DATE(2016,10,2)</f>
        <v>42645</v>
      </c>
      <c r="C96" s="27" t="s">
        <v>87</v>
      </c>
    </row>
    <row r="97" spans="1:3">
      <c r="A97" s="73"/>
      <c r="B97" s="23">
        <f>DATE(2016,10,3)</f>
        <v>42646</v>
      </c>
      <c r="C97" s="27" t="s">
        <v>98</v>
      </c>
    </row>
    <row r="98" spans="1:3">
      <c r="A98" s="73"/>
      <c r="B98" s="23">
        <f>DATE(2016,10,8)</f>
        <v>42651</v>
      </c>
      <c r="C98" s="27" t="s">
        <v>99</v>
      </c>
    </row>
    <row r="99" spans="1:3">
      <c r="A99" s="73"/>
      <c r="B99" s="23">
        <f>DATE(2016,10,9)</f>
        <v>42652</v>
      </c>
      <c r="C99" s="27" t="s">
        <v>88</v>
      </c>
    </row>
    <row r="100" spans="1:3">
      <c r="A100" s="73"/>
      <c r="B100" s="23">
        <f>DATE(2016,10,15)</f>
        <v>42658</v>
      </c>
      <c r="C100" s="27" t="s">
        <v>84</v>
      </c>
    </row>
    <row r="101" spans="1:3">
      <c r="A101" s="73"/>
      <c r="B101" s="23">
        <f>DATE(2016,10,16)</f>
        <v>42659</v>
      </c>
      <c r="C101" s="27" t="s">
        <v>87</v>
      </c>
    </row>
    <row r="102" spans="1:3">
      <c r="A102" s="73"/>
      <c r="B102" s="23">
        <f>DATE(2016,10,22)</f>
        <v>42665</v>
      </c>
      <c r="C102" s="27" t="s">
        <v>100</v>
      </c>
    </row>
    <row r="103" spans="1:3">
      <c r="A103" s="73"/>
      <c r="B103" s="23">
        <f>DATE(2016,10,23)</f>
        <v>42666</v>
      </c>
      <c r="C103" s="27" t="s">
        <v>89</v>
      </c>
    </row>
    <row r="104" spans="1:3">
      <c r="A104" s="73"/>
      <c r="B104" s="23">
        <f>DATE(2016,10,29)</f>
        <v>42672</v>
      </c>
      <c r="C104" s="27" t="s">
        <v>36</v>
      </c>
    </row>
    <row r="105" spans="1:3">
      <c r="A105" s="73"/>
      <c r="B105" s="23">
        <f>DATE(2016,10,30)</f>
        <v>42673</v>
      </c>
      <c r="C105" s="27" t="s">
        <v>85</v>
      </c>
    </row>
    <row r="106" spans="1:3">
      <c r="A106" s="73"/>
      <c r="B106" s="23">
        <f>DATE(2016,11,5)</f>
        <v>42679</v>
      </c>
      <c r="C106" s="27" t="s">
        <v>36</v>
      </c>
    </row>
    <row r="107" spans="1:3">
      <c r="A107" s="73"/>
      <c r="B107" s="23">
        <f>DATE(2016,11,6)</f>
        <v>42680</v>
      </c>
      <c r="C107" s="27" t="s">
        <v>37</v>
      </c>
    </row>
    <row r="108" spans="1:3">
      <c r="A108" s="73"/>
      <c r="B108" s="23">
        <f>DATE(2016,11,12)</f>
        <v>42686</v>
      </c>
      <c r="C108" s="27" t="s">
        <v>36</v>
      </c>
    </row>
    <row r="109" spans="1:3">
      <c r="A109" s="73"/>
      <c r="B109" s="23">
        <f>DATE(2016,11,13)</f>
        <v>42687</v>
      </c>
      <c r="C109" s="27" t="s">
        <v>37</v>
      </c>
    </row>
    <row r="110" spans="1:3">
      <c r="A110" s="73"/>
      <c r="B110" s="23">
        <f>DATE(2016,11,19)</f>
        <v>42693</v>
      </c>
      <c r="C110" s="27" t="s">
        <v>93</v>
      </c>
    </row>
    <row r="111" spans="1:3">
      <c r="A111" s="73"/>
      <c r="B111" s="23">
        <f>DATE(2016,11,20)</f>
        <v>42694</v>
      </c>
      <c r="C111" s="27" t="s">
        <v>58</v>
      </c>
    </row>
    <row r="112" spans="1:3">
      <c r="A112" s="73"/>
      <c r="B112" s="23">
        <f>DATE(2016,11,26)</f>
        <v>42700</v>
      </c>
      <c r="C112" s="27" t="s">
        <v>84</v>
      </c>
    </row>
    <row r="113" spans="1:3">
      <c r="A113" s="73"/>
      <c r="B113" s="23">
        <f>DATE(2016,11,27)</f>
        <v>42701</v>
      </c>
      <c r="C113" s="27" t="s">
        <v>101</v>
      </c>
    </row>
    <row r="114" spans="1:3">
      <c r="A114" s="73"/>
      <c r="B114" s="23">
        <f>DATE(2016,12,3)</f>
        <v>42707</v>
      </c>
      <c r="C114" s="27" t="s">
        <v>84</v>
      </c>
    </row>
    <row r="115" spans="1:3">
      <c r="A115" s="73"/>
      <c r="B115" s="23">
        <f>DATE(2016,12,4)</f>
        <v>42708</v>
      </c>
      <c r="C115" s="27" t="s">
        <v>87</v>
      </c>
    </row>
    <row r="116" spans="1:3">
      <c r="A116" s="73"/>
      <c r="B116" s="23">
        <f>DATE(2016,12,10)</f>
        <v>42714</v>
      </c>
      <c r="C116" s="27" t="s">
        <v>84</v>
      </c>
    </row>
    <row r="117" spans="1:3">
      <c r="A117" s="73"/>
      <c r="B117" s="23">
        <f>DATE(2016,12,11)</f>
        <v>42715</v>
      </c>
      <c r="C117" s="27" t="s">
        <v>58</v>
      </c>
    </row>
    <row r="118" spans="1:3">
      <c r="A118" s="73"/>
      <c r="B118" s="23">
        <f>DATE(2016,12,17)</f>
        <v>42721</v>
      </c>
      <c r="C118" s="27" t="s">
        <v>62</v>
      </c>
    </row>
    <row r="119" spans="1:3">
      <c r="A119" s="73"/>
      <c r="B119" s="23">
        <f>DATE(2016,12,18)</f>
        <v>42722</v>
      </c>
      <c r="C119" s="27" t="s">
        <v>102</v>
      </c>
    </row>
    <row r="120" spans="1:3">
      <c r="A120" s="73"/>
      <c r="B120" s="23">
        <f>DATE(2016,12,24)</f>
        <v>42728</v>
      </c>
      <c r="C120" s="27" t="s">
        <v>60</v>
      </c>
    </row>
    <row r="121" spans="1:3">
      <c r="A121" s="73"/>
      <c r="B121" s="23">
        <f>DATE(2016,12,25)</f>
        <v>42729</v>
      </c>
      <c r="C121" s="27" t="s">
        <v>103</v>
      </c>
    </row>
    <row r="122" spans="1:3">
      <c r="A122" s="73"/>
      <c r="B122" s="23">
        <f>DATE(2016,12,31)</f>
        <v>42735</v>
      </c>
      <c r="C122" s="27" t="s">
        <v>100</v>
      </c>
    </row>
  </sheetData>
  <mergeCells count="1">
    <mergeCell ref="A4:A12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과업목록</vt:lpstr>
      <vt:lpstr>휴무일 목록</vt:lpstr>
    </vt:vector>
  </TitlesOfParts>
  <Company>(c)Snow 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Sprint Task</dc:title>
  <dc:subject>Sprint Backlog</dc:subject>
  <dc:creator>JoSoowoon</dc:creator>
  <cp:keywords>Sprint, Task, Work, Backlog</cp:keywords>
  <dc:description>과업 일정을 정리하고 계산한다.</dc:description>
  <cp:lastModifiedBy>JoSoowoon</cp:lastModifiedBy>
  <cp:lastPrinted>2009-03-13T04:49:37Z</cp:lastPrinted>
  <dcterms:created xsi:type="dcterms:W3CDTF">2009-03-06T04:58:40Z</dcterms:created>
  <dcterms:modified xsi:type="dcterms:W3CDTF">2016-02-03T03:18:18Z</dcterms:modified>
  <cp:category>스케줄, Schedule</cp:category>
  <cp:contentStatus>편집중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8308c2dc-9cec-439c-a12f-88c6ce351b5b</vt:lpwstr>
  </property>
</Properties>
</file>