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Work\Project\EvilOfDarkness\Main\Document\Schedule\Program\JoSoowoon\"/>
    </mc:Choice>
  </mc:AlternateContent>
  <bookViews>
    <workbookView xWindow="15" yWindow="0" windowWidth="19320" windowHeight="11550"/>
  </bookViews>
  <sheets>
    <sheet name="과업목록" sheetId="1" r:id="rId1"/>
    <sheet name="휴무일 목록" sheetId="4" r:id="rId2"/>
  </sheets>
  <definedNames>
    <definedName name="_xlnm._FilterDatabase" localSheetId="0" hidden="1">과업목록!$A$12:$N$58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L57" i="1" l="1"/>
  <c r="K57" i="1"/>
  <c r="H57" i="1"/>
  <c r="H52" i="1" l="1"/>
  <c r="K52" i="1"/>
  <c r="L52" i="1"/>
  <c r="L51" i="1" l="1"/>
  <c r="K51" i="1"/>
  <c r="H51" i="1"/>
  <c r="H53" i="1"/>
  <c r="K53" i="1"/>
  <c r="L53" i="1"/>
  <c r="L50" i="1" l="1"/>
  <c r="K50" i="1"/>
  <c r="H50" i="1"/>
  <c r="L56" i="1" l="1"/>
  <c r="K56" i="1"/>
  <c r="H56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H13" i="1"/>
  <c r="H14" i="1" l="1"/>
  <c r="K45" i="1"/>
  <c r="L45" i="1"/>
  <c r="K46" i="1"/>
  <c r="L46" i="1"/>
  <c r="K47" i="1"/>
  <c r="L47" i="1"/>
  <c r="K48" i="1"/>
  <c r="L48" i="1"/>
  <c r="K49" i="1"/>
  <c r="L49" i="1"/>
  <c r="B16" i="4" l="1"/>
  <c r="B15" i="4"/>
  <c r="K55" i="1" l="1"/>
  <c r="B2" i="4" l="1"/>
  <c r="B59" i="4" l="1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" i="4" l="1"/>
  <c r="G6" i="1" s="1"/>
  <c r="H54" i="1"/>
  <c r="H55" i="1"/>
  <c r="L55" i="1"/>
  <c r="J6" i="1" l="1"/>
  <c r="I6" i="1"/>
  <c r="H6" i="1"/>
  <c r="B33" i="4" l="1"/>
  <c r="B36" i="4"/>
  <c r="B35" i="4"/>
  <c r="B34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4" i="4"/>
  <c r="B13" i="4"/>
  <c r="B12" i="4"/>
  <c r="B11" i="4"/>
  <c r="B10" i="4"/>
  <c r="B9" i="4"/>
  <c r="B8" i="4"/>
  <c r="B7" i="4"/>
  <c r="B6" i="4"/>
  <c r="B5" i="4"/>
  <c r="B4" i="4"/>
  <c r="J4" i="1" l="1"/>
  <c r="I4" i="1"/>
  <c r="H4" i="1"/>
  <c r="G4" i="1"/>
  <c r="L54" i="1" l="1"/>
  <c r="K54" i="1" l="1"/>
  <c r="K9" i="1" l="1"/>
  <c r="I59" i="1"/>
  <c r="I3" i="1" s="1"/>
  <c r="I58" i="1"/>
  <c r="I2" i="1" l="1"/>
  <c r="I5" i="1" s="1"/>
  <c r="I7" i="1"/>
  <c r="J59" i="1" l="1"/>
  <c r="H59" i="1"/>
  <c r="H3" i="1" s="1"/>
  <c r="H7" i="1" s="1"/>
  <c r="G59" i="1"/>
  <c r="G3" i="1" s="1"/>
  <c r="G7" i="1" s="1"/>
  <c r="J3" i="1" l="1"/>
  <c r="J7" i="1" s="1"/>
  <c r="K3" i="1"/>
  <c r="J58" i="1"/>
  <c r="H58" i="1"/>
  <c r="H2" i="1" s="1"/>
  <c r="H5" i="1" s="1"/>
  <c r="G58" i="1"/>
  <c r="G2" i="1" s="1"/>
  <c r="G5" i="1" s="1"/>
  <c r="J2" i="1" l="1"/>
  <c r="J5" i="1" s="1"/>
  <c r="K2" i="1"/>
  <c r="L59" i="1"/>
  <c r="K59" i="1" l="1"/>
  <c r="K58" i="1"/>
  <c r="L58" i="1"/>
</calcChain>
</file>

<file path=xl/sharedStrings.xml><?xml version="1.0" encoding="utf-8"?>
<sst xmlns="http://schemas.openxmlformats.org/spreadsheetml/2006/main" count="335" uniqueCount="184">
  <si>
    <t xml:space="preserve">※ 최종 목표 : </t>
    <phoneticPr fontId="1" type="noConversion"/>
  </si>
  <si>
    <t>: 이런 부분은 중간에 요청이나 필요에 의해 과업이 추가된 부분임.</t>
    <phoneticPr fontId="1" type="noConversion"/>
  </si>
  <si>
    <t xml:space="preserve">용어 해설 : </t>
    <phoneticPr fontId="1" type="noConversion"/>
  </si>
  <si>
    <t>책임자</t>
    <phoneticPr fontId="1" type="noConversion"/>
  </si>
  <si>
    <t>수행 결과</t>
    <phoneticPr fontId="1" type="noConversion"/>
  </si>
  <si>
    <t>작성시
참고 사항 :</t>
    <phoneticPr fontId="1" type="noConversion"/>
  </si>
  <si>
    <t>현재 진행</t>
    <phoneticPr fontId="1" type="noConversion"/>
  </si>
  <si>
    <t>2. 실제로 가능하다고 생각하는 과업과 일정으로 작성하라.</t>
    <phoneticPr fontId="1" type="noConversion"/>
  </si>
  <si>
    <t xml:space="preserve">우선순위 : </t>
    <phoneticPr fontId="1" type="noConversion"/>
  </si>
  <si>
    <t>매우 높음, 높음, 보통, 낮음, 매우 낮음의 5개 순위로 매길 것.(숫자도 상관없다.)</t>
    <phoneticPr fontId="1" type="noConversion"/>
  </si>
  <si>
    <t>현재 예측</t>
    <phoneticPr fontId="1" type="noConversion"/>
  </si>
  <si>
    <t>스프린트 시작일</t>
    <phoneticPr fontId="1" type="noConversion"/>
  </si>
  <si>
    <t>항   목</t>
    <phoneticPr fontId="1" type="noConversion"/>
  </si>
  <si>
    <t>4. 진행이나 예측에 표시되는 칸에 들어가는 숫자는 작업을 1시간 단위로 나타낸 양이다.</t>
    <phoneticPr fontId="1" type="noConversion"/>
  </si>
  <si>
    <r>
      <t xml:space="preserve">3. 초기 예측과 현재 예측이 궁극적으로 맞아떨어지록 노력할 것.
</t>
    </r>
    <r>
      <rPr>
        <b/>
        <sz val="11"/>
        <color rgb="FFFF0000"/>
        <rFont val="맑은 고딕"/>
        <family val="3"/>
        <charset val="129"/>
        <scheme val="minor"/>
      </rPr>
      <t xml:space="preserve"> (그렇다고 현재 예측을 사실과 다르게 적어서는 안된다.!)</t>
    </r>
    <phoneticPr fontId="1" type="noConversion"/>
  </si>
  <si>
    <t>: 칸이 이런 색이면, 이 과업은 일정이나 그 외 어떤 이유로 삭제되었음을 나타냄.</t>
    <phoneticPr fontId="1" type="noConversion"/>
  </si>
  <si>
    <r>
      <t xml:space="preserve"> 완료된 작업은 순번과 수행 결과 열을 이 색으로 맞춘다. 별 의미는 없고 알아보기 쉽게 하기 위한 것이다.
 개발 방법론의 이른바 </t>
    </r>
    <r>
      <rPr>
        <b/>
        <sz val="11"/>
        <color rgb="FF006600"/>
        <rFont val="맑은 고딕"/>
        <family val="3"/>
        <charset val="129"/>
        <scheme val="minor"/>
      </rPr>
      <t>초록 막대 패턴</t>
    </r>
    <r>
      <rPr>
        <sz val="11"/>
        <color theme="1"/>
        <rFont val="맑은 고딕"/>
        <family val="3"/>
        <charset val="129"/>
        <scheme val="minor"/>
      </rPr>
      <t>으로 봐도 좋다.</t>
    </r>
    <phoneticPr fontId="1" type="noConversion"/>
  </si>
  <si>
    <t>일일 과업시간</t>
    <phoneticPr fontId="1" type="noConversion"/>
  </si>
  <si>
    <r>
      <t xml:space="preserve">1. 개별 과업은 되도록 </t>
    </r>
    <r>
      <rPr>
        <b/>
        <sz val="11"/>
        <color theme="1"/>
        <rFont val="맑은 고딕"/>
        <family val="3"/>
        <charset val="129"/>
        <scheme val="minor"/>
      </rPr>
      <t>24시간 이상의 작업으로 설정하지 않는다.</t>
    </r>
    <phoneticPr fontId="1" type="noConversion"/>
  </si>
  <si>
    <t>누계</t>
    <phoneticPr fontId="1" type="noConversion"/>
  </si>
  <si>
    <t>특정
누계</t>
    <phoneticPr fontId="1" type="noConversion"/>
  </si>
  <si>
    <t>특정 범위 스프린트 종료일</t>
    <phoneticPr fontId="1" type="noConversion"/>
  </si>
  <si>
    <t>휴무 사유</t>
    <phoneticPr fontId="1" type="noConversion"/>
  </si>
  <si>
    <t>우선
순위</t>
    <phoneticPr fontId="1" type="noConversion"/>
  </si>
  <si>
    <t>초기 
예측</t>
    <phoneticPr fontId="1" type="noConversion"/>
  </si>
  <si>
    <t>현재 
진행</t>
    <phoneticPr fontId="1" type="noConversion"/>
  </si>
  <si>
    <t>남은 
시간</t>
    <phoneticPr fontId="1" type="noConversion"/>
  </si>
  <si>
    <t>측정
계수</t>
    <phoneticPr fontId="1" type="noConversion"/>
  </si>
  <si>
    <t>일일 과업 시간</t>
    <phoneticPr fontId="1" type="noConversion"/>
  </si>
  <si>
    <t>총 과업 일 수
※ (총 시간 / 일일 기준 시간) = 일 수</t>
    <phoneticPr fontId="1" type="noConversion"/>
  </si>
  <si>
    <t>특정 범위 과업 일 수
※ (총 시간 / 일일 기준 시간) = 일 수</t>
    <phoneticPr fontId="1" type="noConversion"/>
  </si>
  <si>
    <t>인원</t>
    <phoneticPr fontId="1" type="noConversion"/>
  </si>
  <si>
    <t>초기 예측</t>
    <phoneticPr fontId="1" type="noConversion"/>
  </si>
  <si>
    <t>남은 진행</t>
    <phoneticPr fontId="1" type="noConversion"/>
  </si>
  <si>
    <t>날짜 목록</t>
    <phoneticPr fontId="1" type="noConversion"/>
  </si>
  <si>
    <t>특정 스프린트 시작일</t>
    <phoneticPr fontId="1" type="noConversion"/>
  </si>
  <si>
    <t>토요일</t>
    <phoneticPr fontId="1" type="noConversion"/>
  </si>
  <si>
    <t>일요일</t>
    <phoneticPr fontId="1" type="noConversion"/>
  </si>
  <si>
    <t>추석연휴</t>
    <phoneticPr fontId="1" type="noConversion"/>
  </si>
  <si>
    <t>추석연휴(대체 휴일)</t>
    <phoneticPr fontId="1" type="noConversion"/>
  </si>
  <si>
    <t>한글날</t>
    <phoneticPr fontId="1" type="noConversion"/>
  </si>
  <si>
    <t>상위 시나리오</t>
    <phoneticPr fontId="1" type="noConversion"/>
  </si>
  <si>
    <t>과업</t>
    <phoneticPr fontId="1" type="noConversion"/>
  </si>
  <si>
    <t>대분류</t>
    <phoneticPr fontId="1" type="noConversion"/>
  </si>
  <si>
    <t>경험 예측</t>
    <phoneticPr fontId="1" type="noConversion"/>
  </si>
  <si>
    <t>경험 예측 계수</t>
    <phoneticPr fontId="1" type="noConversion"/>
  </si>
  <si>
    <t>경험 
예측</t>
    <phoneticPr fontId="1" type="noConversion"/>
  </si>
  <si>
    <t>현재
예측</t>
    <phoneticPr fontId="1" type="noConversion"/>
  </si>
  <si>
    <t>이슈
번호</t>
    <phoneticPr fontId="1" type="noConversion"/>
  </si>
  <si>
    <t>스프린트 시작일</t>
    <phoneticPr fontId="1" type="noConversion"/>
  </si>
  <si>
    <t>스프린트 종료일</t>
    <phoneticPr fontId="1" type="noConversion"/>
  </si>
  <si>
    <t>특정 범위 스프린트 시작일</t>
    <phoneticPr fontId="1" type="noConversion"/>
  </si>
  <si>
    <t>1. Eternal Guardians의 컨텐츠 완성</t>
    <phoneticPr fontId="1" type="noConversion"/>
  </si>
  <si>
    <t>조수운</t>
    <phoneticPr fontId="1" type="noConversion"/>
  </si>
  <si>
    <t>게임 데이터 스크립트 툴 수정</t>
    <phoneticPr fontId="1" type="noConversion"/>
  </si>
  <si>
    <t>휴가</t>
    <phoneticPr fontId="1" type="noConversion"/>
  </si>
  <si>
    <t>성탄절</t>
    <phoneticPr fontId="1" type="noConversion"/>
  </si>
  <si>
    <t>툴 소스를 Unity 5로 이전
- 클라이언트의 유니티 버전과 동일해야 한다.
- 사용하는 플러그인 역시 (가급적) 동일해야 한다.
- 생성하는 결과물은 클라이언트에 이전과 다름 없이 적용할 수 있어야 한다.</t>
    <phoneticPr fontId="1" type="noConversion"/>
  </si>
  <si>
    <t>신정</t>
    <phoneticPr fontId="1" type="noConversion"/>
  </si>
  <si>
    <t>설 연휴(대체 휴일)</t>
    <phoneticPr fontId="1" type="noConversion"/>
  </si>
  <si>
    <t>설 연휴</t>
  </si>
  <si>
    <t>설 연휴</t>
    <phoneticPr fontId="1" type="noConversion"/>
  </si>
  <si>
    <t>설날</t>
    <phoneticPr fontId="1" type="noConversion"/>
  </si>
  <si>
    <t>완료</t>
    <phoneticPr fontId="1" type="noConversion"/>
  </si>
  <si>
    <t>핵심적인 변환 기능을 라이브러리화 하여 제공하도록 변경
- 다른 프로젝트에 직접 적용할 수도 있도록 하기 위해서다.
- 다른 UI 라이브러리를 쓸 수도 있도록 하기 위해서다.
- 별도의 라이브러리로 제공하는 경우, 핵심 기능은 유니티 엔진 내부 기능에 대한 의존성을 가지지 않아야 한다.</t>
    <phoneticPr fontId="1" type="noConversion"/>
  </si>
  <si>
    <t>#1013</t>
    <phoneticPr fontId="1" type="noConversion"/>
  </si>
  <si>
    <t>#1014</t>
    <phoneticPr fontId="1" type="noConversion"/>
  </si>
  <si>
    <t>완료</t>
    <phoneticPr fontId="1" type="noConversion"/>
  </si>
  <si>
    <t>게임 데이터시트 포맷 개정 / 검토</t>
    <phoneticPr fontId="1" type="noConversion"/>
  </si>
  <si>
    <t>#1018</t>
    <phoneticPr fontId="1" type="noConversion"/>
  </si>
  <si>
    <t>#973</t>
    <phoneticPr fontId="1" type="noConversion"/>
  </si>
  <si>
    <t>부여효과 데이터시트의 형식 구조와 각 필드의 데이터 형식 정의</t>
    <phoneticPr fontId="1" type="noConversion"/>
  </si>
  <si>
    <t>캐릭터 기본 설정 데이터시트의 형식 구조와 각 필드의 데이터 형식 정의</t>
    <phoneticPr fontId="1" type="noConversion"/>
  </si>
  <si>
    <t>캐릭터 레벨 업 데이터시트의 형식 구조와 각 필드의 데이터 형식 정의</t>
    <phoneticPr fontId="1" type="noConversion"/>
  </si>
  <si>
    <t>아이템 데이터시트의 형식 구조와 각 필드의 데이터 형식 정의</t>
    <phoneticPr fontId="1" type="noConversion"/>
  </si>
  <si>
    <t>아이템 옵션 데이터시트의 형식 구조와 각 필드의 데이터 형식 정의</t>
    <phoneticPr fontId="1" type="noConversion"/>
  </si>
  <si>
    <t>아이템 셋 효과 데이터시트의 형식 구조와 각 필드의 데이터 형식 정의</t>
    <phoneticPr fontId="1" type="noConversion"/>
  </si>
  <si>
    <t>아이템 판매 데이터시트의 형식 구조와 각 필드의 데이터 형식 정의</t>
    <phoneticPr fontId="1" type="noConversion"/>
  </si>
  <si>
    <t>일반 던전 보상 데이터시트의 형식 구조와 각 필드의 데이터 형식 정의</t>
    <phoneticPr fontId="1" type="noConversion"/>
  </si>
  <si>
    <t>정예 던전 보상 데이터시트의 형식 구조와 각 필드의 데이터 형식 정의</t>
    <phoneticPr fontId="1" type="noConversion"/>
  </si>
  <si>
    <t>혼돈 던전(기존 무작위 던전) 보상 데이터시트의 형식 구조와 각 필드의 데이터 형식 정의</t>
    <phoneticPr fontId="1" type="noConversion"/>
  </si>
  <si>
    <t>요일 던전 보상 데이터시트의 형식 구조와 각 필드의 데이터 형식 정의</t>
    <phoneticPr fontId="1" type="noConversion"/>
  </si>
  <si>
    <t>초월 던전 보상 데이터시트의 형식 구조와 각 필드의 데이터 형식 정의</t>
    <phoneticPr fontId="1" type="noConversion"/>
  </si>
  <si>
    <t>미션 데이터시트의 형식 구조와 각 필드의 데이터 형식 정의</t>
    <phoneticPr fontId="1" type="noConversion"/>
  </si>
  <si>
    <t>미션 보상 데이터시트의 형식 구조와 각 필드의 데이터 형식 정의</t>
    <phoneticPr fontId="1" type="noConversion"/>
  </si>
  <si>
    <t>업적 데이터시트의 형식 구조와 각 필드의 데이터 형식 정의</t>
    <phoneticPr fontId="1" type="noConversion"/>
  </si>
  <si>
    <t>업적 보상 데이터시트의 형식 구조와 각 필드의 데이터 형식 정의</t>
    <phoneticPr fontId="1" type="noConversion"/>
  </si>
  <si>
    <t>상점 데이터시트의 형식 구조와 각 필드의 데이터 형식 정의</t>
    <phoneticPr fontId="1" type="noConversion"/>
  </si>
  <si>
    <t>추종자 캐릭터의 기본 설정 데이터시트의 형식 구조와 각 필드의 데이터 형식 정의</t>
    <phoneticPr fontId="1" type="noConversion"/>
  </si>
  <si>
    <t>추종자 캐릭터의 레벨 업 데이터시트의 형식 구조와 각 필드의 데이터 형식 정의</t>
    <phoneticPr fontId="1" type="noConversion"/>
  </si>
  <si>
    <t>추종자 탐험 데이터시트의 형식 구조와 각 필드의 데이터 형식 정의</t>
    <phoneticPr fontId="1" type="noConversion"/>
  </si>
  <si>
    <t>성소 데이터시트의 형식 구조와 각 필드의 데이터 형식 정의</t>
    <phoneticPr fontId="1" type="noConversion"/>
  </si>
  <si>
    <t>인벤토리 확장 데이터시트의 형식 구조와 각 필드의 데이터 형식 정의</t>
    <phoneticPr fontId="1" type="noConversion"/>
  </si>
  <si>
    <t>무작위 뽑기 데이터시트의 형식 구조와 각 필드의 데이터 형식 정의</t>
    <phoneticPr fontId="1" type="noConversion"/>
  </si>
  <si>
    <t>우편함 보관 설정 데이터시트의 형식 구조와 각 필드의 데이터 형식 정의</t>
    <phoneticPr fontId="1" type="noConversion"/>
  </si>
  <si>
    <t>VIP 혜택 데이터시트의 형식 구조와 각 필드의 데이터 형식 정의</t>
    <phoneticPr fontId="1" type="noConversion"/>
  </si>
  <si>
    <t>결투장 보상 데이터시트의 형식 구조와 각 필드의 데이터 형식 정의</t>
    <phoneticPr fontId="1" type="noConversion"/>
  </si>
  <si>
    <t>길드 상점 데이터시트의 형식 구조와 각 필드의 데이터 형식 정의</t>
    <phoneticPr fontId="1" type="noConversion"/>
  </si>
  <si>
    <t>길드 던전 데이터시트의 형식 구조와 각 필드의 데이터 형식 정의</t>
    <phoneticPr fontId="1" type="noConversion"/>
  </si>
  <si>
    <t>길드 전쟁 보상 데이터시트의 형식 구조와 각 필드의 데이터 형식 정의</t>
    <phoneticPr fontId="1" type="noConversion"/>
  </si>
  <si>
    <t>보스 몬스터 협공 이벤트 데이터시트의 형식 구조와 각 필드의 데이터 형식 정의</t>
    <phoneticPr fontId="1" type="noConversion"/>
  </si>
  <si>
    <t>보스 몬스터 협공 보상 데이터시트의 형식 구조와 각 필드의 데이터 형식 정의</t>
    <phoneticPr fontId="1" type="noConversion"/>
  </si>
  <si>
    <t>게임 서비스 이벤트 데이터시트의 형식 구조와 각 필드의 데이터 형식 정의</t>
    <phoneticPr fontId="1" type="noConversion"/>
  </si>
  <si>
    <t>#1019</t>
    <phoneticPr fontId="1" type="noConversion"/>
  </si>
  <si>
    <t>#1021</t>
  </si>
  <si>
    <t>#1022</t>
  </si>
  <si>
    <t>#1025</t>
    <phoneticPr fontId="1" type="noConversion"/>
  </si>
  <si>
    <t>#1026</t>
  </si>
  <si>
    <t>#1027</t>
  </si>
  <si>
    <t>#1028</t>
  </si>
  <si>
    <t>#1029</t>
  </si>
  <si>
    <t>#1030</t>
  </si>
  <si>
    <t>#1031</t>
  </si>
  <si>
    <t>#1032</t>
  </si>
  <si>
    <t>#1033</t>
  </si>
  <si>
    <t>#1034</t>
  </si>
  <si>
    <t>#1035</t>
  </si>
  <si>
    <t>#1036</t>
  </si>
  <si>
    <t>#1037</t>
  </si>
  <si>
    <t>#1038</t>
  </si>
  <si>
    <t>#1039</t>
  </si>
  <si>
    <t>#1040</t>
  </si>
  <si>
    <t>#1041</t>
  </si>
  <si>
    <t>#1042</t>
  </si>
  <si>
    <t>#1043</t>
  </si>
  <si>
    <t>#1044</t>
  </si>
  <si>
    <t>#1045</t>
  </si>
  <si>
    <t>#1046</t>
  </si>
  <si>
    <t>#1047</t>
  </si>
  <si>
    <t>#1048</t>
  </si>
  <si>
    <t>#1049</t>
  </si>
  <si>
    <t>#1050</t>
  </si>
  <si>
    <t>#1051</t>
  </si>
  <si>
    <t>#1052</t>
  </si>
  <si>
    <t>#1053</t>
  </si>
  <si>
    <t>#1054</t>
  </si>
  <si>
    <t>#1055</t>
  </si>
  <si>
    <t>#1056</t>
  </si>
  <si>
    <t>#1020</t>
    <phoneticPr fontId="1" type="noConversion"/>
  </si>
  <si>
    <t>#1023</t>
    <phoneticPr fontId="1" type="noConversion"/>
  </si>
  <si>
    <t>#1024</t>
    <phoneticPr fontId="1" type="noConversion"/>
  </si>
  <si>
    <t>완료</t>
    <phoneticPr fontId="1" type="noConversion"/>
  </si>
  <si>
    <t>완료</t>
    <phoneticPr fontId="1" type="noConversion"/>
  </si>
  <si>
    <t>높음</t>
    <phoneticPr fontId="1" type="noConversion"/>
  </si>
  <si>
    <t>보통</t>
    <phoneticPr fontId="1" type="noConversion"/>
  </si>
  <si>
    <t>보통</t>
    <phoneticPr fontId="1" type="noConversion"/>
  </si>
  <si>
    <t>보통</t>
    <phoneticPr fontId="1" type="noConversion"/>
  </si>
  <si>
    <t>보통</t>
    <phoneticPr fontId="1" type="noConversion"/>
  </si>
  <si>
    <t>보통</t>
    <phoneticPr fontId="1" type="noConversion"/>
  </si>
  <si>
    <t>보통</t>
    <phoneticPr fontId="1" type="noConversion"/>
  </si>
  <si>
    <t>변환한 데이터 스크립트를 Unity 프로젝트의 디렉토리로 복사하는 기능
- 변환한 데이터 스크립트와 소스 파일을 복사할 디렉토리를 별도로 지정할 수 있어야 한다.
- 앞으로는 데이터시트마다 대부분 1개의 파트시트만을 갖는 구조로 전환할 것이므로, 데이터시트의 이름으로 하위 디렉토리를 만들지 않게 한다. (데이터시트와 파트시트의 이름이 사실상 같으므로)</t>
    <phoneticPr fontId="1" type="noConversion"/>
  </si>
  <si>
    <t>#1057</t>
    <phoneticPr fontId="1" type="noConversion"/>
  </si>
  <si>
    <t>그냥 일부 기능만 구현하는 게 아니라, 전체적으로 툴이 가져야 하는 기능들을 모두 구현하도록 개편하는 게 낫다고 판단함</t>
    <phoneticPr fontId="1" type="noConversion"/>
  </si>
  <si>
    <t>완료</t>
    <phoneticPr fontId="1" type="noConversion"/>
  </si>
  <si>
    <t>에센스 데이터시트의 형식 구조와 각 필드의 데이터 형식 정의</t>
  </si>
  <si>
    <t>에센스 조합 데이터시트의 형식 구조와 각 필드의 데이터 형식 정의</t>
  </si>
  <si>
    <t>에센스 장착 슬롯 데이터시트의 형식 구조와 각 필드의 데이터 형식 정의</t>
  </si>
  <si>
    <t>룬스톤의 옵션 내용 데이터시트의 형식 구조와 각 필드의 데이터 형식 정의</t>
  </si>
  <si>
    <t>룬스톤의 조합 데이터시트의 형식 구조와 각 필드의 데이터 형식 정의</t>
  </si>
  <si>
    <t>데이터시트에서 GTC를 사용할 때 참조 GTC는 문자열 키를 이용할 수 있도록 설계 개념을 수정</t>
    <phoneticPr fontId="1" type="noConversion"/>
  </si>
  <si>
    <t>#1061</t>
    <phoneticPr fontId="1" type="noConversion"/>
  </si>
  <si>
    <t>완료</t>
    <phoneticPr fontId="1" type="noConversion"/>
  </si>
  <si>
    <t>완료</t>
    <phoneticPr fontId="1" type="noConversion"/>
  </si>
  <si>
    <t>상태효과 데이터시트의 형식 구조와 각 필드의 데이터 형식 정의</t>
    <phoneticPr fontId="1" type="noConversion"/>
  </si>
  <si>
    <t>#1062</t>
    <phoneticPr fontId="1" type="noConversion"/>
  </si>
  <si>
    <t>스테이지 &amp; 맵 데이터시트의 형식 구조와 각 필드의 데이터 형식 정의
- 기존 스테이지와 맵 데이터시트에서 불필요한 필드 삭제
- 스테이지마다 공통으로 사용하는 부분과, 특정한 종류의 스테이지에서만 필요한 부분을 분리해서 재설계할 것</t>
    <phoneticPr fontId="1" type="noConversion"/>
  </si>
  <si>
    <t>완료</t>
    <phoneticPr fontId="1" type="noConversion"/>
  </si>
  <si>
    <t>몬스터 캐릭터를 설정하는 데이터시트의 형식 구조와 데이터 형식 정의
- 몬스터의 외형과 적용할 능력을 분리해서 설정할 수 있게 한다.
- 무한정 강력해지는 방식은 일단 적용하지 않는다.
: 능력을 표현하는 수치의 overflow 발생이 우려되기 때문에, 그냥 '아주 높은' 최대 레벨을 가지게 하는 쪽으로 가자.</t>
    <phoneticPr fontId="1" type="noConversion"/>
  </si>
  <si>
    <t>#1063</t>
  </si>
  <si>
    <t>완료</t>
    <phoneticPr fontId="1" type="noConversion"/>
  </si>
  <si>
    <t>완료</t>
    <phoneticPr fontId="1" type="noConversion"/>
  </si>
  <si>
    <t>할 필요가 없게 되었다.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</si>
  <si>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</si>
  <si>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</si>
  <si>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</si>
  <si>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대상 기간 : 2015년 9월 22일 ~ 2015년 10월 30일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</si>
  <si>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</si>
  <si>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</si>
  <si>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</si>
  <si>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게임 데이터 스크립트 툴의 전면적인 개정을 위한 요구사항 작성
- 원래는 기존 툴을 좀 개선해서 쓰는 정도로만 그치려고 했으나, 그 정도로는 수정사항이 끝도 없을 것 같다는 생각이 든다.
- 대책 없이 기능 요구가 들어올 때마다 소스를 뒤집어 엎느니, 그냥 예상되는 개발 프로세스를 반영해서 재설계하는 게 낫겠다는 판단
- 간단하게 GUI 프리젠테이션으로 때우려고 했으나, 생각보다 프로젝트 크기가 커서, 기반 개념부터 잡고 코딩을 해야 더 효율적일 것으로 판단했다.
- 이미 지금도 기존 툴의 소스를 완전히 뒤집어 엎어 놨기 때문에, 교육 자료로써 필요하기도 하다.</t>
    <phoneticPr fontId="1" type="noConversion"/>
  </si>
  <si>
    <t>#1064</t>
    <phoneticPr fontId="1" type="noConversion"/>
  </si>
  <si>
    <t>완료</t>
    <phoneticPr fontId="1" type="noConversion"/>
  </si>
  <si>
    <t>관련 기획이 필요</t>
    <phoneticPr fontId="1" type="noConversion"/>
  </si>
  <si>
    <t>불필요함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</si>
</sst>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9" tint="-0.499984740745262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F6C0"/>
        <bgColor indexed="64"/>
      </patternFill>
    </fill>
    <fill>
      <patternFill patternType="solid">
        <fgColor rgb="FFFFD6C1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 indent="1"/>
    </xf>
    <xf numFmtId="0" fontId="10" fillId="13" borderId="1" xfId="0" applyFont="1" applyFill="1" applyBorder="1" applyAlignment="1">
      <alignment horizontal="center" vertical="center" wrapText="1"/>
    </xf>
    <xf numFmtId="0" fontId="13" fillId="14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 indent="1"/>
    </xf>
    <xf numFmtId="0" fontId="8" fillId="14" borderId="6" xfId="1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8" fillId="14" borderId="7" xfId="1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10" fillId="10" borderId="8" xfId="0" applyFont="1" applyFill="1" applyBorder="1" applyAlignment="1">
      <alignment horizontal="center" vertical="center" wrapText="1"/>
    </xf>
    <xf numFmtId="14" fontId="2" fillId="15" borderId="9" xfId="0" applyNumberFormat="1" applyFont="1" applyFill="1" applyBorder="1" applyAlignment="1">
      <alignment horizontal="center" vertical="center" wrapText="1"/>
    </xf>
    <xf numFmtId="14" fontId="2" fillId="12" borderId="2" xfId="0" applyNumberFormat="1" applyFont="1" applyFill="1" applyBorder="1" applyAlignment="1">
      <alignment horizontal="center" vertical="center" wrapText="1"/>
    </xf>
    <xf numFmtId="14" fontId="2" fillId="6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14" fontId="15" fillId="9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13" fillId="11" borderId="11" xfId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top" wrapText="1" indent="1"/>
    </xf>
    <xf numFmtId="0" fontId="6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indent="1"/>
    </xf>
    <xf numFmtId="0" fontId="8" fillId="14" borderId="5" xfId="1" applyFont="1" applyFill="1" applyBorder="1" applyAlignment="1">
      <alignment horizontal="left" vertical="top" wrapText="1" indent="1"/>
    </xf>
    <xf numFmtId="0" fontId="8" fillId="11" borderId="11" xfId="1" applyFont="1" applyFill="1" applyBorder="1" applyAlignment="1">
      <alignment horizontal="center" vertical="center" wrapText="1"/>
    </xf>
    <xf numFmtId="0" fontId="8" fillId="11" borderId="11" xfId="1" applyFont="1" applyFill="1" applyBorder="1" applyAlignment="1">
      <alignment horizontal="left" vertical="center" wrapText="1" indent="1"/>
    </xf>
    <xf numFmtId="0" fontId="12" fillId="11" borderId="11" xfId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left" vertical="top" wrapText="1" indent="1"/>
    </xf>
    <xf numFmtId="0" fontId="8" fillId="17" borderId="11" xfId="1" applyFont="1" applyFill="1" applyBorder="1" applyAlignment="1">
      <alignment horizontal="center" vertical="center" wrapText="1"/>
    </xf>
    <xf numFmtId="0" fontId="8" fillId="17" borderId="11" xfId="1" applyFont="1" applyFill="1" applyBorder="1" applyAlignment="1">
      <alignment horizontal="left" vertical="center" wrapText="1" indent="1"/>
    </xf>
    <xf numFmtId="0" fontId="12" fillId="17" borderId="11" xfId="1" applyFont="1" applyFill="1" applyBorder="1" applyAlignment="1">
      <alignment horizontal="center" vertical="center" wrapText="1"/>
    </xf>
    <xf numFmtId="0" fontId="13" fillId="17" borderId="11" xfId="1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left" vertical="top" wrapText="1" indent="1"/>
    </xf>
    <xf numFmtId="0" fontId="16" fillId="11" borderId="11" xfId="1" applyFont="1" applyFill="1" applyBorder="1" applyAlignment="1">
      <alignment horizontal="left" vertical="center" wrapText="1" indent="1"/>
    </xf>
    <xf numFmtId="0" fontId="8" fillId="18" borderId="11" xfId="1" applyFont="1" applyFill="1" applyBorder="1" applyAlignment="1">
      <alignment horizontal="left" vertical="center" wrapText="1" indent="1"/>
    </xf>
    <xf numFmtId="0" fontId="8" fillId="18" borderId="11" xfId="1" applyFont="1" applyFill="1" applyBorder="1" applyAlignment="1">
      <alignment horizontal="center" vertical="center" wrapText="1"/>
    </xf>
    <xf numFmtId="0" fontId="12" fillId="18" borderId="11" xfId="1" applyFont="1" applyFill="1" applyBorder="1" applyAlignment="1">
      <alignment horizontal="center" vertical="center" wrapText="1"/>
    </xf>
    <xf numFmtId="0" fontId="13" fillId="18" borderId="11" xfId="1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left" vertical="top" wrapText="1" inden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</cellXfs>
  <cellStyles count="2">
    <cellStyle name="나쁨" xfId="1" builtinId="27"/>
    <cellStyle name="표준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E1F6C0"/>
      <color rgb="FF99FF66"/>
      <color rgb="FF66FF33"/>
      <color rgb="FFFFFF99"/>
      <color rgb="FF00FF00"/>
      <color rgb="FF006600"/>
      <color rgb="FF7DFF7D"/>
      <color rgb="FFCCFF99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8"/>
  <sheetViews>
    <sheetView tabSelected="1" topLeftCell="B52" zoomScale="90" zoomScaleNormal="90" workbookViewId="0">
      <selection activeCell="K55" sqref="K55"/>
    </sheetView>
  </sheetViews>
  <sheetFormatPr defaultRowHeight="16.5"/>
  <cols>
    <col min="1" max="1" width="16.625" style="2" customWidth="1"/>
    <col min="2" max="2" width="45.625" style="3" customWidth="1"/>
    <col min="3" max="3" width="8.625" style="3" customWidth="1"/>
    <col min="4" max="4" width="56.5" style="3" customWidth="1"/>
    <col min="5" max="5" width="8.625" style="3" customWidth="1"/>
    <col min="6" max="6" width="10.625" style="3" customWidth="1"/>
    <col min="7" max="12" width="10.625" style="5" customWidth="1"/>
    <col min="13" max="13" width="9.125" style="2" customWidth="1"/>
    <col min="14" max="14" width="38.75" style="3" customWidth="1"/>
    <col min="15" max="16384" width="9" style="1"/>
  </cols>
  <sheetData>
    <row r="1" spans="1:14" ht="33">
      <c r="B1" s="4"/>
      <c r="C1" s="4"/>
      <c r="D1" s="10" t="s">
        <v>12</v>
      </c>
      <c r="E1" s="10" t="s">
        <v>28</v>
      </c>
      <c r="F1" s="10" t="s">
        <v>31</v>
      </c>
      <c r="G1" s="10" t="s">
        <v>32</v>
      </c>
      <c r="H1" s="10" t="s">
        <v>44</v>
      </c>
      <c r="I1" s="10" t="s">
        <v>10</v>
      </c>
      <c r="J1" s="10" t="s">
        <v>6</v>
      </c>
      <c r="K1" s="10" t="s">
        <v>33</v>
      </c>
      <c r="L1" s="10"/>
      <c r="M1" s="8"/>
    </row>
    <row r="2" spans="1:14" ht="33">
      <c r="D2" s="28" t="s">
        <v>29</v>
      </c>
      <c r="E2" s="29">
        <v>8</v>
      </c>
      <c r="F2" s="29">
        <v>1</v>
      </c>
      <c r="G2" s="30">
        <f>QUOTIENT(과업목록!G58, (E2 * F2))</f>
        <v>28</v>
      </c>
      <c r="H2" s="30">
        <f>QUOTIENT(과업목록!H58, (E2 * F2))</f>
        <v>48</v>
      </c>
      <c r="I2" s="30">
        <f>QUOTIENT(과업목록!I58, (E2 * F2))</f>
        <v>30</v>
      </c>
      <c r="J2" s="30">
        <f>QUOTIENT(과업목록!J58, (E2 * F2))</f>
        <v>22</v>
      </c>
      <c r="K2" s="30">
        <f>QUOTIENT(과업목록!J58, (E2 * F2))</f>
        <v>22</v>
      </c>
      <c r="L2" s="30"/>
      <c r="M2" s="8"/>
    </row>
    <row r="3" spans="1:14" ht="33">
      <c r="D3" s="28" t="s">
        <v>30</v>
      </c>
      <c r="E3" s="29">
        <v>8</v>
      </c>
      <c r="F3" s="29">
        <v>1</v>
      </c>
      <c r="G3" s="30">
        <f>QUOTIENT(과업목록!G59, (E3 * F3))</f>
        <v>28</v>
      </c>
      <c r="H3" s="30">
        <f>QUOTIENT(과업목록!H59, (E3 * F3))</f>
        <v>48</v>
      </c>
      <c r="I3" s="30">
        <f>QUOTIENT(과업목록!I59, (E3 * F3))</f>
        <v>30</v>
      </c>
      <c r="J3" s="30">
        <f>QUOTIENT(과업목록!J59, (E3 * F3))</f>
        <v>22</v>
      </c>
      <c r="K3" s="30">
        <f>QUOTIENT(과업목록!J59, (E3 * F3))</f>
        <v>22</v>
      </c>
      <c r="L3" s="30"/>
      <c r="M3" s="8"/>
    </row>
    <row r="4" spans="1:14">
      <c r="D4" s="28" t="s">
        <v>49</v>
      </c>
      <c r="E4" s="25"/>
      <c r="F4" s="25"/>
      <c r="G4" s="32">
        <f>'휴무일 목록'!B2</f>
        <v>42270</v>
      </c>
      <c r="H4" s="32">
        <f>'휴무일 목록'!B2</f>
        <v>42270</v>
      </c>
      <c r="I4" s="32">
        <f>'휴무일 목록'!B2</f>
        <v>42270</v>
      </c>
      <c r="J4" s="32">
        <f>'휴무일 목록'!B2</f>
        <v>42270</v>
      </c>
      <c r="K4" s="26"/>
      <c r="L4" s="26"/>
      <c r="M4" s="8"/>
    </row>
    <row r="5" spans="1:14">
      <c r="D5" s="28" t="s">
        <v>50</v>
      </c>
      <c r="E5" s="25"/>
      <c r="F5" s="25"/>
      <c r="G5" s="32">
        <f>WORKDAY('휴무일 목록'!B2,G2,'휴무일 목록'!B4:B59)</f>
        <v>42317</v>
      </c>
      <c r="H5" s="32">
        <f>WORKDAY('휴무일 목록'!B2,H2,'휴무일 목록'!B4:B59)</f>
        <v>42345</v>
      </c>
      <c r="I5" s="32">
        <f>WORKDAY('휴무일 목록'!B2,I2,'휴무일 목록'!B4:B59)</f>
        <v>42319</v>
      </c>
      <c r="J5" s="32">
        <f>WORKDAY('휴무일 목록'!B2,J2,'휴무일 목록'!B4:B59)</f>
        <v>42307</v>
      </c>
      <c r="K5" s="26"/>
      <c r="L5" s="26"/>
      <c r="M5" s="8"/>
    </row>
    <row r="6" spans="1:14">
      <c r="D6" s="28" t="s">
        <v>51</v>
      </c>
      <c r="E6" s="25"/>
      <c r="F6" s="25"/>
      <c r="G6" s="32">
        <f>'휴무일 목록'!B3</f>
        <v>42270</v>
      </c>
      <c r="H6" s="32">
        <f>'휴무일 목록'!B3</f>
        <v>42270</v>
      </c>
      <c r="I6" s="32">
        <f>'휴무일 목록'!B3</f>
        <v>42270</v>
      </c>
      <c r="J6" s="32">
        <f>'휴무일 목록'!B3</f>
        <v>42270</v>
      </c>
      <c r="K6" s="26"/>
      <c r="L6" s="26"/>
      <c r="M6" s="8"/>
    </row>
    <row r="7" spans="1:14">
      <c r="D7" s="28" t="s">
        <v>21</v>
      </c>
      <c r="E7" s="25"/>
      <c r="F7" s="25"/>
      <c r="G7" s="32">
        <f>WORKDAY('휴무일 목록'!B3,G3,'휴무일 목록'!B4:B59)</f>
        <v>42317</v>
      </c>
      <c r="H7" s="32">
        <f>WORKDAY('휴무일 목록'!B3,H3,'휴무일 목록'!B4:B59)</f>
        <v>42345</v>
      </c>
      <c r="I7" s="32">
        <f>WORKDAY('휴무일 목록'!B3,I3,'휴무일 목록'!B4:B59)</f>
        <v>42319</v>
      </c>
      <c r="J7" s="32">
        <f>WORKDAY('휴무일 목록'!B3,J3,'휴무일 목록'!B4:B59)</f>
        <v>42307</v>
      </c>
      <c r="K7" s="26"/>
      <c r="L7" s="26"/>
      <c r="M7" s="8"/>
    </row>
    <row r="8" spans="1:14">
      <c r="D8" s="4"/>
      <c r="E8" s="4"/>
      <c r="F8" s="4"/>
      <c r="M8" s="8"/>
    </row>
    <row r="9" spans="1:14">
      <c r="B9" s="12" t="s">
        <v>17</v>
      </c>
      <c r="C9" s="13"/>
      <c r="D9" s="13"/>
      <c r="E9" s="13"/>
      <c r="F9" s="13"/>
      <c r="G9" s="14"/>
      <c r="H9" s="15">
        <v>8</v>
      </c>
      <c r="I9" s="15"/>
      <c r="J9" s="15">
        <v>0</v>
      </c>
      <c r="K9" s="11">
        <f>SUM(H9,-J9)</f>
        <v>8</v>
      </c>
      <c r="M9" s="8"/>
    </row>
    <row r="10" spans="1:14">
      <c r="B10" s="12" t="s">
        <v>45</v>
      </c>
      <c r="C10" s="13"/>
      <c r="D10" s="13"/>
      <c r="E10" s="13"/>
      <c r="F10" s="13"/>
      <c r="G10" s="14"/>
      <c r="H10" s="15"/>
      <c r="I10" s="15">
        <v>1.7</v>
      </c>
      <c r="J10" s="15"/>
      <c r="K10" s="11"/>
      <c r="M10" s="8"/>
    </row>
    <row r="11" spans="1:14">
      <c r="D11" s="4"/>
      <c r="E11" s="4"/>
      <c r="F11" s="4"/>
      <c r="M11" s="8"/>
    </row>
    <row r="12" spans="1:14" ht="27">
      <c r="A12" s="33" t="s">
        <v>43</v>
      </c>
      <c r="B12" s="34" t="s">
        <v>41</v>
      </c>
      <c r="C12" s="34" t="s">
        <v>48</v>
      </c>
      <c r="D12" s="34" t="s">
        <v>42</v>
      </c>
      <c r="E12" s="34" t="s">
        <v>48</v>
      </c>
      <c r="F12" s="34" t="s">
        <v>23</v>
      </c>
      <c r="G12" s="34" t="s">
        <v>24</v>
      </c>
      <c r="H12" s="34" t="s">
        <v>46</v>
      </c>
      <c r="I12" s="34" t="s">
        <v>47</v>
      </c>
      <c r="J12" s="34" t="s">
        <v>25</v>
      </c>
      <c r="K12" s="34" t="s">
        <v>26</v>
      </c>
      <c r="L12" s="34" t="s">
        <v>27</v>
      </c>
      <c r="M12" s="35" t="s">
        <v>3</v>
      </c>
      <c r="N12" s="34" t="s">
        <v>4</v>
      </c>
    </row>
    <row r="13" spans="1:14">
      <c r="A13" s="66"/>
      <c r="B13" s="63" t="s">
        <v>68</v>
      </c>
      <c r="C13" s="63" t="s">
        <v>69</v>
      </c>
      <c r="D13" s="46" t="s">
        <v>71</v>
      </c>
      <c r="E13" s="46" t="s">
        <v>103</v>
      </c>
      <c r="F13" s="45" t="s">
        <v>146</v>
      </c>
      <c r="G13" s="45">
        <v>4</v>
      </c>
      <c r="H13" s="45">
        <f t="shared" ref="H13:H55" si="0" xml:space="preserve"> G13 * 1.7</f>
        <v>6.8</v>
      </c>
      <c r="I13" s="45">
        <v>2</v>
      </c>
      <c r="J13" s="47">
        <v>2</v>
      </c>
      <c r="K13" s="36">
        <f t="shared" ref="K13:K44" si="1">SUM(I13,-J13)</f>
        <v>0</v>
      </c>
      <c r="L13" s="45">
        <f t="shared" ref="L13:L44" si="2">I13/G13</f>
        <v>0.5</v>
      </c>
      <c r="M13" s="48" t="s">
        <v>53</v>
      </c>
      <c r="N13" s="49" t="s">
        <v>172</v>
      </c>
    </row>
    <row r="14" spans="1:14">
      <c r="A14" s="66"/>
      <c r="B14" s="64"/>
      <c r="C14" s="64"/>
      <c r="D14" s="46" t="s">
        <v>163</v>
      </c>
      <c r="E14" s="46" t="s">
        <v>138</v>
      </c>
      <c r="F14" s="45" t="s">
        <v>146</v>
      </c>
      <c r="G14" s="45">
        <v>4</v>
      </c>
      <c r="H14" s="45">
        <f t="shared" si="0"/>
        <v>6.8</v>
      </c>
      <c r="I14" s="45">
        <v>1</v>
      </c>
      <c r="J14" s="47">
        <v>1</v>
      </c>
      <c r="K14" s="36">
        <f t="shared" si="1"/>
        <v>0</v>
      </c>
      <c r="L14" s="45">
        <f t="shared" si="2"/>
        <v>0.25</v>
      </c>
      <c r="M14" s="48" t="s">
        <v>53</v>
      </c>
      <c r="N14" s="49" t="s">
        <v>173</v>
      </c>
    </row>
    <row r="15" spans="1:14">
      <c r="A15" s="66"/>
      <c r="B15" s="64"/>
      <c r="C15" s="64"/>
      <c r="D15" s="46" t="s">
        <v>72</v>
      </c>
      <c r="E15" s="46" t="s">
        <v>104</v>
      </c>
      <c r="F15" s="45" t="s">
        <v>147</v>
      </c>
      <c r="G15" s="45">
        <v>2</v>
      </c>
      <c r="H15" s="45">
        <f t="shared" ref="H15:H53" si="3" xml:space="preserve"> G15 * 1.7</f>
        <v>3.4</v>
      </c>
      <c r="I15" s="45">
        <v>2</v>
      </c>
      <c r="J15" s="47">
        <v>2</v>
      </c>
      <c r="K15" s="36">
        <f t="shared" si="1"/>
        <v>0</v>
      </c>
      <c r="L15" s="45">
        <f t="shared" si="2"/>
        <v>1</v>
      </c>
      <c r="M15" s="48" t="s">
        <v>53</v>
      </c>
      <c r="N15" s="49" t="s">
        <v>161</v>
      </c>
    </row>
    <row r="16" spans="1:14">
      <c r="A16" s="66"/>
      <c r="B16" s="64"/>
      <c r="C16" s="64"/>
      <c r="D16" s="46" t="s">
        <v>73</v>
      </c>
      <c r="E16" s="46" t="s">
        <v>105</v>
      </c>
      <c r="F16" s="45" t="s">
        <v>146</v>
      </c>
      <c r="G16" s="45">
        <v>1</v>
      </c>
      <c r="H16" s="45">
        <f t="shared" si="3"/>
        <v>1.7</v>
      </c>
      <c r="I16" s="45">
        <v>1</v>
      </c>
      <c r="J16" s="47">
        <v>1</v>
      </c>
      <c r="K16" s="36">
        <f t="shared" si="1"/>
        <v>0</v>
      </c>
      <c r="L16" s="45">
        <f t="shared" si="2"/>
        <v>1</v>
      </c>
      <c r="M16" s="48" t="s">
        <v>53</v>
      </c>
      <c r="N16" s="49" t="s">
        <v>141</v>
      </c>
    </row>
    <row r="17" spans="1:14">
      <c r="A17" s="66"/>
      <c r="B17" s="64"/>
      <c r="C17" s="64"/>
      <c r="D17" s="56" t="s">
        <v>74</v>
      </c>
      <c r="E17" s="46" t="s">
        <v>139</v>
      </c>
      <c r="F17" s="45" t="s">
        <v>145</v>
      </c>
      <c r="G17" s="45">
        <v>6</v>
      </c>
      <c r="H17" s="45">
        <f t="shared" si="3"/>
        <v>10.199999999999999</v>
      </c>
      <c r="I17" s="45">
        <v>6</v>
      </c>
      <c r="J17" s="47">
        <v>6</v>
      </c>
      <c r="K17" s="36">
        <f t="shared" si="1"/>
        <v>0</v>
      </c>
      <c r="L17" s="45">
        <f t="shared" si="2"/>
        <v>1</v>
      </c>
      <c r="M17" s="48" t="s">
        <v>53</v>
      </c>
      <c r="N17" s="49" t="s">
        <v>63</v>
      </c>
    </row>
    <row r="18" spans="1:14">
      <c r="A18" s="66"/>
      <c r="B18" s="64"/>
      <c r="C18" s="64"/>
      <c r="D18" s="46" t="s">
        <v>75</v>
      </c>
      <c r="E18" s="46" t="s">
        <v>140</v>
      </c>
      <c r="F18" s="45" t="s">
        <v>148</v>
      </c>
      <c r="G18" s="45">
        <v>6</v>
      </c>
      <c r="H18" s="45">
        <f t="shared" si="3"/>
        <v>10.199999999999999</v>
      </c>
      <c r="I18" s="45">
        <v>6</v>
      </c>
      <c r="J18" s="47">
        <v>6</v>
      </c>
      <c r="K18" s="36">
        <f t="shared" si="1"/>
        <v>0</v>
      </c>
      <c r="L18" s="45">
        <f t="shared" si="2"/>
        <v>1</v>
      </c>
      <c r="M18" s="48" t="s">
        <v>53</v>
      </c>
      <c r="N18" s="49" t="s">
        <v>63</v>
      </c>
    </row>
    <row r="19" spans="1:14">
      <c r="A19" s="66"/>
      <c r="B19" s="64"/>
      <c r="C19" s="64"/>
      <c r="D19" s="46" t="s">
        <v>76</v>
      </c>
      <c r="E19" s="46" t="s">
        <v>106</v>
      </c>
      <c r="F19" s="45" t="s">
        <v>146</v>
      </c>
      <c r="G19" s="45">
        <v>4</v>
      </c>
      <c r="H19" s="45">
        <f t="shared" si="3"/>
        <v>6.8</v>
      </c>
      <c r="I19" s="45">
        <v>4</v>
      </c>
      <c r="J19" s="47">
        <v>4</v>
      </c>
      <c r="K19" s="36">
        <f t="shared" si="1"/>
        <v>0</v>
      </c>
      <c r="L19" s="45">
        <f t="shared" si="2"/>
        <v>1</v>
      </c>
      <c r="M19" s="48" t="s">
        <v>53</v>
      </c>
      <c r="N19" s="49" t="s">
        <v>63</v>
      </c>
    </row>
    <row r="20" spans="1:14">
      <c r="A20" s="66"/>
      <c r="B20" s="64"/>
      <c r="C20" s="64"/>
      <c r="D20" s="46" t="s">
        <v>77</v>
      </c>
      <c r="E20" s="46" t="s">
        <v>107</v>
      </c>
      <c r="F20" s="45" t="s">
        <v>146</v>
      </c>
      <c r="G20" s="45">
        <v>4</v>
      </c>
      <c r="H20" s="45">
        <f t="shared" si="3"/>
        <v>6.8</v>
      </c>
      <c r="I20" s="45">
        <v>2</v>
      </c>
      <c r="J20" s="47">
        <v>2</v>
      </c>
      <c r="K20" s="36">
        <f t="shared" si="1"/>
        <v>0</v>
      </c>
      <c r="L20" s="45">
        <f t="shared" si="2"/>
        <v>0.5</v>
      </c>
      <c r="M20" s="48" t="s">
        <v>53</v>
      </c>
      <c r="N20" s="49" t="s">
        <v>142</v>
      </c>
    </row>
    <row r="21" spans="1:14">
      <c r="A21" s="66"/>
      <c r="B21" s="64"/>
      <c r="C21" s="64"/>
      <c r="D21" s="46" t="s">
        <v>78</v>
      </c>
      <c r="E21" s="46" t="s">
        <v>108</v>
      </c>
      <c r="F21" s="45" t="s">
        <v>149</v>
      </c>
      <c r="G21" s="45">
        <v>4</v>
      </c>
      <c r="H21" s="45">
        <f t="shared" si="3"/>
        <v>6.8</v>
      </c>
      <c r="I21" s="45">
        <v>2</v>
      </c>
      <c r="J21" s="47">
        <v>2</v>
      </c>
      <c r="K21" s="36">
        <f t="shared" si="1"/>
        <v>0</v>
      </c>
      <c r="L21" s="45">
        <f t="shared" si="2"/>
        <v>0.5</v>
      </c>
      <c r="M21" s="48" t="s">
        <v>53</v>
      </c>
      <c r="N21" s="49" t="s">
        <v>169</v>
      </c>
    </row>
    <row r="22" spans="1:14">
      <c r="A22" s="66"/>
      <c r="B22" s="64"/>
      <c r="C22" s="64"/>
      <c r="D22" s="46" t="s">
        <v>79</v>
      </c>
      <c r="E22" s="46" t="s">
        <v>109</v>
      </c>
      <c r="F22" s="45" t="s">
        <v>149</v>
      </c>
      <c r="G22" s="45">
        <v>4</v>
      </c>
      <c r="H22" s="45">
        <f t="shared" si="3"/>
        <v>6.8</v>
      </c>
      <c r="I22" s="45">
        <v>1</v>
      </c>
      <c r="J22" s="47">
        <v>1</v>
      </c>
      <c r="K22" s="36">
        <f t="shared" si="1"/>
        <v>0</v>
      </c>
      <c r="L22" s="45">
        <f t="shared" si="2"/>
        <v>0.25</v>
      </c>
      <c r="M22" s="48" t="s">
        <v>53</v>
      </c>
      <c r="N22" s="49" t="s">
        <v>169</v>
      </c>
    </row>
    <row r="23" spans="1:14" ht="27">
      <c r="A23" s="66"/>
      <c r="B23" s="64"/>
      <c r="C23" s="64"/>
      <c r="D23" s="46" t="s">
        <v>80</v>
      </c>
      <c r="E23" s="46" t="s">
        <v>110</v>
      </c>
      <c r="F23" s="45" t="s">
        <v>149</v>
      </c>
      <c r="G23" s="45">
        <v>4</v>
      </c>
      <c r="H23" s="45">
        <f t="shared" si="3"/>
        <v>6.8</v>
      </c>
      <c r="I23" s="45">
        <v>1</v>
      </c>
      <c r="J23" s="47">
        <v>1</v>
      </c>
      <c r="K23" s="36">
        <f t="shared" si="1"/>
        <v>0</v>
      </c>
      <c r="L23" s="45">
        <f t="shared" si="2"/>
        <v>0.25</v>
      </c>
      <c r="M23" s="48" t="s">
        <v>53</v>
      </c>
      <c r="N23" s="49" t="s">
        <v>169</v>
      </c>
    </row>
    <row r="24" spans="1:14">
      <c r="A24" s="66"/>
      <c r="B24" s="64"/>
      <c r="C24" s="64"/>
      <c r="D24" s="46" t="s">
        <v>81</v>
      </c>
      <c r="E24" s="46" t="s">
        <v>111</v>
      </c>
      <c r="F24" s="45" t="s">
        <v>149</v>
      </c>
      <c r="G24" s="45">
        <v>4</v>
      </c>
      <c r="H24" s="45">
        <f t="shared" si="3"/>
        <v>6.8</v>
      </c>
      <c r="I24" s="45">
        <v>1</v>
      </c>
      <c r="J24" s="47">
        <v>1</v>
      </c>
      <c r="K24" s="36">
        <f t="shared" si="1"/>
        <v>0</v>
      </c>
      <c r="L24" s="45">
        <f t="shared" si="2"/>
        <v>0.25</v>
      </c>
      <c r="M24" s="48" t="s">
        <v>53</v>
      </c>
      <c r="N24" s="49" t="s">
        <v>169</v>
      </c>
    </row>
    <row r="25" spans="1:14">
      <c r="A25" s="66"/>
      <c r="B25" s="64"/>
      <c r="C25" s="64"/>
      <c r="D25" s="46" t="s">
        <v>82</v>
      </c>
      <c r="E25" s="46" t="s">
        <v>112</v>
      </c>
      <c r="F25" s="45" t="s">
        <v>149</v>
      </c>
      <c r="G25" s="45">
        <v>4</v>
      </c>
      <c r="H25" s="45">
        <f t="shared" si="3"/>
        <v>6.8</v>
      </c>
      <c r="I25" s="45">
        <v>1</v>
      </c>
      <c r="J25" s="47">
        <v>1</v>
      </c>
      <c r="K25" s="36">
        <f t="shared" si="1"/>
        <v>0</v>
      </c>
      <c r="L25" s="45">
        <f t="shared" si="2"/>
        <v>0.25</v>
      </c>
      <c r="M25" s="48" t="s">
        <v>53</v>
      </c>
      <c r="N25" s="49" t="s">
        <v>169</v>
      </c>
    </row>
    <row r="26" spans="1:14">
      <c r="A26" s="66"/>
      <c r="B26" s="64"/>
      <c r="C26" s="64"/>
      <c r="D26" s="46" t="s">
        <v>83</v>
      </c>
      <c r="E26" s="46" t="s">
        <v>113</v>
      </c>
      <c r="F26" s="45" t="s">
        <v>149</v>
      </c>
      <c r="G26" s="45">
        <v>4</v>
      </c>
      <c r="H26" s="45">
        <f t="shared" si="3"/>
        <v>6.8</v>
      </c>
      <c r="I26" s="45">
        <v>4</v>
      </c>
      <c r="J26" s="47">
        <v>1</v>
      </c>
      <c r="K26" s="36">
        <f t="shared" si="1"/>
        <v>3</v>
      </c>
      <c r="L26" s="45">
        <f t="shared" si="2"/>
        <v>1</v>
      </c>
      <c r="M26" s="48" t="s">
        <v>53</v>
      </c>
      <c r="N26" s="49" t="s">
        <v>176</v>
      </c>
    </row>
    <row r="27" spans="1:14">
      <c r="A27" s="66"/>
      <c r="B27" s="64"/>
      <c r="C27" s="64"/>
      <c r="D27" s="46" t="s">
        <v>84</v>
      </c>
      <c r="E27" s="46" t="s">
        <v>114</v>
      </c>
      <c r="F27" s="45" t="s">
        <v>149</v>
      </c>
      <c r="G27" s="45">
        <v>4</v>
      </c>
      <c r="H27" s="45">
        <f t="shared" si="3"/>
        <v>6.8</v>
      </c>
      <c r="I27" s="45">
        <v>4</v>
      </c>
      <c r="J27" s="47">
        <v>1</v>
      </c>
      <c r="K27" s="36">
        <f t="shared" si="1"/>
        <v>3</v>
      </c>
      <c r="L27" s="45">
        <f t="shared" si="2"/>
        <v>1</v>
      </c>
      <c r="M27" s="48" t="s">
        <v>53</v>
      </c>
      <c r="N27" s="49" t="s">
        <v>176</v>
      </c>
    </row>
    <row r="28" spans="1:14">
      <c r="A28" s="66"/>
      <c r="B28" s="64"/>
      <c r="C28" s="64"/>
      <c r="D28" s="46" t="s">
        <v>85</v>
      </c>
      <c r="E28" s="46" t="s">
        <v>115</v>
      </c>
      <c r="F28" s="45" t="s">
        <v>149</v>
      </c>
      <c r="G28" s="45">
        <v>4</v>
      </c>
      <c r="H28" s="45">
        <f t="shared" si="3"/>
        <v>6.8</v>
      </c>
      <c r="I28" s="45">
        <v>4</v>
      </c>
      <c r="J28" s="47">
        <v>0.5</v>
      </c>
      <c r="K28" s="36">
        <f t="shared" si="1"/>
        <v>3.5</v>
      </c>
      <c r="L28" s="45">
        <f t="shared" si="2"/>
        <v>1</v>
      </c>
      <c r="M28" s="48" t="s">
        <v>53</v>
      </c>
      <c r="N28" s="49" t="s">
        <v>176</v>
      </c>
    </row>
    <row r="29" spans="1:14">
      <c r="A29" s="66"/>
      <c r="B29" s="64"/>
      <c r="C29" s="64"/>
      <c r="D29" s="46" t="s">
        <v>86</v>
      </c>
      <c r="E29" s="46" t="s">
        <v>116</v>
      </c>
      <c r="F29" s="45" t="s">
        <v>149</v>
      </c>
      <c r="G29" s="45">
        <v>4</v>
      </c>
      <c r="H29" s="45">
        <f t="shared" si="3"/>
        <v>6.8</v>
      </c>
      <c r="I29" s="45">
        <v>4</v>
      </c>
      <c r="J29" s="47">
        <v>0.5</v>
      </c>
      <c r="K29" s="36">
        <f t="shared" si="1"/>
        <v>3.5</v>
      </c>
      <c r="L29" s="45">
        <f t="shared" si="2"/>
        <v>1</v>
      </c>
      <c r="M29" s="48" t="s">
        <v>53</v>
      </c>
      <c r="N29" s="49" t="s">
        <v>176</v>
      </c>
    </row>
    <row r="30" spans="1:14">
      <c r="A30" s="66"/>
      <c r="B30" s="64"/>
      <c r="C30" s="64"/>
      <c r="D30" s="46" t="s">
        <v>87</v>
      </c>
      <c r="E30" s="46" t="s">
        <v>117</v>
      </c>
      <c r="F30" s="45" t="s">
        <v>149</v>
      </c>
      <c r="G30" s="45">
        <v>4</v>
      </c>
      <c r="H30" s="45">
        <f t="shared" si="3"/>
        <v>6.8</v>
      </c>
      <c r="I30" s="45">
        <v>6</v>
      </c>
      <c r="J30" s="47">
        <v>6</v>
      </c>
      <c r="K30" s="36">
        <f t="shared" si="1"/>
        <v>0</v>
      </c>
      <c r="L30" s="45">
        <f t="shared" si="2"/>
        <v>1.5</v>
      </c>
      <c r="M30" s="48" t="s">
        <v>53</v>
      </c>
      <c r="N30" s="49" t="s">
        <v>63</v>
      </c>
    </row>
    <row r="31" spans="1:14">
      <c r="A31" s="66"/>
      <c r="B31" s="64"/>
      <c r="C31" s="64"/>
      <c r="D31" s="46" t="s">
        <v>154</v>
      </c>
      <c r="E31" s="46" t="s">
        <v>118</v>
      </c>
      <c r="F31" s="45" t="s">
        <v>149</v>
      </c>
      <c r="G31" s="45">
        <v>4</v>
      </c>
      <c r="H31" s="45">
        <f t="shared" si="3"/>
        <v>6.8</v>
      </c>
      <c r="I31" s="45">
        <v>4</v>
      </c>
      <c r="J31" s="47">
        <v>4</v>
      </c>
      <c r="K31" s="36">
        <f t="shared" si="1"/>
        <v>0</v>
      </c>
      <c r="L31" s="45">
        <f t="shared" si="2"/>
        <v>1</v>
      </c>
      <c r="M31" s="48" t="s">
        <v>53</v>
      </c>
      <c r="N31" s="49" t="s">
        <v>170</v>
      </c>
    </row>
    <row r="32" spans="1:14">
      <c r="A32" s="66"/>
      <c r="B32" s="64"/>
      <c r="C32" s="64"/>
      <c r="D32" s="57" t="s">
        <v>155</v>
      </c>
      <c r="E32" s="57" t="s">
        <v>119</v>
      </c>
      <c r="F32" s="58" t="s">
        <v>149</v>
      </c>
      <c r="G32" s="58">
        <v>4</v>
      </c>
      <c r="H32" s="58">
        <f t="shared" si="3"/>
        <v>6.8</v>
      </c>
      <c r="I32" s="58">
        <v>0</v>
      </c>
      <c r="J32" s="59">
        <v>0</v>
      </c>
      <c r="K32" s="60">
        <f t="shared" si="1"/>
        <v>0</v>
      </c>
      <c r="L32" s="58">
        <f t="shared" si="2"/>
        <v>0</v>
      </c>
      <c r="M32" s="61" t="s">
        <v>53</v>
      </c>
      <c r="N32" s="62" t="s">
        <v>171</v>
      </c>
    </row>
    <row r="33" spans="1:14">
      <c r="A33" s="66"/>
      <c r="B33" s="64"/>
      <c r="C33" s="64"/>
      <c r="D33" s="57" t="s">
        <v>156</v>
      </c>
      <c r="E33" s="57" t="s">
        <v>120</v>
      </c>
      <c r="F33" s="58" t="s">
        <v>149</v>
      </c>
      <c r="G33" s="58">
        <v>4</v>
      </c>
      <c r="H33" s="58">
        <f t="shared" si="3"/>
        <v>6.8</v>
      </c>
      <c r="I33" s="58">
        <v>0</v>
      </c>
      <c r="J33" s="59">
        <v>0</v>
      </c>
      <c r="K33" s="60">
        <f t="shared" si="1"/>
        <v>0</v>
      </c>
      <c r="L33" s="58">
        <f t="shared" si="2"/>
        <v>0</v>
      </c>
      <c r="M33" s="61" t="s">
        <v>53</v>
      </c>
      <c r="N33" s="62" t="s">
        <v>171</v>
      </c>
    </row>
    <row r="34" spans="1:14" ht="27">
      <c r="A34" s="66"/>
      <c r="B34" s="64"/>
      <c r="C34" s="64"/>
      <c r="D34" s="46" t="s">
        <v>157</v>
      </c>
      <c r="E34" s="46" t="s">
        <v>121</v>
      </c>
      <c r="F34" s="45" t="s">
        <v>149</v>
      </c>
      <c r="G34" s="45">
        <v>4</v>
      </c>
      <c r="H34" s="45">
        <f t="shared" si="3"/>
        <v>6.8</v>
      </c>
      <c r="I34" s="45">
        <v>1</v>
      </c>
      <c r="J34" s="47">
        <v>1</v>
      </c>
      <c r="K34" s="36">
        <f t="shared" si="1"/>
        <v>0</v>
      </c>
      <c r="L34" s="45">
        <f t="shared" si="2"/>
        <v>0.25</v>
      </c>
      <c r="M34" s="48" t="s">
        <v>53</v>
      </c>
      <c r="N34" s="49" t="s">
        <v>153</v>
      </c>
    </row>
    <row r="35" spans="1:14">
      <c r="A35" s="66"/>
      <c r="B35" s="64"/>
      <c r="C35" s="64"/>
      <c r="D35" s="46" t="s">
        <v>158</v>
      </c>
      <c r="E35" s="46" t="s">
        <v>122</v>
      </c>
      <c r="F35" s="45" t="s">
        <v>149</v>
      </c>
      <c r="G35" s="45">
        <v>4</v>
      </c>
      <c r="H35" s="45">
        <f t="shared" si="3"/>
        <v>6.8</v>
      </c>
      <c r="I35" s="45">
        <v>1</v>
      </c>
      <c r="J35" s="47">
        <v>1</v>
      </c>
      <c r="K35" s="36">
        <f t="shared" si="1"/>
        <v>0</v>
      </c>
      <c r="L35" s="45">
        <f t="shared" si="2"/>
        <v>0.25</v>
      </c>
      <c r="M35" s="48" t="s">
        <v>53</v>
      </c>
      <c r="N35" s="49" t="s">
        <v>174</v>
      </c>
    </row>
    <row r="36" spans="1:14" ht="27">
      <c r="A36" s="66"/>
      <c r="B36" s="64"/>
      <c r="C36" s="64"/>
      <c r="D36" s="46" t="s">
        <v>88</v>
      </c>
      <c r="E36" s="46" t="s">
        <v>123</v>
      </c>
      <c r="F36" s="45" t="s">
        <v>149</v>
      </c>
      <c r="G36" s="45">
        <v>4</v>
      </c>
      <c r="H36" s="45">
        <f t="shared" si="3"/>
        <v>6.8</v>
      </c>
      <c r="I36" s="45">
        <v>0.5</v>
      </c>
      <c r="J36" s="47">
        <v>0.5</v>
      </c>
      <c r="K36" s="36">
        <f t="shared" si="1"/>
        <v>0</v>
      </c>
      <c r="L36" s="45">
        <f t="shared" si="2"/>
        <v>0.125</v>
      </c>
      <c r="M36" s="48" t="s">
        <v>53</v>
      </c>
      <c r="N36" s="49" t="s">
        <v>63</v>
      </c>
    </row>
    <row r="37" spans="1:14" ht="27">
      <c r="A37" s="66"/>
      <c r="B37" s="64"/>
      <c r="C37" s="64"/>
      <c r="D37" s="46" t="s">
        <v>89</v>
      </c>
      <c r="E37" s="46" t="s">
        <v>124</v>
      </c>
      <c r="F37" s="45" t="s">
        <v>149</v>
      </c>
      <c r="G37" s="45">
        <v>4</v>
      </c>
      <c r="H37" s="45">
        <f t="shared" si="3"/>
        <v>6.8</v>
      </c>
      <c r="I37" s="45">
        <v>4</v>
      </c>
      <c r="J37" s="47">
        <v>0.25</v>
      </c>
      <c r="K37" s="36">
        <f t="shared" si="1"/>
        <v>3.75</v>
      </c>
      <c r="L37" s="45">
        <f t="shared" si="2"/>
        <v>1</v>
      </c>
      <c r="M37" s="48" t="s">
        <v>53</v>
      </c>
      <c r="N37" s="49" t="s">
        <v>63</v>
      </c>
    </row>
    <row r="38" spans="1:14">
      <c r="A38" s="66"/>
      <c r="B38" s="64"/>
      <c r="C38" s="64"/>
      <c r="D38" s="57" t="s">
        <v>90</v>
      </c>
      <c r="E38" s="57" t="s">
        <v>125</v>
      </c>
      <c r="F38" s="58" t="s">
        <v>149</v>
      </c>
      <c r="G38" s="58">
        <v>4</v>
      </c>
      <c r="H38" s="58">
        <f t="shared" si="3"/>
        <v>6.8</v>
      </c>
      <c r="I38" s="58">
        <v>0</v>
      </c>
      <c r="J38" s="59">
        <v>0</v>
      </c>
      <c r="K38" s="60">
        <f t="shared" si="1"/>
        <v>0</v>
      </c>
      <c r="L38" s="58">
        <f t="shared" si="2"/>
        <v>0</v>
      </c>
      <c r="M38" s="61" t="s">
        <v>53</v>
      </c>
      <c r="N38" s="62" t="s">
        <v>182</v>
      </c>
    </row>
    <row r="39" spans="1:14">
      <c r="A39" s="66"/>
      <c r="B39" s="64"/>
      <c r="C39" s="64"/>
      <c r="D39" s="46" t="s">
        <v>91</v>
      </c>
      <c r="E39" s="46" t="s">
        <v>126</v>
      </c>
      <c r="F39" s="45" t="s">
        <v>149</v>
      </c>
      <c r="G39" s="45">
        <v>4</v>
      </c>
      <c r="H39" s="45">
        <f t="shared" si="3"/>
        <v>6.8</v>
      </c>
      <c r="I39" s="45">
        <v>1</v>
      </c>
      <c r="J39" s="47">
        <v>1</v>
      </c>
      <c r="K39" s="36">
        <f t="shared" si="1"/>
        <v>0</v>
      </c>
      <c r="L39" s="45">
        <f t="shared" si="2"/>
        <v>0.25</v>
      </c>
      <c r="M39" s="48" t="s">
        <v>53</v>
      </c>
      <c r="N39" s="49" t="s">
        <v>178</v>
      </c>
    </row>
    <row r="40" spans="1:14">
      <c r="A40" s="66"/>
      <c r="B40" s="64"/>
      <c r="C40" s="64"/>
      <c r="D40" s="46" t="s">
        <v>92</v>
      </c>
      <c r="E40" s="46" t="s">
        <v>127</v>
      </c>
      <c r="F40" s="45" t="s">
        <v>149</v>
      </c>
      <c r="G40" s="45">
        <v>4</v>
      </c>
      <c r="H40" s="45">
        <f t="shared" si="3"/>
        <v>6.8</v>
      </c>
      <c r="I40" s="45">
        <v>0.25</v>
      </c>
      <c r="J40" s="47">
        <v>0.25</v>
      </c>
      <c r="K40" s="36">
        <f t="shared" si="1"/>
        <v>0</v>
      </c>
      <c r="L40" s="45">
        <f t="shared" si="2"/>
        <v>6.25E-2</v>
      </c>
      <c r="M40" s="48" t="s">
        <v>53</v>
      </c>
      <c r="N40" s="49" t="s">
        <v>63</v>
      </c>
    </row>
    <row r="41" spans="1:14">
      <c r="A41" s="66"/>
      <c r="B41" s="64"/>
      <c r="C41" s="64"/>
      <c r="D41" s="46" t="s">
        <v>93</v>
      </c>
      <c r="E41" s="46" t="s">
        <v>128</v>
      </c>
      <c r="F41" s="45" t="s">
        <v>149</v>
      </c>
      <c r="G41" s="45">
        <v>4</v>
      </c>
      <c r="H41" s="45">
        <f t="shared" si="3"/>
        <v>6.8</v>
      </c>
      <c r="I41" s="45">
        <v>4</v>
      </c>
      <c r="J41" s="47">
        <v>4</v>
      </c>
      <c r="K41" s="36">
        <f t="shared" si="1"/>
        <v>0</v>
      </c>
      <c r="L41" s="45">
        <f t="shared" si="2"/>
        <v>1</v>
      </c>
      <c r="M41" s="48" t="s">
        <v>53</v>
      </c>
      <c r="N41" s="49" t="s">
        <v>177</v>
      </c>
    </row>
    <row r="42" spans="1:14">
      <c r="A42" s="66"/>
      <c r="B42" s="64"/>
      <c r="C42" s="64"/>
      <c r="D42" s="57" t="s">
        <v>94</v>
      </c>
      <c r="E42" s="57" t="s">
        <v>129</v>
      </c>
      <c r="F42" s="58" t="s">
        <v>149</v>
      </c>
      <c r="G42" s="58">
        <v>4</v>
      </c>
      <c r="H42" s="58">
        <f t="shared" si="3"/>
        <v>6.8</v>
      </c>
      <c r="I42" s="58">
        <v>0</v>
      </c>
      <c r="J42" s="59">
        <v>0</v>
      </c>
      <c r="K42" s="60">
        <f t="shared" si="1"/>
        <v>0</v>
      </c>
      <c r="L42" s="58">
        <f t="shared" si="2"/>
        <v>0</v>
      </c>
      <c r="M42" s="61" t="s">
        <v>53</v>
      </c>
      <c r="N42" s="62" t="s">
        <v>183</v>
      </c>
    </row>
    <row r="43" spans="1:14">
      <c r="A43" s="66"/>
      <c r="B43" s="64"/>
      <c r="C43" s="64"/>
      <c r="D43" s="46" t="s">
        <v>95</v>
      </c>
      <c r="E43" s="46" t="s">
        <v>130</v>
      </c>
      <c r="F43" s="45" t="s">
        <v>149</v>
      </c>
      <c r="G43" s="45">
        <v>4</v>
      </c>
      <c r="H43" s="45">
        <f t="shared" si="3"/>
        <v>6.8</v>
      </c>
      <c r="I43" s="45">
        <v>4.5</v>
      </c>
      <c r="J43" s="47">
        <v>4.5</v>
      </c>
      <c r="K43" s="36">
        <f t="shared" si="1"/>
        <v>0</v>
      </c>
      <c r="L43" s="45">
        <f t="shared" si="2"/>
        <v>1.125</v>
      </c>
      <c r="M43" s="48" t="s">
        <v>53</v>
      </c>
      <c r="N43" s="49" t="s">
        <v>63</v>
      </c>
    </row>
    <row r="44" spans="1:14">
      <c r="A44" s="66"/>
      <c r="B44" s="64"/>
      <c r="C44" s="64"/>
      <c r="D44" s="57" t="s">
        <v>96</v>
      </c>
      <c r="E44" s="57" t="s">
        <v>131</v>
      </c>
      <c r="F44" s="58" t="s">
        <v>149</v>
      </c>
      <c r="G44" s="58">
        <v>4</v>
      </c>
      <c r="H44" s="58">
        <f t="shared" si="3"/>
        <v>6.8</v>
      </c>
      <c r="I44" s="58">
        <v>0</v>
      </c>
      <c r="J44" s="59">
        <v>0</v>
      </c>
      <c r="K44" s="60">
        <f t="shared" si="1"/>
        <v>0</v>
      </c>
      <c r="L44" s="58">
        <f t="shared" si="2"/>
        <v>0</v>
      </c>
      <c r="M44" s="61" t="s">
        <v>53</v>
      </c>
      <c r="N44" s="62" t="s">
        <v>182</v>
      </c>
    </row>
    <row r="45" spans="1:14">
      <c r="A45" s="66"/>
      <c r="B45" s="64"/>
      <c r="C45" s="64"/>
      <c r="D45" s="57" t="s">
        <v>97</v>
      </c>
      <c r="E45" s="57" t="s">
        <v>132</v>
      </c>
      <c r="F45" s="58" t="s">
        <v>149</v>
      </c>
      <c r="G45" s="58">
        <v>4</v>
      </c>
      <c r="H45" s="58">
        <f t="shared" si="3"/>
        <v>6.8</v>
      </c>
      <c r="I45" s="58">
        <v>8</v>
      </c>
      <c r="J45" s="59">
        <v>8</v>
      </c>
      <c r="K45" s="60">
        <f t="shared" ref="K45:K50" si="4">SUM(I45,-J45)</f>
        <v>0</v>
      </c>
      <c r="L45" s="58">
        <f t="shared" ref="L45:L50" si="5">I45/G45</f>
        <v>2</v>
      </c>
      <c r="M45" s="61" t="s">
        <v>53</v>
      </c>
      <c r="N45" s="62" t="s">
        <v>182</v>
      </c>
    </row>
    <row r="46" spans="1:14">
      <c r="A46" s="66"/>
      <c r="B46" s="64"/>
      <c r="C46" s="64"/>
      <c r="D46" s="57" t="s">
        <v>98</v>
      </c>
      <c r="E46" s="57" t="s">
        <v>133</v>
      </c>
      <c r="F46" s="58" t="s">
        <v>149</v>
      </c>
      <c r="G46" s="58">
        <v>4</v>
      </c>
      <c r="H46" s="58">
        <f t="shared" si="3"/>
        <v>6.8</v>
      </c>
      <c r="I46" s="58">
        <v>0</v>
      </c>
      <c r="J46" s="59">
        <v>0</v>
      </c>
      <c r="K46" s="60">
        <f t="shared" si="4"/>
        <v>0</v>
      </c>
      <c r="L46" s="58">
        <f t="shared" si="5"/>
        <v>0</v>
      </c>
      <c r="M46" s="61" t="s">
        <v>53</v>
      </c>
      <c r="N46" s="62" t="s">
        <v>182</v>
      </c>
    </row>
    <row r="47" spans="1:14">
      <c r="A47" s="66"/>
      <c r="B47" s="64"/>
      <c r="C47" s="64"/>
      <c r="D47" s="57" t="s">
        <v>99</v>
      </c>
      <c r="E47" s="57" t="s">
        <v>134</v>
      </c>
      <c r="F47" s="58" t="s">
        <v>149</v>
      </c>
      <c r="G47" s="58">
        <v>4</v>
      </c>
      <c r="H47" s="58">
        <f t="shared" si="3"/>
        <v>6.8</v>
      </c>
      <c r="I47" s="58">
        <v>0</v>
      </c>
      <c r="J47" s="59">
        <v>0</v>
      </c>
      <c r="K47" s="60">
        <f t="shared" si="4"/>
        <v>0</v>
      </c>
      <c r="L47" s="58">
        <f t="shared" si="5"/>
        <v>0</v>
      </c>
      <c r="M47" s="61" t="s">
        <v>53</v>
      </c>
      <c r="N47" s="62" t="s">
        <v>182</v>
      </c>
    </row>
    <row r="48" spans="1:14" ht="27">
      <c r="A48" s="66"/>
      <c r="B48" s="64"/>
      <c r="C48" s="64"/>
      <c r="D48" s="57" t="s">
        <v>100</v>
      </c>
      <c r="E48" s="57" t="s">
        <v>135</v>
      </c>
      <c r="F48" s="58" t="s">
        <v>149</v>
      </c>
      <c r="G48" s="58">
        <v>4</v>
      </c>
      <c r="H48" s="58">
        <f t="shared" si="3"/>
        <v>6.8</v>
      </c>
      <c r="I48" s="58">
        <v>0</v>
      </c>
      <c r="J48" s="59">
        <v>0</v>
      </c>
      <c r="K48" s="60">
        <f t="shared" si="4"/>
        <v>0</v>
      </c>
      <c r="L48" s="58">
        <f t="shared" si="5"/>
        <v>0</v>
      </c>
      <c r="M48" s="61" t="s">
        <v>53</v>
      </c>
      <c r="N48" s="62" t="s">
        <v>182</v>
      </c>
    </row>
    <row r="49" spans="1:14" ht="27">
      <c r="A49" s="66"/>
      <c r="B49" s="64"/>
      <c r="C49" s="64"/>
      <c r="D49" s="57" t="s">
        <v>101</v>
      </c>
      <c r="E49" s="57" t="s">
        <v>136</v>
      </c>
      <c r="F49" s="58" t="s">
        <v>149</v>
      </c>
      <c r="G49" s="58">
        <v>4</v>
      </c>
      <c r="H49" s="58">
        <f t="shared" si="3"/>
        <v>6.8</v>
      </c>
      <c r="I49" s="58">
        <v>0</v>
      </c>
      <c r="J49" s="59">
        <v>0</v>
      </c>
      <c r="K49" s="60">
        <f t="shared" si="4"/>
        <v>0</v>
      </c>
      <c r="L49" s="58">
        <f t="shared" si="5"/>
        <v>0</v>
      </c>
      <c r="M49" s="61" t="s">
        <v>53</v>
      </c>
      <c r="N49" s="62" t="s">
        <v>182</v>
      </c>
    </row>
    <row r="50" spans="1:14" ht="27">
      <c r="A50" s="66"/>
      <c r="B50" s="64"/>
      <c r="C50" s="64"/>
      <c r="D50" s="46" t="s">
        <v>102</v>
      </c>
      <c r="E50" s="46" t="s">
        <v>137</v>
      </c>
      <c r="F50" s="45" t="s">
        <v>144</v>
      </c>
      <c r="G50" s="45">
        <v>4</v>
      </c>
      <c r="H50" s="45">
        <f t="shared" ref="H50" si="6" xml:space="preserve"> G50 * 1.7</f>
        <v>6.8</v>
      </c>
      <c r="I50" s="45">
        <v>8</v>
      </c>
      <c r="J50" s="47">
        <v>8</v>
      </c>
      <c r="K50" s="36">
        <f t="shared" si="4"/>
        <v>0</v>
      </c>
      <c r="L50" s="45">
        <f t="shared" si="5"/>
        <v>2</v>
      </c>
      <c r="M50" s="48" t="s">
        <v>53</v>
      </c>
      <c r="N50" s="49" t="s">
        <v>181</v>
      </c>
    </row>
    <row r="51" spans="1:14" ht="54">
      <c r="A51" s="66"/>
      <c r="B51" s="64"/>
      <c r="C51" s="64"/>
      <c r="D51" s="46" t="s">
        <v>165</v>
      </c>
      <c r="E51" s="46" t="s">
        <v>164</v>
      </c>
      <c r="F51" s="45" t="s">
        <v>144</v>
      </c>
      <c r="G51" s="45">
        <v>8</v>
      </c>
      <c r="H51" s="45">
        <f t="shared" ref="H51" si="7" xml:space="preserve"> G51 * 1.7</f>
        <v>13.6</v>
      </c>
      <c r="I51" s="45">
        <v>8</v>
      </c>
      <c r="J51" s="47">
        <v>8</v>
      </c>
      <c r="K51" s="36">
        <f t="shared" ref="K51" si="8">SUM(I51,-J51)</f>
        <v>0</v>
      </c>
      <c r="L51" s="45">
        <f t="shared" ref="L51" si="9">I51/G51</f>
        <v>1</v>
      </c>
      <c r="M51" s="48" t="s">
        <v>53</v>
      </c>
      <c r="N51" s="49" t="s">
        <v>166</v>
      </c>
    </row>
    <row r="52" spans="1:14" ht="67.5">
      <c r="A52" s="66"/>
      <c r="B52" s="64"/>
      <c r="C52" s="64"/>
      <c r="D52" s="46" t="s">
        <v>167</v>
      </c>
      <c r="E52" s="46" t="s">
        <v>168</v>
      </c>
      <c r="F52" s="45" t="s">
        <v>144</v>
      </c>
      <c r="G52" s="45">
        <v>2</v>
      </c>
      <c r="H52" s="45">
        <f t="shared" ref="H52" si="10" xml:space="preserve"> G52 * 1.7</f>
        <v>3.4</v>
      </c>
      <c r="I52" s="45">
        <v>3</v>
      </c>
      <c r="J52" s="47">
        <v>3</v>
      </c>
      <c r="K52" s="36">
        <f t="shared" ref="K52" si="11">SUM(I52,-J52)</f>
        <v>0</v>
      </c>
      <c r="L52" s="45">
        <f t="shared" ref="L52" si="12">I52/G52</f>
        <v>1.5</v>
      </c>
      <c r="M52" s="48" t="s">
        <v>53</v>
      </c>
      <c r="N52" s="49" t="s">
        <v>166</v>
      </c>
    </row>
    <row r="53" spans="1:14" ht="27">
      <c r="A53" s="66"/>
      <c r="B53" s="65"/>
      <c r="C53" s="65"/>
      <c r="D53" s="46" t="s">
        <v>159</v>
      </c>
      <c r="E53" s="46" t="s">
        <v>160</v>
      </c>
      <c r="F53" s="45" t="s">
        <v>149</v>
      </c>
      <c r="G53" s="45">
        <v>6</v>
      </c>
      <c r="H53" s="45">
        <f t="shared" si="3"/>
        <v>10.199999999999999</v>
      </c>
      <c r="I53" s="45">
        <v>6</v>
      </c>
      <c r="J53" s="47">
        <v>6</v>
      </c>
      <c r="K53" s="36">
        <f t="shared" ref="K53" si="13">SUM(I53,-J53)</f>
        <v>0</v>
      </c>
      <c r="L53" s="45">
        <f t="shared" ref="L53" si="14">I53/G53</f>
        <v>1</v>
      </c>
      <c r="M53" s="48" t="s">
        <v>53</v>
      </c>
      <c r="N53" s="49" t="s">
        <v>162</v>
      </c>
    </row>
    <row r="54" spans="1:14" ht="67.5">
      <c r="A54" s="66"/>
      <c r="B54" s="63" t="s">
        <v>54</v>
      </c>
      <c r="C54" s="63" t="s">
        <v>70</v>
      </c>
      <c r="D54" s="46" t="s">
        <v>57</v>
      </c>
      <c r="E54" s="46" t="s">
        <v>65</v>
      </c>
      <c r="F54" s="45" t="s">
        <v>144</v>
      </c>
      <c r="G54" s="45">
        <v>4</v>
      </c>
      <c r="H54" s="45">
        <f t="shared" si="0"/>
        <v>6.8</v>
      </c>
      <c r="I54" s="45">
        <v>26</v>
      </c>
      <c r="J54" s="47">
        <v>26</v>
      </c>
      <c r="K54" s="36">
        <f t="shared" ref="K54" si="15">SUM(I54,-J54)</f>
        <v>0</v>
      </c>
      <c r="L54" s="45">
        <f t="shared" ref="L54" si="16">I54/G54</f>
        <v>6.5</v>
      </c>
      <c r="M54" s="48" t="s">
        <v>53</v>
      </c>
      <c r="N54" s="49" t="s">
        <v>63</v>
      </c>
    </row>
    <row r="55" spans="1:14" ht="67.5">
      <c r="A55" s="66"/>
      <c r="B55" s="64"/>
      <c r="C55" s="64"/>
      <c r="D55" s="46" t="s">
        <v>64</v>
      </c>
      <c r="E55" s="46" t="s">
        <v>66</v>
      </c>
      <c r="F55" s="45" t="s">
        <v>145</v>
      </c>
      <c r="G55" s="45">
        <v>16</v>
      </c>
      <c r="H55" s="45">
        <f t="shared" si="0"/>
        <v>27.2</v>
      </c>
      <c r="I55" s="45">
        <v>49</v>
      </c>
      <c r="J55" s="47">
        <v>49</v>
      </c>
      <c r="K55" s="36">
        <f t="shared" ref="K55" si="17">SUM(I55,-J55)</f>
        <v>0</v>
      </c>
      <c r="L55" s="45">
        <f t="shared" ref="L55" si="18">I55/G55</f>
        <v>3.0625</v>
      </c>
      <c r="M55" s="48" t="s">
        <v>53</v>
      </c>
      <c r="N55" s="49" t="s">
        <v>67</v>
      </c>
    </row>
    <row r="56" spans="1:14" ht="81">
      <c r="A56" s="66"/>
      <c r="B56" s="64"/>
      <c r="C56" s="64"/>
      <c r="D56" s="51" t="s">
        <v>150</v>
      </c>
      <c r="E56" s="51" t="s">
        <v>151</v>
      </c>
      <c r="F56" s="50" t="s">
        <v>143</v>
      </c>
      <c r="G56" s="50">
        <v>8</v>
      </c>
      <c r="H56" s="50">
        <f t="shared" ref="H56:H57" si="19" xml:space="preserve"> G56 * 1.7</f>
        <v>13.6</v>
      </c>
      <c r="I56" s="50">
        <v>32</v>
      </c>
      <c r="J56" s="52">
        <v>18</v>
      </c>
      <c r="K56" s="53">
        <f t="shared" ref="K56:K57" si="20">SUM(I56,-J56)</f>
        <v>14</v>
      </c>
      <c r="L56" s="50">
        <f t="shared" ref="L56:L57" si="21">I56/G56</f>
        <v>4</v>
      </c>
      <c r="M56" s="54" t="s">
        <v>53</v>
      </c>
      <c r="N56" s="55" t="s">
        <v>152</v>
      </c>
    </row>
    <row r="57" spans="1:14" ht="135">
      <c r="A57" s="66"/>
      <c r="B57" s="64"/>
      <c r="C57" s="64"/>
      <c r="D57" s="51" t="s">
        <v>179</v>
      </c>
      <c r="E57" s="51" t="s">
        <v>180</v>
      </c>
      <c r="F57" s="50" t="s">
        <v>143</v>
      </c>
      <c r="G57" s="50">
        <v>32</v>
      </c>
      <c r="H57" s="50">
        <f t="shared" si="19"/>
        <v>54.4</v>
      </c>
      <c r="I57" s="50">
        <v>32</v>
      </c>
      <c r="J57" s="52">
        <v>0</v>
      </c>
      <c r="K57" s="53">
        <f t="shared" si="20"/>
        <v>32</v>
      </c>
      <c r="L57" s="50">
        <f t="shared" si="21"/>
        <v>1</v>
      </c>
      <c r="M57" s="54" t="s">
        <v>53</v>
      </c>
      <c r="N57" s="55"/>
    </row>
    <row r="58" spans="1:14" ht="16.350000000000001" customHeight="1">
      <c r="A58" s="37" t="s">
        <v>19</v>
      </c>
      <c r="B58" s="38"/>
      <c r="C58" s="38"/>
      <c r="D58" s="38"/>
      <c r="E58" s="38"/>
      <c r="F58" s="39"/>
      <c r="G58" s="39">
        <f>SUM(G13:G57)</f>
        <v>227</v>
      </c>
      <c r="H58" s="39">
        <f>SUM(H13:H57)</f>
        <v>385.90000000000015</v>
      </c>
      <c r="I58" s="39">
        <f>SUM(I13:I57)</f>
        <v>244.25</v>
      </c>
      <c r="J58" s="39">
        <f>SUM(J13:J57)</f>
        <v>181.5</v>
      </c>
      <c r="K58" s="40">
        <f>SUM(K13:K57)</f>
        <v>62.75</v>
      </c>
      <c r="L58" s="39">
        <f>AVERAGE(L13:L57)</f>
        <v>0.89722222222222225</v>
      </c>
      <c r="M58" s="41"/>
      <c r="N58" s="38"/>
    </row>
    <row r="59" spans="1:14" ht="48" customHeight="1">
      <c r="A59" s="42" t="s">
        <v>20</v>
      </c>
      <c r="B59" s="38"/>
      <c r="C59" s="38"/>
      <c r="D59" s="38"/>
      <c r="E59" s="38"/>
      <c r="F59" s="39"/>
      <c r="G59" s="39">
        <f>SUM(G13:G57)</f>
        <v>227</v>
      </c>
      <c r="H59" s="39">
        <f>SUM(H13:H57)</f>
        <v>385.90000000000015</v>
      </c>
      <c r="I59" s="39">
        <f>SUM(I13:I57)</f>
        <v>244.25</v>
      </c>
      <c r="J59" s="39">
        <f>SUM(J13:J57)</f>
        <v>181.5</v>
      </c>
      <c r="K59" s="40">
        <f>SUM(K13:K57)</f>
        <v>62.75</v>
      </c>
      <c r="L59" s="39">
        <f>AVERAGE(L13:L57)</f>
        <v>0.89722222222222225</v>
      </c>
      <c r="M59" s="41"/>
      <c r="N59" s="38"/>
    </row>
    <row r="61" spans="1:14" ht="33">
      <c r="B61" s="3" t="s">
        <v>175</v>
      </c>
      <c r="K61" s="5" t="s">
        <v>2</v>
      </c>
      <c r="M61" s="6"/>
      <c r="N61" s="3" t="s">
        <v>1</v>
      </c>
    </row>
    <row r="62" spans="1:14" ht="33">
      <c r="M62" s="7"/>
      <c r="N62" s="3" t="s">
        <v>15</v>
      </c>
    </row>
    <row r="63" spans="1:14" ht="82.5">
      <c r="B63" s="4" t="s">
        <v>0</v>
      </c>
      <c r="C63" s="4"/>
      <c r="D63" s="3" t="s">
        <v>52</v>
      </c>
      <c r="M63" s="31"/>
      <c r="N63" s="3" t="s">
        <v>16</v>
      </c>
    </row>
    <row r="64" spans="1:14" ht="33">
      <c r="B64" s="4"/>
      <c r="C64" s="4"/>
      <c r="D64" s="16"/>
      <c r="E64" s="43"/>
      <c r="F64" s="9"/>
      <c r="K64" s="5" t="s">
        <v>8</v>
      </c>
      <c r="M64" s="8"/>
      <c r="N64" s="3" t="s">
        <v>9</v>
      </c>
    </row>
    <row r="65" spans="4:14" ht="33">
      <c r="D65" s="19"/>
      <c r="E65" s="44"/>
      <c r="F65" s="20"/>
      <c r="K65" s="5" t="s">
        <v>5</v>
      </c>
      <c r="M65" s="8"/>
      <c r="N65" s="3" t="s">
        <v>18</v>
      </c>
    </row>
    <row r="66" spans="4:14" ht="33">
      <c r="D66" s="17"/>
      <c r="E66" s="44"/>
      <c r="F66" s="18"/>
      <c r="M66" s="8"/>
      <c r="N66" s="3" t="s">
        <v>7</v>
      </c>
    </row>
    <row r="67" spans="4:14" ht="66">
      <c r="D67" s="19"/>
      <c r="E67" s="44"/>
      <c r="F67" s="18"/>
      <c r="M67" s="8"/>
      <c r="N67" s="3" t="s">
        <v>14</v>
      </c>
    </row>
    <row r="68" spans="4:14" ht="49.5">
      <c r="D68" s="4"/>
      <c r="E68" s="4"/>
      <c r="F68" s="4"/>
      <c r="M68" s="8"/>
      <c r="N68" s="3" t="s">
        <v>13</v>
      </c>
    </row>
  </sheetData>
  <autoFilter ref="A12:N58"/>
  <mergeCells count="5">
    <mergeCell ref="C13:C53"/>
    <mergeCell ref="C54:C57"/>
    <mergeCell ref="A13:A57"/>
    <mergeCell ref="B54:B57"/>
    <mergeCell ref="B13:B53"/>
  </mergeCells>
  <phoneticPr fontId="1" type="noConversion"/>
  <pageMargins left="0.39370078740157483" right="0.39370078740157483" top="0.39370078740157483" bottom="0.39370078740157483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9"/>
  <sheetViews>
    <sheetView workbookViewId="0">
      <selection activeCell="F28" sqref="F28"/>
    </sheetView>
  </sheetViews>
  <sheetFormatPr defaultRowHeight="16.5"/>
  <cols>
    <col min="1" max="1" width="22.625" customWidth="1"/>
    <col min="2" max="2" width="35.375" customWidth="1"/>
    <col min="3" max="3" width="40.875" customWidth="1"/>
  </cols>
  <sheetData>
    <row r="1" spans="1:3">
      <c r="A1" s="10" t="s">
        <v>12</v>
      </c>
      <c r="B1" s="10" t="s">
        <v>34</v>
      </c>
      <c r="C1" s="10" t="s">
        <v>22</v>
      </c>
    </row>
    <row r="2" spans="1:3">
      <c r="A2" s="21" t="s">
        <v>11</v>
      </c>
      <c r="B2" s="22">
        <f>DATE(2015,9,23)</f>
        <v>42270</v>
      </c>
      <c r="C2" s="24"/>
    </row>
    <row r="3" spans="1:3">
      <c r="A3" s="21" t="s">
        <v>35</v>
      </c>
      <c r="B3" s="22">
        <f>DATE(2015,9,23)</f>
        <v>42270</v>
      </c>
      <c r="C3" s="24"/>
    </row>
    <row r="4" spans="1:3">
      <c r="A4" s="67"/>
      <c r="B4" s="23">
        <f>DATE(2015,9,26)</f>
        <v>42273</v>
      </c>
      <c r="C4" s="27" t="s">
        <v>38</v>
      </c>
    </row>
    <row r="5" spans="1:3">
      <c r="A5" s="67"/>
      <c r="B5" s="23">
        <f>DATE(2015,9,27)</f>
        <v>42274</v>
      </c>
      <c r="C5" s="27" t="s">
        <v>38</v>
      </c>
    </row>
    <row r="6" spans="1:3">
      <c r="A6" s="67"/>
      <c r="B6" s="23">
        <f>DATE(2015,9,28)</f>
        <v>42275</v>
      </c>
      <c r="C6" s="27" t="s">
        <v>38</v>
      </c>
    </row>
    <row r="7" spans="1:3">
      <c r="A7" s="67"/>
      <c r="B7" s="23">
        <f>DATE(2015,9,29)</f>
        <v>42276</v>
      </c>
      <c r="C7" s="27" t="s">
        <v>39</v>
      </c>
    </row>
    <row r="8" spans="1:3">
      <c r="A8" s="67"/>
      <c r="B8" s="23">
        <f>DATE(2015,10,3)</f>
        <v>42280</v>
      </c>
      <c r="C8" s="27" t="s">
        <v>36</v>
      </c>
    </row>
    <row r="9" spans="1:3">
      <c r="A9" s="67"/>
      <c r="B9" s="23">
        <f>DATE(2015,10,4)</f>
        <v>42281</v>
      </c>
      <c r="C9" s="27" t="s">
        <v>37</v>
      </c>
    </row>
    <row r="10" spans="1:3">
      <c r="A10" s="67"/>
      <c r="B10" s="23">
        <f>DATE(2015,10,9)</f>
        <v>42286</v>
      </c>
      <c r="C10" s="27" t="s">
        <v>40</v>
      </c>
    </row>
    <row r="11" spans="1:3">
      <c r="A11" s="67"/>
      <c r="B11" s="23">
        <f>DATE(2015,10,10)</f>
        <v>42287</v>
      </c>
      <c r="C11" s="27" t="s">
        <v>36</v>
      </c>
    </row>
    <row r="12" spans="1:3">
      <c r="A12" s="67"/>
      <c r="B12" s="23">
        <f>DATE(2015,10,11)</f>
        <v>42288</v>
      </c>
      <c r="C12" s="27" t="s">
        <v>37</v>
      </c>
    </row>
    <row r="13" spans="1:3">
      <c r="A13" s="67"/>
      <c r="B13" s="23">
        <f>DATE(2015,10,17)</f>
        <v>42294</v>
      </c>
      <c r="C13" s="27" t="s">
        <v>36</v>
      </c>
    </row>
    <row r="14" spans="1:3">
      <c r="A14" s="67"/>
      <c r="B14" s="23">
        <f>DATE(2015,10,18)</f>
        <v>42295</v>
      </c>
      <c r="C14" s="27" t="s">
        <v>37</v>
      </c>
    </row>
    <row r="15" spans="1:3">
      <c r="A15" s="67"/>
      <c r="B15" s="23">
        <f>DATE(2015,10,19)</f>
        <v>42296</v>
      </c>
      <c r="C15" s="27" t="s">
        <v>55</v>
      </c>
    </row>
    <row r="16" spans="1:3">
      <c r="A16" s="67"/>
      <c r="B16" s="23">
        <f>DATE(2015,10,20)</f>
        <v>42297</v>
      </c>
      <c r="C16" s="27" t="s">
        <v>55</v>
      </c>
    </row>
    <row r="17" spans="1:3">
      <c r="A17" s="67"/>
      <c r="B17" s="23">
        <f>DATE(2015,10,24)</f>
        <v>42301</v>
      </c>
      <c r="C17" s="27" t="s">
        <v>36</v>
      </c>
    </row>
    <row r="18" spans="1:3">
      <c r="A18" s="67"/>
      <c r="B18" s="23">
        <f>DATE(2015,10,25)</f>
        <v>42302</v>
      </c>
      <c r="C18" s="27" t="s">
        <v>37</v>
      </c>
    </row>
    <row r="19" spans="1:3">
      <c r="A19" s="67"/>
      <c r="B19" s="23">
        <f>DATE(2015,10,31)</f>
        <v>42308</v>
      </c>
      <c r="C19" s="27" t="s">
        <v>36</v>
      </c>
    </row>
    <row r="20" spans="1:3">
      <c r="A20" s="67"/>
      <c r="B20" s="23">
        <f>DATE(2015,11,1)</f>
        <v>42309</v>
      </c>
      <c r="C20" s="27" t="s">
        <v>37</v>
      </c>
    </row>
    <row r="21" spans="1:3">
      <c r="A21" s="67"/>
      <c r="B21" s="23">
        <f>DATE(2015,11,7)</f>
        <v>42315</v>
      </c>
      <c r="C21" s="27" t="s">
        <v>36</v>
      </c>
    </row>
    <row r="22" spans="1:3">
      <c r="A22" s="67"/>
      <c r="B22" s="23">
        <f>DATE(2015,11,8)</f>
        <v>42316</v>
      </c>
      <c r="C22" s="27" t="s">
        <v>37</v>
      </c>
    </row>
    <row r="23" spans="1:3">
      <c r="A23" s="67"/>
      <c r="B23" s="23">
        <f>DATE(2015,11,14)</f>
        <v>42322</v>
      </c>
      <c r="C23" s="27" t="s">
        <v>36</v>
      </c>
    </row>
    <row r="24" spans="1:3">
      <c r="A24" s="67"/>
      <c r="B24" s="23">
        <f>DATE(2015,11,15)</f>
        <v>42323</v>
      </c>
      <c r="C24" s="27" t="s">
        <v>37</v>
      </c>
    </row>
    <row r="25" spans="1:3">
      <c r="A25" s="67"/>
      <c r="B25" s="23">
        <f>DATE(2015,11,21)</f>
        <v>42329</v>
      </c>
      <c r="C25" s="27" t="s">
        <v>36</v>
      </c>
    </row>
    <row r="26" spans="1:3">
      <c r="A26" s="67"/>
      <c r="B26" s="23">
        <f>DATE(2015,11,22)</f>
        <v>42330</v>
      </c>
      <c r="C26" s="27" t="s">
        <v>37</v>
      </c>
    </row>
    <row r="27" spans="1:3">
      <c r="A27" s="67"/>
      <c r="B27" s="23">
        <f>DATE(2015,11,28)</f>
        <v>42336</v>
      </c>
      <c r="C27" s="27" t="s">
        <v>36</v>
      </c>
    </row>
    <row r="28" spans="1:3">
      <c r="A28" s="67"/>
      <c r="B28" s="23">
        <f>DATE(2015,11,29)</f>
        <v>42337</v>
      </c>
      <c r="C28" s="27" t="s">
        <v>37</v>
      </c>
    </row>
    <row r="29" spans="1:3">
      <c r="A29" s="67"/>
      <c r="B29" s="23">
        <f>DATE(2015,12,5)</f>
        <v>42343</v>
      </c>
      <c r="C29" s="27" t="s">
        <v>36</v>
      </c>
    </row>
    <row r="30" spans="1:3">
      <c r="A30" s="67"/>
      <c r="B30" s="23">
        <f>DATE(2015,12,6)</f>
        <v>42344</v>
      </c>
      <c r="C30" s="27" t="s">
        <v>37</v>
      </c>
    </row>
    <row r="31" spans="1:3">
      <c r="A31" s="67"/>
      <c r="B31" s="23">
        <f>DATE(2015,12,12)</f>
        <v>42350</v>
      </c>
      <c r="C31" s="27" t="s">
        <v>36</v>
      </c>
    </row>
    <row r="32" spans="1:3">
      <c r="A32" s="67"/>
      <c r="B32" s="23">
        <f>DATE(2015,12,13)</f>
        <v>42351</v>
      </c>
      <c r="C32" s="27" t="s">
        <v>37</v>
      </c>
    </row>
    <row r="33" spans="1:3">
      <c r="A33" s="67"/>
      <c r="B33" s="23">
        <f>DATE(2015,12,19)</f>
        <v>42357</v>
      </c>
      <c r="C33" s="27" t="s">
        <v>36</v>
      </c>
    </row>
    <row r="34" spans="1:3">
      <c r="A34" s="67"/>
      <c r="B34" s="23">
        <f>DATE(2015,12,20)</f>
        <v>42358</v>
      </c>
      <c r="C34" s="27" t="s">
        <v>37</v>
      </c>
    </row>
    <row r="35" spans="1:3">
      <c r="A35" s="67"/>
      <c r="B35" s="23">
        <f>DATE(2015,12,25)</f>
        <v>42363</v>
      </c>
      <c r="C35" s="27" t="s">
        <v>56</v>
      </c>
    </row>
    <row r="36" spans="1:3">
      <c r="A36" s="67"/>
      <c r="B36" s="23">
        <f>DATE(2015,12,26)</f>
        <v>42364</v>
      </c>
      <c r="C36" s="27" t="s">
        <v>36</v>
      </c>
    </row>
    <row r="37" spans="1:3">
      <c r="A37" s="67"/>
      <c r="B37" s="23">
        <f>DATE(2015,12,27)</f>
        <v>42365</v>
      </c>
      <c r="C37" s="27" t="s">
        <v>37</v>
      </c>
    </row>
    <row r="38" spans="1:3">
      <c r="A38" s="67"/>
      <c r="B38" s="23">
        <f>DATE(2016,1,1)</f>
        <v>42370</v>
      </c>
      <c r="C38" s="27" t="s">
        <v>58</v>
      </c>
    </row>
    <row r="39" spans="1:3">
      <c r="A39" s="67"/>
      <c r="B39" s="23">
        <f>DATE(2016,1,2)</f>
        <v>42371</v>
      </c>
      <c r="C39" s="27" t="s">
        <v>36</v>
      </c>
    </row>
    <row r="40" spans="1:3">
      <c r="A40" s="67"/>
      <c r="B40" s="23">
        <f>DATE(2016,1,3)</f>
        <v>42372</v>
      </c>
      <c r="C40" s="27" t="s">
        <v>37</v>
      </c>
    </row>
    <row r="41" spans="1:3">
      <c r="A41" s="67"/>
      <c r="B41" s="23">
        <f>DATE(2016,1,9)</f>
        <v>42378</v>
      </c>
      <c r="C41" s="27" t="s">
        <v>36</v>
      </c>
    </row>
    <row r="42" spans="1:3">
      <c r="A42" s="67"/>
      <c r="B42" s="23">
        <f>DATE(2016,1,10)</f>
        <v>42379</v>
      </c>
      <c r="C42" s="27" t="s">
        <v>37</v>
      </c>
    </row>
    <row r="43" spans="1:3">
      <c r="A43" s="67"/>
      <c r="B43" s="23">
        <f>DATE(2016,1,16)</f>
        <v>42385</v>
      </c>
      <c r="C43" s="27" t="s">
        <v>36</v>
      </c>
    </row>
    <row r="44" spans="1:3">
      <c r="A44" s="67"/>
      <c r="B44" s="23">
        <f>DATE(2016,1,17)</f>
        <v>42386</v>
      </c>
      <c r="C44" s="27" t="s">
        <v>37</v>
      </c>
    </row>
    <row r="45" spans="1:3">
      <c r="A45" s="67"/>
      <c r="B45" s="23">
        <f>DATE(2016,1,23)</f>
        <v>42392</v>
      </c>
      <c r="C45" s="27" t="s">
        <v>36</v>
      </c>
    </row>
    <row r="46" spans="1:3">
      <c r="A46" s="67"/>
      <c r="B46" s="23">
        <f>DATE(2016,1,24)</f>
        <v>42393</v>
      </c>
      <c r="C46" s="27" t="s">
        <v>37</v>
      </c>
    </row>
    <row r="47" spans="1:3">
      <c r="A47" s="67"/>
      <c r="B47" s="23">
        <f>DATE(2016,1,30)</f>
        <v>42399</v>
      </c>
      <c r="C47" s="27" t="s">
        <v>36</v>
      </c>
    </row>
    <row r="48" spans="1:3">
      <c r="A48" s="67"/>
      <c r="B48" s="23">
        <f>DATE(2016,1,31)</f>
        <v>42400</v>
      </c>
      <c r="C48" s="27" t="s">
        <v>37</v>
      </c>
    </row>
    <row r="49" spans="1:3">
      <c r="A49" s="67"/>
      <c r="B49" s="23">
        <f>DATE(2016,2,6)</f>
        <v>42406</v>
      </c>
      <c r="C49" s="27" t="s">
        <v>36</v>
      </c>
    </row>
    <row r="50" spans="1:3">
      <c r="A50" s="67"/>
      <c r="B50" s="23">
        <f>DATE(2016,2,7)</f>
        <v>42407</v>
      </c>
      <c r="C50" s="27" t="s">
        <v>61</v>
      </c>
    </row>
    <row r="51" spans="1:3">
      <c r="A51" s="67"/>
      <c r="B51" s="23">
        <f>DATE(2016,2,8)</f>
        <v>42408</v>
      </c>
      <c r="C51" s="27" t="s">
        <v>62</v>
      </c>
    </row>
    <row r="52" spans="1:3">
      <c r="A52" s="67"/>
      <c r="B52" s="23">
        <f>DATE(2016,2,9)</f>
        <v>42409</v>
      </c>
      <c r="C52" s="27" t="s">
        <v>60</v>
      </c>
    </row>
    <row r="53" spans="1:3">
      <c r="A53" s="67"/>
      <c r="B53" s="23">
        <f>DATE(2016,2,10)</f>
        <v>42410</v>
      </c>
      <c r="C53" s="27" t="s">
        <v>59</v>
      </c>
    </row>
    <row r="54" spans="1:3">
      <c r="A54" s="67"/>
      <c r="B54" s="23">
        <f>DATE(2016,2,13)</f>
        <v>42413</v>
      </c>
      <c r="C54" s="27" t="s">
        <v>36</v>
      </c>
    </row>
    <row r="55" spans="1:3">
      <c r="A55" s="67"/>
      <c r="B55" s="23">
        <f>DATE(2016,2,14)</f>
        <v>42414</v>
      </c>
      <c r="C55" s="27" t="s">
        <v>37</v>
      </c>
    </row>
    <row r="56" spans="1:3">
      <c r="A56" s="67"/>
      <c r="B56" s="23">
        <f>DATE(2016,2,20)</f>
        <v>42420</v>
      </c>
      <c r="C56" s="27" t="s">
        <v>36</v>
      </c>
    </row>
    <row r="57" spans="1:3">
      <c r="A57" s="67"/>
      <c r="B57" s="23">
        <f>DATE(2016,2,21)</f>
        <v>42421</v>
      </c>
      <c r="C57" s="27" t="s">
        <v>37</v>
      </c>
    </row>
    <row r="58" spans="1:3">
      <c r="A58" s="67"/>
      <c r="B58" s="23">
        <f>DATE(2016,2,27)</f>
        <v>42427</v>
      </c>
      <c r="C58" s="27" t="s">
        <v>36</v>
      </c>
    </row>
    <row r="59" spans="1:3">
      <c r="A59" s="67"/>
      <c r="B59" s="23">
        <f>DATE(2016,2,28)</f>
        <v>42428</v>
      </c>
      <c r="C59" s="27" t="s">
        <v>37</v>
      </c>
    </row>
  </sheetData>
  <mergeCells count="1">
    <mergeCell ref="A4:A5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과업목록</vt:lpstr>
      <vt:lpstr>휴무일 목록</vt:lpstr>
    </vt:vector>
  </TitlesOfParts>
  <Company>(c)Snow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Sprint Task</dc:title>
  <dc:subject>Sprint Backlog</dc:subject>
  <dc:creator>JoSoowoon</dc:creator>
  <cp:keywords>Sprint, Task, Work, Backlog</cp:keywords>
  <dc:description>과업 일정을 정리하고 계산한다.</dc:description>
  <cp:lastModifiedBy>JoSoowoon</cp:lastModifiedBy>
  <cp:lastPrinted>2009-03-13T04:49:37Z</cp:lastPrinted>
  <dcterms:created xsi:type="dcterms:W3CDTF">2009-03-06T04:58:40Z</dcterms:created>
  <dcterms:modified xsi:type="dcterms:W3CDTF">2015-12-31T02:33:23Z</dcterms:modified>
  <cp:category>스케줄, Schedule</cp:category>
  <cp:contentStatus>편집중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8308c2dc-9cec-439c-a12f-88c6ce351b5b</vt:lpwstr>
  </property>
</Properties>
</file>