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190" tabRatio="813" activeTab="1"/>
  </bookViews>
  <sheets>
    <sheet name="Servant" sheetId="1" r:id="rId1"/>
    <sheet name="ServantLevelUPdStatus" sheetId="2" r:id="rId2"/>
    <sheet name="ServantLevelExperience" sheetId="3" r:id="rId3"/>
    <sheet name="ServantAchievement" sheetId="10" r:id="rId4"/>
    <sheet name="ServantPieceStore" sheetId="13" r:id="rId5"/>
    <sheet name="ServantPieceStoreProduct" sheetId="11" r:id="rId6"/>
  </sheets>
  <definedNames>
    <definedName name="_xlnm._FilterDatabase" localSheetId="0">Servant!$B$2:$AB$25</definedName>
    <definedName name="_xlnm._FilterDatabase" localSheetId="1">ServantLevelUPdStatus!$B$2:$R$25</definedName>
  </definedNames>
  <calcPr calcId="152511"/>
</workbook>
</file>

<file path=xl/calcChain.xml><?xml version="1.0" encoding="utf-8"?>
<calcChain xmlns="http://schemas.openxmlformats.org/spreadsheetml/2006/main">
  <c r="O29" i="2" l="1"/>
  <c r="N29" i="2"/>
  <c r="M29" i="2"/>
  <c r="L29" i="2"/>
  <c r="G29" i="2"/>
  <c r="E29" i="2"/>
  <c r="D29" i="2"/>
  <c r="O28" i="2"/>
  <c r="N28" i="2"/>
  <c r="M28" i="2"/>
  <c r="L28" i="2"/>
  <c r="G28" i="2"/>
  <c r="E28" i="2"/>
  <c r="D28" i="2"/>
  <c r="O27" i="2"/>
  <c r="N27" i="2"/>
  <c r="M27" i="2"/>
  <c r="L27" i="2"/>
  <c r="G27" i="2"/>
  <c r="E27" i="2"/>
  <c r="D27" i="2"/>
  <c r="O26" i="2"/>
  <c r="N26" i="2"/>
  <c r="M26" i="2"/>
  <c r="L26" i="2"/>
  <c r="G26" i="2"/>
  <c r="E26" i="2"/>
  <c r="D26" i="2"/>
  <c r="O25" i="2"/>
  <c r="N25" i="2"/>
  <c r="M25" i="2"/>
  <c r="L25" i="2"/>
  <c r="G25" i="2"/>
  <c r="E25" i="2"/>
  <c r="D25" i="2"/>
  <c r="R24" i="2"/>
  <c r="R25" i="2" s="1"/>
  <c r="R26" i="2" s="1"/>
  <c r="R27" i="2" s="1"/>
  <c r="R28" i="2" s="1"/>
  <c r="R29" i="2" s="1"/>
  <c r="P24" i="2"/>
  <c r="P25" i="2" s="1"/>
  <c r="P26" i="2" s="1"/>
  <c r="P27" i="2" s="1"/>
  <c r="P28" i="2" s="1"/>
  <c r="P29" i="2" s="1"/>
  <c r="O24" i="2"/>
  <c r="N24" i="2"/>
  <c r="M24" i="2"/>
  <c r="L24" i="2"/>
  <c r="I24" i="2"/>
  <c r="I25" i="2" s="1"/>
  <c r="I26" i="2" s="1"/>
  <c r="I27" i="2" s="1"/>
  <c r="I28" i="2" s="1"/>
  <c r="I29" i="2" s="1"/>
  <c r="G24" i="2"/>
  <c r="E24" i="2"/>
  <c r="D24" i="2"/>
  <c r="R23" i="2"/>
  <c r="Q23" i="2"/>
  <c r="Q24" i="2" s="1"/>
  <c r="Q25" i="2" s="1"/>
  <c r="Q26" i="2" s="1"/>
  <c r="Q27" i="2" s="1"/>
  <c r="Q28" i="2" s="1"/>
  <c r="Q29" i="2" s="1"/>
  <c r="P23" i="2"/>
  <c r="O23" i="2"/>
  <c r="N23" i="2"/>
  <c r="M23" i="2"/>
  <c r="L23" i="2"/>
  <c r="K23" i="2"/>
  <c r="K24" i="2" s="1"/>
  <c r="K25" i="2" s="1"/>
  <c r="K26" i="2" s="1"/>
  <c r="K27" i="2" s="1"/>
  <c r="K28" i="2" s="1"/>
  <c r="K29" i="2" s="1"/>
  <c r="I23" i="2"/>
  <c r="H23" i="2"/>
  <c r="H24" i="2" s="1"/>
  <c r="H25" i="2" s="1"/>
  <c r="H26" i="2" s="1"/>
  <c r="H27" i="2" s="1"/>
  <c r="H28" i="2" s="1"/>
  <c r="H29" i="2" s="1"/>
  <c r="G23" i="2"/>
  <c r="F23" i="2"/>
  <c r="F24" i="2" s="1"/>
  <c r="F25" i="2" s="1"/>
  <c r="F26" i="2" s="1"/>
  <c r="F27" i="2" s="1"/>
  <c r="F28" i="2" s="1"/>
  <c r="F29" i="2" s="1"/>
  <c r="E23" i="2"/>
  <c r="D23" i="2"/>
  <c r="O21" i="2"/>
  <c r="N21" i="2"/>
  <c r="M21" i="2"/>
  <c r="L21" i="2"/>
  <c r="G21" i="2"/>
  <c r="E21" i="2"/>
  <c r="D21" i="2"/>
  <c r="R20" i="2"/>
  <c r="R21" i="2" s="1"/>
  <c r="P20" i="2"/>
  <c r="P21" i="2" s="1"/>
  <c r="O20" i="2"/>
  <c r="N20" i="2"/>
  <c r="M20" i="2"/>
  <c r="L20" i="2"/>
  <c r="I20" i="2"/>
  <c r="I21" i="2" s="1"/>
  <c r="G20" i="2"/>
  <c r="E20" i="2"/>
  <c r="D20" i="2"/>
  <c r="R19" i="2"/>
  <c r="Q19" i="2"/>
  <c r="Q20" i="2" s="1"/>
  <c r="Q21" i="2" s="1"/>
  <c r="P19" i="2"/>
  <c r="O19" i="2"/>
  <c r="N19" i="2"/>
  <c r="M19" i="2"/>
  <c r="L19" i="2"/>
  <c r="K19" i="2"/>
  <c r="K20" i="2" s="1"/>
  <c r="K21" i="2" s="1"/>
  <c r="I19" i="2"/>
  <c r="H19" i="2"/>
  <c r="H20" i="2" s="1"/>
  <c r="H21" i="2" s="1"/>
  <c r="G19" i="2"/>
  <c r="F19" i="2"/>
  <c r="F20" i="2" s="1"/>
  <c r="F21" i="2" s="1"/>
  <c r="E19" i="2"/>
  <c r="D19" i="2"/>
  <c r="O17" i="2"/>
  <c r="N17" i="2"/>
  <c r="M17" i="2"/>
  <c r="L17" i="2"/>
  <c r="G17" i="2"/>
  <c r="E17" i="2"/>
  <c r="D17" i="2"/>
  <c r="O16" i="2"/>
  <c r="N16" i="2"/>
  <c r="M16" i="2"/>
  <c r="L16" i="2"/>
  <c r="G16" i="2"/>
  <c r="E16" i="2"/>
  <c r="D16" i="2"/>
  <c r="O15" i="2"/>
  <c r="N15" i="2"/>
  <c r="M15" i="2"/>
  <c r="L15" i="2"/>
  <c r="G15" i="2"/>
  <c r="E15" i="2"/>
  <c r="D15" i="2"/>
  <c r="R14" i="2"/>
  <c r="R15" i="2" s="1"/>
  <c r="R16" i="2" s="1"/>
  <c r="R17" i="2" s="1"/>
  <c r="P14" i="2"/>
  <c r="P15" i="2" s="1"/>
  <c r="P16" i="2" s="1"/>
  <c r="P17" i="2" s="1"/>
  <c r="O14" i="2"/>
  <c r="N14" i="2"/>
  <c r="M14" i="2"/>
  <c r="L14" i="2"/>
  <c r="I14" i="2"/>
  <c r="I15" i="2" s="1"/>
  <c r="I16" i="2" s="1"/>
  <c r="I17" i="2" s="1"/>
  <c r="G14" i="2"/>
  <c r="E14" i="2"/>
  <c r="D14" i="2"/>
  <c r="R13" i="2"/>
  <c r="Q13" i="2"/>
  <c r="Q14" i="2" s="1"/>
  <c r="Q15" i="2" s="1"/>
  <c r="Q16" i="2" s="1"/>
  <c r="Q17" i="2" s="1"/>
  <c r="P13" i="2"/>
  <c r="O13" i="2"/>
  <c r="N13" i="2"/>
  <c r="M13" i="2"/>
  <c r="L13" i="2"/>
  <c r="K13" i="2"/>
  <c r="K14" i="2" s="1"/>
  <c r="K15" i="2" s="1"/>
  <c r="K16" i="2" s="1"/>
  <c r="K17" i="2" s="1"/>
  <c r="I13" i="2"/>
  <c r="H13" i="2"/>
  <c r="H14" i="2" s="1"/>
  <c r="H15" i="2" s="1"/>
  <c r="H16" i="2" s="1"/>
  <c r="H17" i="2" s="1"/>
  <c r="G13" i="2"/>
  <c r="F13" i="2"/>
  <c r="F14" i="2" s="1"/>
  <c r="F15" i="2" s="1"/>
  <c r="F16" i="2" s="1"/>
  <c r="F17" i="2" s="1"/>
  <c r="E13" i="2"/>
  <c r="D13" i="2"/>
  <c r="C12" i="2"/>
  <c r="C13" i="2" s="1"/>
  <c r="C14" i="2" s="1"/>
  <c r="C15" i="2" s="1"/>
  <c r="C16" i="2" s="1"/>
  <c r="C17" i="2" s="1"/>
  <c r="O11" i="2"/>
  <c r="N11" i="2"/>
  <c r="M11" i="2"/>
  <c r="L11" i="2"/>
  <c r="G11" i="2"/>
  <c r="E11" i="2"/>
  <c r="D11" i="2"/>
  <c r="O10" i="2"/>
  <c r="N10" i="2"/>
  <c r="M10" i="2"/>
  <c r="L10" i="2"/>
  <c r="G10" i="2"/>
  <c r="E10" i="2"/>
  <c r="D10" i="2"/>
  <c r="O9" i="2"/>
  <c r="N9" i="2"/>
  <c r="M9" i="2"/>
  <c r="L9" i="2"/>
  <c r="G9" i="2"/>
  <c r="E9" i="2"/>
  <c r="D9" i="2"/>
  <c r="R8" i="2"/>
  <c r="R9" i="2" s="1"/>
  <c r="R10" i="2" s="1"/>
  <c r="R11" i="2" s="1"/>
  <c r="P8" i="2"/>
  <c r="P9" i="2" s="1"/>
  <c r="P10" i="2" s="1"/>
  <c r="P11" i="2" s="1"/>
  <c r="O8" i="2"/>
  <c r="N8" i="2"/>
  <c r="M8" i="2"/>
  <c r="L8" i="2"/>
  <c r="I8" i="2"/>
  <c r="I9" i="2" s="1"/>
  <c r="I10" i="2" s="1"/>
  <c r="I11" i="2" s="1"/>
  <c r="G8" i="2"/>
  <c r="E8" i="2"/>
  <c r="D8" i="2"/>
  <c r="C8" i="2"/>
  <c r="C9" i="2" s="1"/>
  <c r="C10" i="2" s="1"/>
  <c r="C11" i="2" s="1"/>
  <c r="R7" i="2"/>
  <c r="Q7" i="2"/>
  <c r="Q8" i="2" s="1"/>
  <c r="Q9" i="2" s="1"/>
  <c r="Q10" i="2" s="1"/>
  <c r="Q11" i="2" s="1"/>
  <c r="P7" i="2"/>
  <c r="O7" i="2"/>
  <c r="N7" i="2"/>
  <c r="M7" i="2"/>
  <c r="L7" i="2"/>
  <c r="K7" i="2"/>
  <c r="K8" i="2" s="1"/>
  <c r="K9" i="2" s="1"/>
  <c r="K10" i="2" s="1"/>
  <c r="K11" i="2" s="1"/>
  <c r="I7" i="2"/>
  <c r="H7" i="2"/>
  <c r="H8" i="2" s="1"/>
  <c r="H9" i="2" s="1"/>
  <c r="H10" i="2" s="1"/>
  <c r="H11" i="2" s="1"/>
  <c r="G7" i="2"/>
  <c r="F7" i="2"/>
  <c r="F8" i="2" s="1"/>
  <c r="F9" i="2" s="1"/>
  <c r="F10" i="2" s="1"/>
  <c r="F11" i="2" s="1"/>
  <c r="E7" i="2"/>
  <c r="D7" i="2"/>
  <c r="C7" i="2"/>
  <c r="AA29" i="1"/>
  <c r="Z29" i="1"/>
  <c r="Y29" i="1"/>
  <c r="X29" i="1"/>
  <c r="U29" i="1"/>
  <c r="S29" i="1"/>
  <c r="Q29" i="1"/>
  <c r="P29" i="1"/>
  <c r="AA28" i="1"/>
  <c r="Z28" i="1"/>
  <c r="Y28" i="1"/>
  <c r="X28" i="1"/>
  <c r="U28" i="1"/>
  <c r="S28" i="1"/>
  <c r="Q28" i="1"/>
  <c r="P28" i="1"/>
  <c r="AA27" i="1"/>
  <c r="Z27" i="1"/>
  <c r="Y27" i="1"/>
  <c r="X27" i="1"/>
  <c r="U27" i="1"/>
  <c r="S27" i="1"/>
  <c r="Q27" i="1"/>
  <c r="P27" i="1"/>
  <c r="AA26" i="1"/>
  <c r="Z26" i="1"/>
  <c r="Y26" i="1"/>
  <c r="X26" i="1"/>
  <c r="U26" i="1"/>
  <c r="S26" i="1"/>
  <c r="Q26" i="1"/>
  <c r="P26" i="1"/>
  <c r="AA25" i="1"/>
  <c r="Z25" i="1"/>
  <c r="Y25" i="1"/>
  <c r="X25" i="1"/>
  <c r="U25" i="1"/>
  <c r="S25" i="1"/>
  <c r="Q25" i="1"/>
  <c r="P25" i="1"/>
  <c r="AD24" i="1"/>
  <c r="AD25" i="1" s="1"/>
  <c r="AD26" i="1" s="1"/>
  <c r="AD27" i="1" s="1"/>
  <c r="AD28" i="1" s="1"/>
  <c r="AD29" i="1" s="1"/>
  <c r="AC24" i="1"/>
  <c r="AC25" i="1" s="1"/>
  <c r="AC26" i="1" s="1"/>
  <c r="AC27" i="1" s="1"/>
  <c r="AC28" i="1" s="1"/>
  <c r="AC29" i="1" s="1"/>
  <c r="AA24" i="1"/>
  <c r="Z24" i="1"/>
  <c r="Y24" i="1"/>
  <c r="X24" i="1"/>
  <c r="V24" i="1"/>
  <c r="V25" i="1" s="1"/>
  <c r="V26" i="1" s="1"/>
  <c r="V27" i="1" s="1"/>
  <c r="V28" i="1" s="1"/>
  <c r="V29" i="1" s="1"/>
  <c r="U24" i="1"/>
  <c r="S24" i="1"/>
  <c r="R24" i="1"/>
  <c r="R25" i="1" s="1"/>
  <c r="R26" i="1" s="1"/>
  <c r="R27" i="1" s="1"/>
  <c r="R28" i="1" s="1"/>
  <c r="R29" i="1" s="1"/>
  <c r="Q24" i="1"/>
  <c r="P24" i="1"/>
  <c r="AD23" i="1"/>
  <c r="AC23" i="1"/>
  <c r="AB23" i="1"/>
  <c r="AB24" i="1" s="1"/>
  <c r="AB25" i="1" s="1"/>
  <c r="AB26" i="1" s="1"/>
  <c r="AB27" i="1" s="1"/>
  <c r="AB28" i="1" s="1"/>
  <c r="AB29" i="1" s="1"/>
  <c r="AA23" i="1"/>
  <c r="Z23" i="1"/>
  <c r="Y23" i="1"/>
  <c r="X23" i="1"/>
  <c r="W23" i="1"/>
  <c r="W24" i="1" s="1"/>
  <c r="W25" i="1" s="1"/>
  <c r="W26" i="1" s="1"/>
  <c r="W27" i="1" s="1"/>
  <c r="W28" i="1" s="1"/>
  <c r="W29" i="1" s="1"/>
  <c r="V23" i="1"/>
  <c r="U23" i="1"/>
  <c r="T23" i="1"/>
  <c r="T24" i="1" s="1"/>
  <c r="T25" i="1" s="1"/>
  <c r="T26" i="1" s="1"/>
  <c r="T27" i="1" s="1"/>
  <c r="T28" i="1" s="1"/>
  <c r="T29" i="1" s="1"/>
  <c r="S23" i="1"/>
  <c r="R23" i="1"/>
  <c r="Q23" i="1"/>
  <c r="P23" i="1"/>
  <c r="E22" i="1"/>
  <c r="E7" i="1" s="1"/>
  <c r="E10" i="1" s="1"/>
  <c r="E23" i="1" s="1"/>
  <c r="E8" i="1" s="1"/>
  <c r="E11" i="1" s="1"/>
  <c r="E24" i="1" s="1"/>
  <c r="E12" i="1" s="1"/>
  <c r="E13" i="1" s="1"/>
  <c r="E25" i="1" s="1"/>
  <c r="E14" i="1" s="1"/>
  <c r="E15" i="1" s="1"/>
  <c r="E26" i="1" s="1"/>
  <c r="E16" i="1" s="1"/>
  <c r="E17" i="1" s="1"/>
  <c r="E27" i="1" s="1"/>
  <c r="E18" i="1" s="1"/>
  <c r="E19" i="1" s="1"/>
  <c r="E28" i="1" s="1"/>
  <c r="E20" i="1" s="1"/>
  <c r="E21" i="1" s="1"/>
  <c r="E29" i="1" s="1"/>
  <c r="AA21" i="1"/>
  <c r="Z21" i="1"/>
  <c r="Y21" i="1"/>
  <c r="X21" i="1"/>
  <c r="U21" i="1"/>
  <c r="S21" i="1"/>
  <c r="Q21" i="1"/>
  <c r="P21" i="1"/>
  <c r="AC20" i="1"/>
  <c r="AA20" i="1"/>
  <c r="Z20" i="1"/>
  <c r="Y20" i="1"/>
  <c r="X20" i="1"/>
  <c r="U20" i="1"/>
  <c r="S20" i="1"/>
  <c r="Q20" i="1"/>
  <c r="P20" i="1"/>
  <c r="AD19" i="1"/>
  <c r="AD20" i="1" s="1"/>
  <c r="AD21" i="1" s="1"/>
  <c r="AB19" i="1"/>
  <c r="AB20" i="1" s="1"/>
  <c r="AB21" i="1" s="1"/>
  <c r="AA19" i="1"/>
  <c r="Z19" i="1"/>
  <c r="Y19" i="1"/>
  <c r="X19" i="1"/>
  <c r="W19" i="1"/>
  <c r="W20" i="1" s="1"/>
  <c r="W21" i="1" s="1"/>
  <c r="V19" i="1"/>
  <c r="V20" i="1" s="1"/>
  <c r="V21" i="1" s="1"/>
  <c r="U19" i="1"/>
  <c r="S19" i="1"/>
  <c r="R19" i="1"/>
  <c r="R20" i="1" s="1"/>
  <c r="R21" i="1" s="1"/>
  <c r="Q19" i="1"/>
  <c r="P19" i="1"/>
  <c r="AA17" i="1"/>
  <c r="Z17" i="1"/>
  <c r="Y17" i="1"/>
  <c r="X17" i="1"/>
  <c r="U17" i="1"/>
  <c r="S17" i="1"/>
  <c r="Q17" i="1"/>
  <c r="P17" i="1"/>
  <c r="AA16" i="1"/>
  <c r="Z16" i="1"/>
  <c r="Y16" i="1"/>
  <c r="X16" i="1"/>
  <c r="U16" i="1"/>
  <c r="S16" i="1"/>
  <c r="Q16" i="1"/>
  <c r="P16" i="1"/>
  <c r="AA15" i="1"/>
  <c r="Z15" i="1"/>
  <c r="Y15" i="1"/>
  <c r="X15" i="1"/>
  <c r="U15" i="1"/>
  <c r="S15" i="1"/>
  <c r="Q15" i="1"/>
  <c r="P15" i="1"/>
  <c r="AA14" i="1"/>
  <c r="Z14" i="1"/>
  <c r="Y14" i="1"/>
  <c r="X14" i="1"/>
  <c r="U14" i="1"/>
  <c r="S14" i="1"/>
  <c r="Q14" i="1"/>
  <c r="P14" i="1"/>
  <c r="AD13" i="1"/>
  <c r="AD14" i="1" s="1"/>
  <c r="AD15" i="1" s="1"/>
  <c r="AD16" i="1" s="1"/>
  <c r="AD17" i="1" s="1"/>
  <c r="AB13" i="1"/>
  <c r="AB14" i="1" s="1"/>
  <c r="AB15" i="1" s="1"/>
  <c r="AB16" i="1" s="1"/>
  <c r="AB17" i="1" s="1"/>
  <c r="AA13" i="1"/>
  <c r="Z13" i="1"/>
  <c r="Y13" i="1"/>
  <c r="X13" i="1"/>
  <c r="W13" i="1"/>
  <c r="W14" i="1" s="1"/>
  <c r="W15" i="1" s="1"/>
  <c r="W16" i="1" s="1"/>
  <c r="W17" i="1" s="1"/>
  <c r="U13" i="1"/>
  <c r="T13" i="1"/>
  <c r="T14" i="1" s="1"/>
  <c r="T15" i="1" s="1"/>
  <c r="T16" i="1" s="1"/>
  <c r="T17" i="1" s="1"/>
  <c r="S13" i="1"/>
  <c r="R13" i="1"/>
  <c r="R14" i="1" s="1"/>
  <c r="R15" i="1" s="1"/>
  <c r="R16" i="1" s="1"/>
  <c r="R17" i="1" s="1"/>
  <c r="Q13" i="1"/>
  <c r="P13" i="1"/>
  <c r="C12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AA11" i="1"/>
  <c r="Z11" i="1"/>
  <c r="Y11" i="1"/>
  <c r="X11" i="1"/>
  <c r="U11" i="1"/>
  <c r="S11" i="1"/>
  <c r="Q11" i="1"/>
  <c r="P11" i="1"/>
  <c r="AA10" i="1"/>
  <c r="Z10" i="1"/>
  <c r="Y10" i="1"/>
  <c r="X10" i="1"/>
  <c r="U10" i="1"/>
  <c r="S10" i="1"/>
  <c r="Q10" i="1"/>
  <c r="P10" i="1"/>
  <c r="AA9" i="1"/>
  <c r="Z9" i="1"/>
  <c r="Y9" i="1"/>
  <c r="X9" i="1"/>
  <c r="U9" i="1"/>
  <c r="S9" i="1"/>
  <c r="Q9" i="1"/>
  <c r="P9" i="1"/>
  <c r="E9" i="1"/>
  <c r="AA8" i="1"/>
  <c r="Z8" i="1"/>
  <c r="Y8" i="1"/>
  <c r="X8" i="1"/>
  <c r="U8" i="1"/>
  <c r="S8" i="1"/>
  <c r="Q8" i="1"/>
  <c r="P8" i="1"/>
  <c r="AD7" i="1"/>
  <c r="AD8" i="1" s="1"/>
  <c r="AD9" i="1" s="1"/>
  <c r="AD10" i="1" s="1"/>
  <c r="AD11" i="1" s="1"/>
  <c r="AB7" i="1"/>
  <c r="AB8" i="1" s="1"/>
  <c r="AB9" i="1" s="1"/>
  <c r="AB10" i="1" s="1"/>
  <c r="AB11" i="1" s="1"/>
  <c r="AA7" i="1"/>
  <c r="Z7" i="1"/>
  <c r="Y7" i="1"/>
  <c r="X7" i="1"/>
  <c r="W7" i="1"/>
  <c r="W8" i="1" s="1"/>
  <c r="W9" i="1" s="1"/>
  <c r="W10" i="1" s="1"/>
  <c r="W11" i="1" s="1"/>
  <c r="U7" i="1"/>
  <c r="T7" i="1"/>
  <c r="T8" i="1" s="1"/>
  <c r="T9" i="1" s="1"/>
  <c r="T10" i="1" s="1"/>
  <c r="T11" i="1" s="1"/>
  <c r="S7" i="1"/>
  <c r="R7" i="1"/>
  <c r="R8" i="1" s="1"/>
  <c r="R9" i="1" s="1"/>
  <c r="R10" i="1" s="1"/>
  <c r="R11" i="1" s="1"/>
  <c r="Q7" i="1"/>
  <c r="P7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C7" i="1"/>
  <c r="C8" i="1" s="1"/>
  <c r="C9" i="1" s="1"/>
  <c r="C10" i="1" s="1"/>
  <c r="C11" i="1" s="1"/>
  <c r="C18" i="2" l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13" i="1"/>
  <c r="C14" i="1" s="1"/>
  <c r="C15" i="1" s="1"/>
  <c r="C16" i="1" s="1"/>
  <c r="C17" i="1" s="1"/>
  <c r="J157" i="11" l="1"/>
  <c r="J156" i="11"/>
  <c r="J155" i="11"/>
  <c r="J153" i="11"/>
  <c r="J152" i="11"/>
  <c r="J150" i="11"/>
  <c r="J149" i="11"/>
  <c r="J147" i="11"/>
  <c r="J146" i="11"/>
  <c r="J144" i="11"/>
  <c r="J142" i="11"/>
  <c r="J140" i="11"/>
  <c r="J139" i="11"/>
  <c r="J137" i="11"/>
  <c r="J136" i="11"/>
  <c r="J134" i="11"/>
  <c r="J133" i="11"/>
  <c r="J131" i="11"/>
  <c r="J130" i="11"/>
  <c r="J128" i="11"/>
  <c r="J124" i="11"/>
  <c r="J126" i="11"/>
  <c r="J123" i="11"/>
  <c r="J121" i="11"/>
  <c r="J120" i="11"/>
  <c r="J118" i="11"/>
  <c r="J117" i="11"/>
  <c r="J115" i="11"/>
  <c r="J114" i="11"/>
  <c r="J112" i="11"/>
  <c r="J108" i="11"/>
  <c r="J110" i="11"/>
  <c r="J107" i="11"/>
  <c r="J105" i="11"/>
  <c r="J104" i="11"/>
  <c r="J102" i="11"/>
  <c r="J101" i="11"/>
  <c r="J99" i="11"/>
  <c r="J98" i="11"/>
  <c r="J96" i="11"/>
  <c r="J94" i="11"/>
  <c r="J92" i="11"/>
  <c r="J90" i="11"/>
  <c r="J91" i="11"/>
  <c r="J89" i="11"/>
  <c r="J88" i="11"/>
  <c r="J87" i="11"/>
  <c r="J85" i="11"/>
  <c r="J84" i="11"/>
  <c r="J82" i="11"/>
  <c r="J81" i="11"/>
  <c r="J79" i="11"/>
  <c r="J77" i="11"/>
  <c r="J75" i="11"/>
  <c r="J73" i="11"/>
  <c r="J72" i="11"/>
  <c r="J70" i="11"/>
  <c r="J69" i="11"/>
  <c r="J67" i="11"/>
  <c r="J65" i="11"/>
  <c r="J63" i="11"/>
  <c r="J61" i="11"/>
  <c r="J60" i="11"/>
  <c r="J58" i="11"/>
  <c r="J57" i="11"/>
  <c r="J55" i="11"/>
  <c r="J51" i="11"/>
  <c r="J53" i="11"/>
  <c r="J49" i="11"/>
  <c r="J48" i="11"/>
  <c r="J46" i="11"/>
  <c r="J45" i="11"/>
  <c r="J43" i="11"/>
  <c r="J41" i="11"/>
  <c r="J39" i="11"/>
  <c r="J38" i="11"/>
  <c r="J37" i="11"/>
  <c r="J36" i="11"/>
  <c r="J35" i="11"/>
  <c r="J34" i="11"/>
  <c r="J33" i="11"/>
  <c r="J32" i="11"/>
  <c r="J30" i="11"/>
  <c r="J28" i="11"/>
  <c r="J26" i="11"/>
  <c r="J24" i="11"/>
  <c r="J22" i="11"/>
  <c r="J20" i="11"/>
  <c r="J18" i="11"/>
  <c r="J16" i="11"/>
  <c r="J8" i="11"/>
  <c r="J7" i="11"/>
  <c r="J6" i="11"/>
  <c r="I157" i="11" l="1"/>
  <c r="G157" i="11"/>
  <c r="D157" i="11"/>
  <c r="I156" i="11"/>
  <c r="D156" i="11"/>
  <c r="I155" i="11"/>
  <c r="G155" i="11"/>
  <c r="D155" i="11"/>
  <c r="J154" i="11"/>
  <c r="I154" i="11" s="1"/>
  <c r="D154" i="11"/>
  <c r="I153" i="11"/>
  <c r="G153" i="11"/>
  <c r="G154" i="11" s="1"/>
  <c r="D153" i="11"/>
  <c r="I152" i="11"/>
  <c r="D152" i="11"/>
  <c r="J151" i="11"/>
  <c r="I151" i="11" s="1"/>
  <c r="D151" i="11"/>
  <c r="I150" i="11"/>
  <c r="D150" i="11"/>
  <c r="I149" i="11"/>
  <c r="D149" i="11"/>
  <c r="J148" i="11"/>
  <c r="I148" i="11"/>
  <c r="D148" i="11"/>
  <c r="I147" i="11"/>
  <c r="G147" i="11"/>
  <c r="G148" i="11" s="1"/>
  <c r="G149" i="11" s="1"/>
  <c r="G150" i="11" s="1"/>
  <c r="G151" i="11" s="1"/>
  <c r="D147" i="11"/>
  <c r="I146" i="11"/>
  <c r="D146" i="11"/>
  <c r="J145" i="11"/>
  <c r="I145" i="11" s="1"/>
  <c r="D145" i="11"/>
  <c r="I144" i="11"/>
  <c r="G144" i="11"/>
  <c r="G145" i="11" s="1"/>
  <c r="D144" i="11"/>
  <c r="J143" i="11"/>
  <c r="I143" i="11" s="1"/>
  <c r="D143" i="11"/>
  <c r="I142" i="11"/>
  <c r="G142" i="11"/>
  <c r="G143" i="11" s="1"/>
  <c r="D142" i="11"/>
  <c r="J141" i="11"/>
  <c r="I141" i="11" s="1"/>
  <c r="G141" i="11"/>
  <c r="D141" i="11"/>
  <c r="I140" i="11"/>
  <c r="D140" i="11"/>
  <c r="I139" i="11"/>
  <c r="D139" i="11"/>
  <c r="J138" i="11"/>
  <c r="I138" i="11" s="1"/>
  <c r="G138" i="11"/>
  <c r="G139" i="11" s="1"/>
  <c r="D138" i="11"/>
  <c r="I137" i="11"/>
  <c r="G137" i="11"/>
  <c r="D137" i="11"/>
  <c r="I136" i="11"/>
  <c r="D136" i="11"/>
  <c r="J135" i="11"/>
  <c r="I135" i="11"/>
  <c r="D135" i="11"/>
  <c r="I134" i="11"/>
  <c r="D134" i="11"/>
  <c r="I133" i="11"/>
  <c r="D133" i="11"/>
  <c r="J132" i="11"/>
  <c r="I132" i="11" s="1"/>
  <c r="D132" i="11"/>
  <c r="I131" i="11"/>
  <c r="G131" i="11"/>
  <c r="G132" i="11" s="1"/>
  <c r="G133" i="11" s="1"/>
  <c r="G134" i="11" s="1"/>
  <c r="G135" i="11" s="1"/>
  <c r="D131" i="11"/>
  <c r="I130" i="11"/>
  <c r="D130" i="11"/>
  <c r="J129" i="11"/>
  <c r="I129" i="11" s="1"/>
  <c r="D129" i="11"/>
  <c r="I128" i="11"/>
  <c r="D128" i="11"/>
  <c r="J127" i="11"/>
  <c r="I127" i="11" s="1"/>
  <c r="D127" i="11"/>
  <c r="I126" i="11"/>
  <c r="D126" i="11"/>
  <c r="J125" i="11"/>
  <c r="I125" i="11" s="1"/>
  <c r="G125" i="11"/>
  <c r="G126" i="11" s="1"/>
  <c r="G127" i="11" s="1"/>
  <c r="G128" i="11" s="1"/>
  <c r="G129" i="11" s="1"/>
  <c r="D125" i="11"/>
  <c r="I124" i="11"/>
  <c r="D124" i="11"/>
  <c r="I123" i="11"/>
  <c r="D123" i="11"/>
  <c r="J122" i="11"/>
  <c r="I122" i="11"/>
  <c r="G122" i="11"/>
  <c r="G123" i="11" s="1"/>
  <c r="D122" i="11"/>
  <c r="I121" i="11"/>
  <c r="G121" i="11"/>
  <c r="D121" i="11"/>
  <c r="I120" i="11"/>
  <c r="D120" i="11"/>
  <c r="J119" i="11"/>
  <c r="I119" i="11"/>
  <c r="D119" i="11"/>
  <c r="I118" i="11"/>
  <c r="D118" i="11"/>
  <c r="I117" i="11"/>
  <c r="D117" i="11"/>
  <c r="J116" i="11"/>
  <c r="I116" i="11"/>
  <c r="G116" i="11"/>
  <c r="G117" i="11" s="1"/>
  <c r="G118" i="11" s="1"/>
  <c r="G119" i="11" s="1"/>
  <c r="D116" i="11"/>
  <c r="I115" i="11"/>
  <c r="G115" i="11"/>
  <c r="D115" i="11"/>
  <c r="I114" i="11"/>
  <c r="D114" i="11"/>
  <c r="J113" i="11"/>
  <c r="I113" i="11"/>
  <c r="D113" i="11"/>
  <c r="I112" i="11"/>
  <c r="D112" i="11"/>
  <c r="J111" i="11"/>
  <c r="I111" i="11"/>
  <c r="G111" i="11"/>
  <c r="G112" i="11" s="1"/>
  <c r="G113" i="11" s="1"/>
  <c r="D111" i="11"/>
  <c r="I110" i="11"/>
  <c r="D110" i="11"/>
  <c r="J109" i="11"/>
  <c r="I109" i="11"/>
  <c r="G109" i="11"/>
  <c r="G110" i="11" s="1"/>
  <c r="D109" i="11"/>
  <c r="I108" i="11"/>
  <c r="D108" i="11"/>
  <c r="I107" i="11"/>
  <c r="D107" i="11"/>
  <c r="J106" i="11"/>
  <c r="I106" i="11"/>
  <c r="D106" i="11"/>
  <c r="I105" i="11"/>
  <c r="G105" i="11"/>
  <c r="G106" i="11" s="1"/>
  <c r="G107" i="11" s="1"/>
  <c r="D105" i="11"/>
  <c r="I104" i="11"/>
  <c r="D104" i="11"/>
  <c r="J103" i="11"/>
  <c r="I103" i="11" s="1"/>
  <c r="D103" i="11"/>
  <c r="I102" i="11"/>
  <c r="D102" i="11"/>
  <c r="I101" i="11"/>
  <c r="D101" i="11"/>
  <c r="J100" i="11"/>
  <c r="I100" i="11"/>
  <c r="G100" i="11"/>
  <c r="G101" i="11" s="1"/>
  <c r="G102" i="11" s="1"/>
  <c r="G103" i="11" s="1"/>
  <c r="D100" i="11"/>
  <c r="I99" i="11"/>
  <c r="G99" i="11"/>
  <c r="D99" i="11"/>
  <c r="I98" i="11"/>
  <c r="D98" i="11"/>
  <c r="J97" i="11"/>
  <c r="I97" i="11"/>
  <c r="D97" i="11"/>
  <c r="I96" i="11"/>
  <c r="D96" i="11"/>
  <c r="J95" i="11"/>
  <c r="I95" i="11"/>
  <c r="D95" i="11"/>
  <c r="I94" i="11"/>
  <c r="G94" i="11"/>
  <c r="G95" i="11" s="1"/>
  <c r="G96" i="11" s="1"/>
  <c r="G97" i="11" s="1"/>
  <c r="D94" i="11"/>
  <c r="J93" i="11"/>
  <c r="I93" i="11"/>
  <c r="G93" i="11"/>
  <c r="D93" i="11"/>
  <c r="I92" i="11"/>
  <c r="E92" i="11"/>
  <c r="E108" i="11" s="1"/>
  <c r="D92" i="11"/>
  <c r="I91" i="11"/>
  <c r="G91" i="11"/>
  <c r="E91" i="11"/>
  <c r="D91" i="11"/>
  <c r="I90" i="11"/>
  <c r="D90" i="11"/>
  <c r="C90" i="11" s="1"/>
  <c r="I89" i="11"/>
  <c r="D89" i="11"/>
  <c r="I88" i="11"/>
  <c r="G88" i="11"/>
  <c r="G89" i="11" s="1"/>
  <c r="D88" i="11"/>
  <c r="I87" i="11"/>
  <c r="D87" i="11"/>
  <c r="J86" i="11"/>
  <c r="I86" i="11"/>
  <c r="D86" i="11"/>
  <c r="I85" i="11"/>
  <c r="D85" i="11"/>
  <c r="I84" i="11"/>
  <c r="D84" i="11"/>
  <c r="J83" i="11"/>
  <c r="I83" i="11"/>
  <c r="D83" i="11"/>
  <c r="I82" i="11"/>
  <c r="G82" i="11"/>
  <c r="G83" i="11" s="1"/>
  <c r="G84" i="11" s="1"/>
  <c r="G85" i="11" s="1"/>
  <c r="G86" i="11" s="1"/>
  <c r="D82" i="11"/>
  <c r="I81" i="11"/>
  <c r="D81" i="11"/>
  <c r="J80" i="11"/>
  <c r="I80" i="11" s="1"/>
  <c r="D80" i="11"/>
  <c r="I79" i="11"/>
  <c r="D79" i="11"/>
  <c r="J78" i="11"/>
  <c r="I78" i="11" s="1"/>
  <c r="D78" i="11"/>
  <c r="I77" i="11"/>
  <c r="G77" i="11"/>
  <c r="G78" i="11" s="1"/>
  <c r="G79" i="11" s="1"/>
  <c r="G80" i="11" s="1"/>
  <c r="D77" i="11"/>
  <c r="J76" i="11"/>
  <c r="I76" i="11" s="1"/>
  <c r="G76" i="11"/>
  <c r="D76" i="11"/>
  <c r="I75" i="11"/>
  <c r="D75" i="11"/>
  <c r="J74" i="11"/>
  <c r="I74" i="11"/>
  <c r="D74" i="11"/>
  <c r="I73" i="11"/>
  <c r="D73" i="11"/>
  <c r="I72" i="11"/>
  <c r="D72" i="11"/>
  <c r="J71" i="11"/>
  <c r="I71" i="11"/>
  <c r="G71" i="11"/>
  <c r="G72" i="11" s="1"/>
  <c r="G73" i="11" s="1"/>
  <c r="G74" i="11" s="1"/>
  <c r="D71" i="11"/>
  <c r="I70" i="11"/>
  <c r="G70" i="11"/>
  <c r="D70" i="11"/>
  <c r="I69" i="11"/>
  <c r="D69" i="11"/>
  <c r="J68" i="11"/>
  <c r="I68" i="11" s="1"/>
  <c r="D68" i="11"/>
  <c r="I67" i="11"/>
  <c r="D67" i="11"/>
  <c r="J66" i="11"/>
  <c r="I66" i="11"/>
  <c r="D66" i="11"/>
  <c r="I65" i="11"/>
  <c r="D65" i="11"/>
  <c r="J64" i="11"/>
  <c r="I64" i="11" s="1"/>
  <c r="G64" i="11"/>
  <c r="G65" i="11" s="1"/>
  <c r="G66" i="11" s="1"/>
  <c r="G67" i="11" s="1"/>
  <c r="G68" i="11" s="1"/>
  <c r="D64" i="11"/>
  <c r="I63" i="11"/>
  <c r="D63" i="11"/>
  <c r="J62" i="11"/>
  <c r="I62" i="11" s="1"/>
  <c r="D62" i="11"/>
  <c r="I61" i="11"/>
  <c r="D61" i="11"/>
  <c r="I60" i="11"/>
  <c r="D60" i="11"/>
  <c r="J59" i="11"/>
  <c r="I59" i="11" s="1"/>
  <c r="G59" i="11"/>
  <c r="G60" i="11" s="1"/>
  <c r="G61" i="11" s="1"/>
  <c r="G62" i="11" s="1"/>
  <c r="D59" i="11"/>
  <c r="I58" i="11"/>
  <c r="G58" i="11"/>
  <c r="D58" i="11"/>
  <c r="I57" i="11"/>
  <c r="D57" i="11"/>
  <c r="J56" i="11"/>
  <c r="I56" i="11"/>
  <c r="D56" i="11"/>
  <c r="I55" i="11"/>
  <c r="D55" i="11"/>
  <c r="J54" i="11"/>
  <c r="I54" i="11"/>
  <c r="D54" i="11"/>
  <c r="I53" i="11"/>
  <c r="D53" i="11"/>
  <c r="J52" i="11"/>
  <c r="I52" i="11"/>
  <c r="G52" i="11"/>
  <c r="G53" i="11" s="1"/>
  <c r="G54" i="11" s="1"/>
  <c r="G55" i="11" s="1"/>
  <c r="G56" i="11" s="1"/>
  <c r="D52" i="11"/>
  <c r="I51" i="11"/>
  <c r="D51" i="11"/>
  <c r="J50" i="11"/>
  <c r="I50" i="11" s="1"/>
  <c r="D50" i="11"/>
  <c r="I49" i="11"/>
  <c r="D49" i="11"/>
  <c r="I48" i="11"/>
  <c r="D48" i="11"/>
  <c r="J47" i="11"/>
  <c r="I47" i="11" s="1"/>
  <c r="D47" i="11"/>
  <c r="I46" i="11"/>
  <c r="G46" i="11"/>
  <c r="G47" i="11" s="1"/>
  <c r="G48" i="11" s="1"/>
  <c r="G49" i="11" s="1"/>
  <c r="G50" i="11" s="1"/>
  <c r="D46" i="11"/>
  <c r="I45" i="11"/>
  <c r="D45" i="11"/>
  <c r="J44" i="11"/>
  <c r="I44" i="11"/>
  <c r="D44" i="11"/>
  <c r="I43" i="11"/>
  <c r="D43" i="11"/>
  <c r="J42" i="11"/>
  <c r="I42" i="11"/>
  <c r="D42" i="11"/>
  <c r="I41" i="11"/>
  <c r="D41" i="11"/>
  <c r="J40" i="11"/>
  <c r="I40" i="11"/>
  <c r="G40" i="11"/>
  <c r="G41" i="11" s="1"/>
  <c r="G42" i="11" s="1"/>
  <c r="G43" i="11" s="1"/>
  <c r="G44" i="11" s="1"/>
  <c r="E40" i="1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D40" i="11"/>
  <c r="I39" i="11"/>
  <c r="E39" i="11"/>
  <c r="E51" i="11" s="1"/>
  <c r="D39" i="11"/>
  <c r="I38" i="11"/>
  <c r="D38" i="11"/>
  <c r="I37" i="11"/>
  <c r="G37" i="11"/>
  <c r="G38" i="11" s="1"/>
  <c r="E37" i="11"/>
  <c r="E38" i="11" s="1"/>
  <c r="D37" i="11"/>
  <c r="I36" i="11"/>
  <c r="D36" i="11"/>
  <c r="C36" i="11" s="1"/>
  <c r="I35" i="11"/>
  <c r="D35" i="11"/>
  <c r="I34" i="11"/>
  <c r="G34" i="11"/>
  <c r="G35" i="11" s="1"/>
  <c r="D34" i="11"/>
  <c r="I33" i="11"/>
  <c r="D33" i="11"/>
  <c r="I32" i="11"/>
  <c r="D32" i="11"/>
  <c r="J31" i="11"/>
  <c r="I31" i="11"/>
  <c r="D31" i="11"/>
  <c r="I30" i="11"/>
  <c r="D30" i="11"/>
  <c r="J29" i="11"/>
  <c r="I29" i="11"/>
  <c r="G29" i="11"/>
  <c r="G30" i="11" s="1"/>
  <c r="G31" i="11" s="1"/>
  <c r="G32" i="11" s="1"/>
  <c r="D29" i="11"/>
  <c r="I28" i="11"/>
  <c r="G28" i="11"/>
  <c r="D28" i="11"/>
  <c r="J27" i="11"/>
  <c r="I27" i="11"/>
  <c r="D27" i="11"/>
  <c r="I26" i="11"/>
  <c r="D26" i="11"/>
  <c r="J25" i="11"/>
  <c r="I25" i="11" s="1"/>
  <c r="D25" i="11"/>
  <c r="I24" i="11"/>
  <c r="D24" i="11"/>
  <c r="J23" i="11"/>
  <c r="I23" i="11" s="1"/>
  <c r="G23" i="11"/>
  <c r="G24" i="11" s="1"/>
  <c r="G25" i="11" s="1"/>
  <c r="G26" i="11" s="1"/>
  <c r="D23" i="11"/>
  <c r="I22" i="11"/>
  <c r="G22" i="11"/>
  <c r="D22" i="11"/>
  <c r="J21" i="11"/>
  <c r="I21" i="11" s="1"/>
  <c r="D21" i="11"/>
  <c r="I20" i="11"/>
  <c r="D20" i="11"/>
  <c r="J19" i="11"/>
  <c r="I19" i="11" s="1"/>
  <c r="D19" i="11"/>
  <c r="I18" i="11"/>
  <c r="D18" i="11"/>
  <c r="J17" i="11"/>
  <c r="I17" i="11" s="1"/>
  <c r="D17" i="11"/>
  <c r="I16" i="11"/>
  <c r="G16" i="11"/>
  <c r="G17" i="11" s="1"/>
  <c r="G18" i="11" s="1"/>
  <c r="G19" i="11" s="1"/>
  <c r="G20" i="11" s="1"/>
  <c r="D16" i="11"/>
  <c r="J15" i="11"/>
  <c r="I15" i="11" s="1"/>
  <c r="D15" i="11"/>
  <c r="J14" i="11"/>
  <c r="I14" i="11"/>
  <c r="D14" i="11"/>
  <c r="J13" i="11"/>
  <c r="I13" i="11" s="1"/>
  <c r="D13" i="11"/>
  <c r="J12" i="11"/>
  <c r="I12" i="11"/>
  <c r="D12" i="11"/>
  <c r="J11" i="11"/>
  <c r="I11" i="11" s="1"/>
  <c r="D11" i="11"/>
  <c r="J10" i="11"/>
  <c r="I10" i="11"/>
  <c r="G10" i="11"/>
  <c r="G11" i="11" s="1"/>
  <c r="G12" i="11" s="1"/>
  <c r="G13" i="11" s="1"/>
  <c r="G14" i="11" s="1"/>
  <c r="D10" i="11"/>
  <c r="J9" i="11"/>
  <c r="I9" i="11" s="1"/>
  <c r="E9" i="11"/>
  <c r="E15" i="11" s="1"/>
  <c r="D9" i="11"/>
  <c r="I8" i="11"/>
  <c r="E8" i="11"/>
  <c r="D8" i="11"/>
  <c r="I7" i="11"/>
  <c r="G7" i="11"/>
  <c r="G8" i="11" s="1"/>
  <c r="E7" i="11"/>
  <c r="D7" i="11"/>
  <c r="I6" i="11"/>
  <c r="D6" i="11"/>
  <c r="C6" i="11"/>
  <c r="C7" i="11" s="1"/>
  <c r="C8" i="11" s="1"/>
  <c r="E21" i="11" l="1"/>
  <c r="E16" i="11"/>
  <c r="E17" i="11" s="1"/>
  <c r="E18" i="11" s="1"/>
  <c r="E19" i="11" s="1"/>
  <c r="E20" i="11" s="1"/>
  <c r="C39" i="11"/>
  <c r="C37" i="11"/>
  <c r="C38" i="11" s="1"/>
  <c r="E63" i="11"/>
  <c r="E52" i="1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C9" i="11"/>
  <c r="E124" i="11"/>
  <c r="E109" i="1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0" i="11"/>
  <c r="E11" i="11" s="1"/>
  <c r="E12" i="11" s="1"/>
  <c r="E13" i="11" s="1"/>
  <c r="E14" i="11" s="1"/>
  <c r="C91" i="11"/>
  <c r="C92" i="11"/>
  <c r="E93" i="1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C8" i="10"/>
  <c r="E7" i="10"/>
  <c r="E8" i="10" s="1"/>
  <c r="D7" i="10"/>
  <c r="D8" i="10" s="1"/>
  <c r="C7" i="10"/>
  <c r="E64" i="11" l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/>
  <c r="E22" i="11"/>
  <c r="E23" i="11" s="1"/>
  <c r="E24" i="11" s="1"/>
  <c r="E25" i="11" s="1"/>
  <c r="E26" i="11" s="1"/>
  <c r="E27" i="11"/>
  <c r="C93" i="1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/>
  <c r="E140" i="11"/>
  <c r="E125" i="1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C10" i="11"/>
  <c r="C11" i="11" s="1"/>
  <c r="C12" i="11" s="1"/>
  <c r="C13" i="11" s="1"/>
  <c r="C14" i="11" s="1"/>
  <c r="C15" i="11"/>
  <c r="C51" i="11"/>
  <c r="C40" i="1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E33" i="11" l="1"/>
  <c r="E34" i="11" s="1"/>
  <c r="E35" i="11" s="1"/>
  <c r="E28" i="11"/>
  <c r="E29" i="11" s="1"/>
  <c r="E30" i="11" s="1"/>
  <c r="E31" i="11" s="1"/>
  <c r="E32" i="11" s="1"/>
  <c r="C63" i="11"/>
  <c r="C52" i="1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E156" i="11"/>
  <c r="E157" i="11" s="1"/>
  <c r="E141" i="1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C16" i="11"/>
  <c r="C17" i="11" s="1"/>
  <c r="C18" i="11" s="1"/>
  <c r="C19" i="11" s="1"/>
  <c r="C20" i="11" s="1"/>
  <c r="C21" i="11"/>
  <c r="C124" i="11"/>
  <c r="C109" i="1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E87" i="11"/>
  <c r="E88" i="11" s="1"/>
  <c r="E89" i="11" s="1"/>
  <c r="E76" i="1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C140" i="11" l="1"/>
  <c r="C125" i="1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27" i="11"/>
  <c r="C22" i="11"/>
  <c r="C23" i="11" s="1"/>
  <c r="C24" i="11" s="1"/>
  <c r="C25" i="11" s="1"/>
  <c r="C26" i="11" s="1"/>
  <c r="C75" i="11"/>
  <c r="C64" i="1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6" i="11" l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/>
  <c r="C88" i="11" s="1"/>
  <c r="C89" i="11" s="1"/>
  <c r="C156" i="11"/>
  <c r="C157" i="11" s="1"/>
  <c r="C141" i="1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33" i="11"/>
  <c r="C34" i="11" s="1"/>
  <c r="C35" i="11" s="1"/>
  <c r="C28" i="11"/>
  <c r="C29" i="11" s="1"/>
  <c r="C30" i="11" s="1"/>
  <c r="C31" i="11" s="1"/>
  <c r="C32" i="11" s="1"/>
  <c r="F8" i="13" l="1"/>
  <c r="F7" i="13"/>
  <c r="F6" i="13"/>
  <c r="D8" i="13"/>
  <c r="D7" i="13"/>
  <c r="C7" i="13"/>
  <c r="C8" i="13" s="1"/>
</calcChain>
</file>

<file path=xl/comments1.xml><?xml version="1.0" encoding="utf-8"?>
<comments xmlns="http://schemas.openxmlformats.org/spreadsheetml/2006/main">
  <authors>
    <author>reddioxin1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P5" authorId="1" shapeId="0">
      <text>
        <r>
          <rPr>
            <b/>
            <sz val="9"/>
            <color indexed="8"/>
            <rFont val="Tahoma"/>
            <family val="3"/>
            <charset val="129"/>
          </rPr>
          <t>기본 체력</t>
        </r>
      </text>
    </comment>
    <comment ref="Q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R5" authorId="1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S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마력회복량</t>
        </r>
      </text>
    </comment>
    <comment ref="T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U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V5" authorId="1" shapeId="0">
      <text>
        <r>
          <rPr>
            <b/>
            <sz val="9"/>
            <color indexed="8"/>
            <rFont val="Tahoma"/>
            <family val="3"/>
            <charset val="129"/>
          </rPr>
          <t>방어력</t>
        </r>
      </text>
    </comment>
    <comment ref="W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X5" authorId="1" shapeId="0">
      <text>
        <r>
          <rPr>
            <b/>
            <sz val="9"/>
            <color indexed="8"/>
            <rFont val="Tahoma"/>
            <family val="3"/>
            <charset val="129"/>
          </rPr>
          <t>명중</t>
        </r>
      </text>
    </comment>
    <comment ref="Y5" authorId="1" shapeId="0">
      <text>
        <r>
          <rPr>
            <b/>
            <sz val="9"/>
            <color indexed="8"/>
            <rFont val="Tahoma"/>
            <family val="3"/>
            <charset val="129"/>
          </rPr>
          <t>회피률</t>
        </r>
      </text>
    </comment>
    <comment ref="Z5" authorId="1" shapeId="0">
      <text>
        <r>
          <rPr>
            <b/>
            <sz val="9"/>
            <color indexed="8"/>
            <rFont val="Tahoma"/>
            <family val="3"/>
            <charset val="129"/>
          </rPr>
          <t>치명 발생
(0.0 ~ 1.0)</t>
        </r>
      </text>
    </comment>
    <comment ref="AA5" authorId="1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AB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AC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AD5" authorId="1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</commentList>
</comments>
</file>

<file path=xl/comments2.xml><?xml version="1.0" encoding="utf-8"?>
<comments xmlns="http://schemas.openxmlformats.org/spreadsheetml/2006/main">
  <authors>
    <author>reddioxin1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D5" authorId="1" shapeId="0">
      <text>
        <r>
          <rPr>
            <b/>
            <sz val="9"/>
            <color indexed="8"/>
            <rFont val="Tahoma"/>
            <family val="3"/>
            <charset val="129"/>
          </rPr>
          <t>체력 배율 배율</t>
        </r>
      </text>
    </comment>
    <comment ref="E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F5" authorId="1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G5" authorId="1" shapeId="0">
      <text>
        <r>
          <rPr>
            <b/>
            <sz val="9"/>
            <color indexed="8"/>
            <rFont val="Tahoma"/>
            <family val="3"/>
            <charset val="129"/>
          </rPr>
          <t>초당 마력회복</t>
        </r>
      </text>
    </comment>
    <comment ref="H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I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공격력 배율</t>
        </r>
      </text>
    </comment>
    <comment ref="J5" authorId="1" shapeId="0">
      <text>
        <r>
          <rPr>
            <b/>
            <sz val="9"/>
            <color indexed="8"/>
            <rFont val="Tahoma"/>
            <family val="3"/>
            <charset val="129"/>
          </rPr>
          <t>물리 방어력 배율</t>
        </r>
      </text>
    </comment>
    <comment ref="K5" authorId="1" shapeId="0">
      <text>
        <r>
          <rPr>
            <b/>
            <sz val="9"/>
            <color indexed="8"/>
            <rFont val="Tahoma"/>
            <family val="3"/>
            <charset val="129"/>
          </rPr>
          <t>마법 방어력 배율</t>
        </r>
      </text>
    </comment>
    <comment ref="L5" authorId="1" shapeId="0">
      <text>
        <r>
          <rPr>
            <b/>
            <sz val="9"/>
            <color indexed="8"/>
            <rFont val="Tahoma"/>
            <family val="3"/>
            <charset val="129"/>
          </rPr>
          <t>명중 배율</t>
        </r>
      </text>
    </comment>
    <comment ref="M5" authorId="1" shapeId="0">
      <text>
        <r>
          <rPr>
            <b/>
            <sz val="9"/>
            <color indexed="8"/>
            <rFont val="Tahoma"/>
            <family val="3"/>
            <charset val="129"/>
          </rPr>
          <t>회피율 배율
(0.0 ~ 1.0)</t>
        </r>
      </text>
    </comment>
    <comment ref="N5" authorId="1" shapeId="0">
      <text>
        <r>
          <rPr>
            <b/>
            <sz val="9"/>
            <color indexed="8"/>
            <rFont val="Tahoma"/>
            <family val="3"/>
            <charset val="129"/>
          </rPr>
          <t>치명 발생율 배율
(0.0 ~ 1.0)</t>
        </r>
      </text>
    </comment>
    <comment ref="O5" authorId="1" shapeId="0">
      <text>
        <r>
          <rPr>
            <b/>
            <sz val="9"/>
            <color indexed="8"/>
            <rFont val="Tahoma"/>
            <family val="3"/>
            <charset val="129"/>
          </rPr>
          <t>치명저항 배율</t>
        </r>
      </text>
    </comment>
    <comment ref="P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배율</t>
        </r>
      </text>
    </comment>
    <comment ref="Q5" authorId="1" shapeId="0">
      <text>
        <r>
          <rPr>
            <b/>
            <sz val="9"/>
            <color indexed="8"/>
            <rFont val="Tahoma"/>
            <family val="3"/>
            <charset val="129"/>
          </rPr>
          <t>치명피해 저항 배율</t>
        </r>
      </text>
    </comment>
    <comment ref="R5" authorId="1" shapeId="0">
      <text>
        <r>
          <rPr>
            <b/>
            <sz val="9"/>
            <color indexed="8"/>
            <rFont val="Tahoma"/>
            <family val="3"/>
            <charset val="129"/>
          </rPr>
          <t>관통 배율</t>
        </r>
      </text>
    </comment>
  </commentList>
</comments>
</file>

<file path=xl/sharedStrings.xml><?xml version="1.0" encoding="utf-8"?>
<sst xmlns="http://schemas.openxmlformats.org/spreadsheetml/2006/main" count="758" uniqueCount="291">
  <si>
    <t>Tool 에서 읽어들이는 값에 대한 여부를 결정하는 필드</t>
  </si>
  <si>
    <t>조력자 네임</t>
  </si>
  <si>
    <t>조력자 종류 별 코드</t>
  </si>
  <si>
    <t>조력자 설명 텍스트 코드</t>
  </si>
  <si>
    <t>사용안함</t>
  </si>
  <si>
    <t>조력자 소환등급</t>
  </si>
  <si>
    <t>소환 시 조각 수량</t>
  </si>
  <si>
    <t>최대 승급단계</t>
  </si>
  <si>
    <t>조력자 체력증가비</t>
  </si>
  <si>
    <t>조력자 체력회복률</t>
  </si>
  <si>
    <t>활력충전도(조력자비사용)</t>
  </si>
  <si>
    <t>조력자 기본공격력</t>
  </si>
  <si>
    <t>조력자공격속도</t>
  </si>
  <si>
    <t>치명타 확률</t>
  </si>
  <si>
    <t>치명타 세기</t>
  </si>
  <si>
    <t>치명타저항</t>
  </si>
  <si>
    <t>피해감소</t>
  </si>
  <si>
    <t>방어력</t>
  </si>
  <si>
    <t>회피율</t>
  </si>
  <si>
    <t>적중도</t>
  </si>
  <si>
    <t>상태이상저항</t>
  </si>
  <si>
    <t>이동속도</t>
  </si>
  <si>
    <t>흑마력</t>
  </si>
  <si>
    <t>Tool</t>
  </si>
  <si>
    <t>Common</t>
  </si>
  <si>
    <t>bool</t>
  </si>
  <si>
    <t>string</t>
  </si>
  <si>
    <t>int</t>
  </si>
  <si>
    <t>float</t>
  </si>
  <si>
    <t>Read</t>
  </si>
  <si>
    <t>Description</t>
  </si>
  <si>
    <t>GeneralTypeCode</t>
  </si>
  <si>
    <t>NameTextKey</t>
  </si>
  <si>
    <t>SummonCount</t>
  </si>
  <si>
    <t>MaxGrade</t>
  </si>
  <si>
    <t>IconImageCode_Big</t>
  </si>
  <si>
    <t>IconImageCode_Normal</t>
  </si>
  <si>
    <t>IconImageCode_Ingame</t>
  </si>
  <si>
    <t>HP</t>
  </si>
  <si>
    <t>HpRegenerationPer5Sec</t>
  </si>
  <si>
    <t>StmChrg</t>
  </si>
  <si>
    <t>AttkPow</t>
  </si>
  <si>
    <t>AttkSpd</t>
  </si>
  <si>
    <t>CrtRt</t>
  </si>
  <si>
    <t>CtrPow</t>
  </si>
  <si>
    <t>CrtPowDecr</t>
  </si>
  <si>
    <t>DmgDecr</t>
  </si>
  <si>
    <t>DfsPow</t>
  </si>
  <si>
    <t>AvdRt</t>
  </si>
  <si>
    <t>Accr</t>
  </si>
  <si>
    <t>StReg</t>
  </si>
  <si>
    <t>MvSpd</t>
  </si>
  <si>
    <t>DkFrc</t>
  </si>
  <si>
    <t>서포터 네임</t>
  </si>
  <si>
    <t>서포터 종류 별 코드</t>
  </si>
  <si>
    <t>서포터 체력증가비</t>
  </si>
  <si>
    <t>서포터 체력회복률 증가비</t>
  </si>
  <si>
    <t>활력충전도(서포터비사용) 증가비</t>
  </si>
  <si>
    <t>서포터 기본공격력 증가비</t>
  </si>
  <si>
    <t>서포터공격속도 증가비</t>
  </si>
  <si>
    <t>치명타 확률 증가비</t>
  </si>
  <si>
    <t>치명타 세기 증가비</t>
  </si>
  <si>
    <t>치명타저항 증가비</t>
  </si>
  <si>
    <t>피해감소 증가비</t>
  </si>
  <si>
    <t>방어력 증가비</t>
  </si>
  <si>
    <t>회피율 증가비</t>
  </si>
  <si>
    <t>적중도 증가비</t>
  </si>
  <si>
    <t>상태이상저항 증가비</t>
  </si>
  <si>
    <t>이동속도 증가비</t>
  </si>
  <si>
    <t>흑마력 증가비</t>
  </si>
  <si>
    <t>Comment</t>
  </si>
  <si>
    <t>1레벨 경험치 정보</t>
  </si>
  <si>
    <t>2레벨 경험치 정보</t>
  </si>
  <si>
    <t>3레벨 경험치 정보</t>
  </si>
  <si>
    <t>4레벨 경험치 정보</t>
  </si>
  <si>
    <t>5레벨 경험치 정보</t>
  </si>
  <si>
    <t>6레벨 경험치 정보</t>
  </si>
  <si>
    <t>7레벨 경험치 정보</t>
  </si>
  <si>
    <t>8레벨 경험치 정보</t>
  </si>
  <si>
    <t>9레벨 경험치 정보</t>
  </si>
  <si>
    <t>10레벨 경험치 정보</t>
  </si>
  <si>
    <t>11레벨 경험치 정보</t>
  </si>
  <si>
    <t>12레벨 경험치 정보</t>
  </si>
  <si>
    <t>13레벨 경험치 정보</t>
  </si>
  <si>
    <t>14레벨 경험치 정보</t>
  </si>
  <si>
    <t>15레벨 경험치 정보</t>
  </si>
  <si>
    <t>16레벨 경험치 정보</t>
  </si>
  <si>
    <t>17레벨 경험치 정보</t>
  </si>
  <si>
    <t>18레벨 경험치 정보</t>
  </si>
  <si>
    <t>19레벨 경험치 정보</t>
  </si>
  <si>
    <t>20레벨 경험치 정보</t>
  </si>
  <si>
    <t>21레벨 경험치 정보</t>
  </si>
  <si>
    <t>22레벨 경험치 정보</t>
  </si>
  <si>
    <t>23레벨 경험치 정보</t>
  </si>
  <si>
    <t>24레벨 경험치 정보</t>
  </si>
  <si>
    <t>25레벨 경험치 정보</t>
  </si>
  <si>
    <t>26레벨 경험치 정보</t>
  </si>
  <si>
    <t>27레벨 경험치 정보</t>
  </si>
  <si>
    <t>28레벨 경험치 정보</t>
  </si>
  <si>
    <t>29레벨 경험치 정보</t>
  </si>
  <si>
    <t>30레벨 경험치 정보</t>
  </si>
  <si>
    <t>액트1-중보스 나무 히드라</t>
  </si>
  <si>
    <t>액트1-보스 퀸투스</t>
  </si>
  <si>
    <t>액트3-중보스 쿠이안</t>
  </si>
  <si>
    <t>액트4-일반 중급 어쌔신</t>
  </si>
  <si>
    <t>액트6-중보스</t>
  </si>
  <si>
    <t>액트6-보스</t>
  </si>
  <si>
    <t>액트7-중보스</t>
  </si>
  <si>
    <t>액트7-보스</t>
  </si>
  <si>
    <t>액트8-중보스</t>
  </si>
  <si>
    <t>액트8-보스</t>
  </si>
  <si>
    <t>액트5-보스 썬더드래곤</t>
  </si>
  <si>
    <t>Int</t>
  </si>
  <si>
    <t>2성 조력자 소환</t>
  </si>
  <si>
    <t>3성 조력자 소환</t>
  </si>
  <si>
    <t>Gem</t>
  </si>
  <si>
    <t>160001001 - 골드
160001002 - 젬(보석)
160002001 - 일반뽑기권
160002002 - 고급뽑기권
160002003 - 입장권
160002004 - 트포피
160002005 - 균열석
160004001 - 아이템 증가권
160004002 - 경험치 증가권
160004003 - 골드 증가권
160004004 - 즉시완료권</t>
  </si>
  <si>
    <t>Grade
-1: Invalid(등급없음)
1: Common(일반,노멀)
2: Magic(마법,매직)
3: Rare(희귀,레어)
4: Unique(유일,유니크)
5: Hero(영웅,히어로)
6: Legendary(전설,레전드)
7: Immortal(불멸)</t>
  </si>
  <si>
    <t>enum : 
sbyte : 
eEquipType</t>
  </si>
  <si>
    <t>TextSupporterName</t>
  </si>
  <si>
    <t>TextSupporterDesc</t>
  </si>
  <si>
    <t>ItemCount</t>
  </si>
  <si>
    <t>DropRate</t>
  </si>
  <si>
    <t>액트1-일반 시체청소부 피구르</t>
  </si>
  <si>
    <t>액트1-일반 명사수 오디세우스</t>
  </si>
  <si>
    <t>액트2-일반 사악한 베아루스</t>
  </si>
  <si>
    <t>액트2-일반 공포의 누크던</t>
  </si>
  <si>
    <t>액트3-일반 교살자 그리모크</t>
  </si>
  <si>
    <t>액트3-일반 파괴의 르다존</t>
  </si>
  <si>
    <t>액트2-중보스 쿠굴자</t>
  </si>
  <si>
    <t>액트4-중보스 드레이크</t>
  </si>
  <si>
    <t>액트5-일반 미아스튜터 용족라쿠니</t>
  </si>
  <si>
    <t>액트5-중보스 케라버그</t>
  </si>
  <si>
    <t>155102002</t>
  </si>
  <si>
    <t>155102003</t>
  </si>
  <si>
    <t>155102004</t>
  </si>
  <si>
    <t>155102005</t>
  </si>
  <si>
    <t>155102006</t>
  </si>
  <si>
    <t>155103002</t>
  </si>
  <si>
    <t>155103003</t>
  </si>
  <si>
    <t>155103004</t>
  </si>
  <si>
    <t>155103005</t>
  </si>
  <si>
    <t>155103006</t>
  </si>
  <si>
    <t>155103007</t>
  </si>
  <si>
    <t>155103008</t>
  </si>
  <si>
    <t>155103009</t>
  </si>
  <si>
    <t>155103010</t>
  </si>
  <si>
    <t>155103011</t>
  </si>
  <si>
    <t>155103012</t>
  </si>
  <si>
    <t>Superior</t>
  </si>
  <si>
    <t>Epic</t>
  </si>
  <si>
    <t>Servant</t>
  </si>
  <si>
    <t>155102001</t>
  </si>
  <si>
    <t>155103001</t>
  </si>
  <si>
    <t>조각 인덱스</t>
  </si>
  <si>
    <t>조각 획득경로</t>
  </si>
  <si>
    <t>ServantDescriptionKey</t>
  </si>
  <si>
    <t>PieceTypeCode</t>
  </si>
  <si>
    <t>PieceGainRoot</t>
  </si>
  <si>
    <t>SummonGrade</t>
  </si>
  <si>
    <t>NoData</t>
  </si>
  <si>
    <t>Uncommon</t>
  </si>
  <si>
    <t>Rare</t>
  </si>
  <si>
    <t>액트2-보스 발록</t>
  </si>
  <si>
    <t>액트3-보스 멜황제</t>
  </si>
  <si>
    <t>액트4-보스 브로스난</t>
  </si>
  <si>
    <t>ServantLevelUPStatus</t>
  </si>
  <si>
    <t>ServantLevelExperience</t>
  </si>
  <si>
    <t>Level</t>
  </si>
  <si>
    <t>NeedExperience</t>
  </si>
  <si>
    <t>NeedExperienceToNextLevel</t>
  </si>
  <si>
    <t>ServantAchievement</t>
  </si>
  <si>
    <t>2001 - 미션타입설정
2002 - 일일
2003 - 주간
2004 - 이벤트
2005 - 던전업적
2006 - 조력자업적</t>
  </si>
  <si>
    <t>DescriptionKey</t>
  </si>
  <si>
    <t>RewardTypeCode</t>
  </si>
  <si>
    <t>RewardCount</t>
  </si>
  <si>
    <t>EquipType</t>
  </si>
  <si>
    <t>ItemGrade</t>
  </si>
  <si>
    <t>1성 조력자 소환</t>
  </si>
  <si>
    <t>54201</t>
  </si>
  <si>
    <t>55201</t>
  </si>
  <si>
    <t>120401001, 120402003, 120403007, 120404010, 120405005, 120406002, 120407008, 120408006</t>
  </si>
  <si>
    <t>120401005, 120402007, 120403009, 120405002, 120406004, 120408003</t>
  </si>
  <si>
    <t>120401002, 120402004, 120403003, 120404007, 120405009, 120406006, 120407010, 120408008</t>
  </si>
  <si>
    <t>120401008, 120402002, 120403001, 120404002, 120407007, 120408005</t>
  </si>
  <si>
    <t>120401003, 120402001, 120403005, 120404004, 120405007, 120406009, 120407002, 120408010</t>
  </si>
  <si>
    <t>120401010, 120402005, 120404001, 120405008</t>
  </si>
  <si>
    <t>120401006, 120402008, 120403010, 120405001</t>
  </si>
  <si>
    <t>120403004, 120404008, 120405006, 120406001</t>
  </si>
  <si>
    <t>120401007, 120402009, 120403006, 120404009, 120405010, 120406003</t>
  </si>
  <si>
    <t>120404006, 120406005, 120407003, 120408004</t>
  </si>
  <si>
    <t>120401009, 120402010, 120403008, 120404005, 120405003, 120407001</t>
  </si>
  <si>
    <t>120405004, 120406010, 120407005, 120408002</t>
  </si>
  <si>
    <t>120406008, 120407006, 120408001</t>
  </si>
  <si>
    <t>120407004, 120408009</t>
  </si>
  <si>
    <t>조력자 퀸투스(업데이트)</t>
  </si>
  <si>
    <t>조력자 페르페투스(업데이트)</t>
  </si>
  <si>
    <t>조력자 황제-멜(업데이트)</t>
  </si>
  <si>
    <t>조력자 로난(업데이트)</t>
  </si>
  <si>
    <t>조력자 브란데움(업데이트)</t>
  </si>
  <si>
    <t>조력자 잉겔리아(업데이트)</t>
  </si>
  <si>
    <t>조력자 베르디우스(업데이트)</t>
  </si>
  <si>
    <t>조력자 보이드(업데이트)</t>
  </si>
  <si>
    <t>CharLevel 1~25 상점</t>
    <phoneticPr fontId="30" type="noConversion"/>
  </si>
  <si>
    <t>CharLevel 26~40 상점</t>
    <phoneticPr fontId="30" type="noConversion"/>
  </si>
  <si>
    <t>CharLevel 41~50 상점</t>
    <phoneticPr fontId="30" type="noConversion"/>
  </si>
  <si>
    <t>ServantPieceStoreProduct</t>
  </si>
  <si>
    <t>상품 인덱스</t>
  </si>
  <si>
    <t>ServantPieceStore에
설정된 상품그룹 인덱스</t>
  </si>
  <si>
    <t>상점 슬롯
1Slot~6Slot</t>
  </si>
  <si>
    <t>ProductSlot에 구성된 아이템 중 하나가 뽑힐 때까지 반복하여 뽑음
DropRate의 확률설정은 100%을 기준으로 값을 입력하지만 그룹의 총 합이 100% 아닐 수 있다.</t>
  </si>
  <si>
    <t>조력자 조각
인덱스 설정</t>
  </si>
  <si>
    <t>판매 수량
1~3개</t>
  </si>
  <si>
    <t>조력자 조각
판매 타입</t>
  </si>
  <si>
    <t>조력자 조각
판매 수량</t>
  </si>
  <si>
    <t>ProductGroup</t>
  </si>
  <si>
    <t>ProductSlot</t>
  </si>
  <si>
    <t>ItemTypeCode</t>
  </si>
  <si>
    <t>BuyType</t>
  </si>
  <si>
    <t>Price</t>
  </si>
  <si>
    <t>CharLevel1~25 1st 슬롯 상품 구성</t>
  </si>
  <si>
    <t>CharLevel1~25 2nd 슬롯 상품 구성</t>
  </si>
  <si>
    <t>CharLevel1~25 3rd 슬롯 상품 구성</t>
  </si>
  <si>
    <t>CharLevel1~25 4th 슬롯 상품 구성</t>
  </si>
  <si>
    <t>CharLevel1~25 5th 슬롯 상품 구성</t>
  </si>
  <si>
    <t>CharLevel1~25 6th 슬롯 상품 구성</t>
  </si>
  <si>
    <t>CharLevel26~40 1st 슬롯 상품 구성</t>
  </si>
  <si>
    <t>CharLevel26~40 2nd 슬롯 상품 구성</t>
  </si>
  <si>
    <t>CharLevel26~40 3rd 슬롯 상품 구성</t>
  </si>
  <si>
    <t>CharLevel26~40 4th 슬롯 상품 구성</t>
  </si>
  <si>
    <t>CharLevel26~40 5th 슬롯 상품 구성</t>
  </si>
  <si>
    <t>CharLevel26~40 6th 슬롯 상품 구성</t>
  </si>
  <si>
    <t>CharLevel41~50 1st 슬롯 상품 구성</t>
  </si>
  <si>
    <t>CharLevel41~50 2nd 슬롯 상품 구성</t>
  </si>
  <si>
    <t>CharLevel41~50 3rd 슬롯 상품 구성</t>
  </si>
  <si>
    <t>CharLevel41~50 4th 슬롯 상품 구성</t>
  </si>
  <si>
    <t>CharLevel41~50 5th 슬롯 상품 구성</t>
  </si>
  <si>
    <t>CharLevel41~50 6th 슬롯 상품 구성</t>
  </si>
  <si>
    <t>list&lt;int&gt;</t>
  </si>
  <si>
    <t>enum : 
sbyte : 
TableEnum.eSummonGrade</t>
  </si>
  <si>
    <t>ServantPieceStore</t>
  </si>
  <si>
    <t>상점 인덱스</t>
  </si>
  <si>
    <t>캐릭터 최소 레벨</t>
  </si>
  <si>
    <t>캐릭터 최대 레벨</t>
  </si>
  <si>
    <t>상품 그룹 인덱스
DB &gt; SupporterPieceStoreProduct</t>
  </si>
  <si>
    <t>CharLevelPMin</t>
  </si>
  <si>
    <t>CharLevelPMiX</t>
  </si>
  <si>
    <t>PriductGroupCode</t>
  </si>
  <si>
    <t>재사용 쿨타임</t>
  </si>
  <si>
    <t>Client</t>
  </si>
  <si>
    <t>IconImageCode</t>
  </si>
  <si>
    <t>CoolTime</t>
  </si>
  <si>
    <t>조력자 피구르</t>
  </si>
  <si>
    <t>120401004, 120402006, 120403002, 120404003, 120406007, 120407009</t>
  </si>
  <si>
    <t>조력자 수페르모</t>
  </si>
  <si>
    <t>조력자 베아루스</t>
  </si>
  <si>
    <t>조력자 오넬로</t>
  </si>
  <si>
    <t>조력자 그리모크</t>
  </si>
  <si>
    <t>조력자 데스로크</t>
  </si>
  <si>
    <t>조력자 레글리스</t>
  </si>
  <si>
    <t>조력자 쿠르크</t>
  </si>
  <si>
    <t>조력자 쿠이안</t>
  </si>
  <si>
    <t>조력자 로켈토즈</t>
  </si>
  <si>
    <t>조력자 드레이크</t>
  </si>
  <si>
    <t>조력자 미아스튜터</t>
  </si>
  <si>
    <t>조력자 케라버그</t>
  </si>
  <si>
    <t>15</t>
  </si>
  <si>
    <t>3926</t>
  </si>
  <si>
    <t>209</t>
  </si>
  <si>
    <t>14.56</t>
  </si>
  <si>
    <t>1.9</t>
  </si>
  <si>
    <t>812</t>
  </si>
  <si>
    <t>3.187</t>
  </si>
  <si>
    <t>7.5</t>
  </si>
  <si>
    <t>조력자 루스트룸</t>
  </si>
  <si>
    <t>조력자 프리겔리두즈</t>
  </si>
  <si>
    <t>조력자 헤르케리움</t>
  </si>
  <si>
    <t>120408007</t>
  </si>
  <si>
    <t>5137</t>
  </si>
  <si>
    <t>250</t>
  </si>
  <si>
    <t>15.59</t>
  </si>
  <si>
    <t>1.95</t>
  </si>
  <si>
    <t>1063</t>
  </si>
  <si>
    <t>4.106</t>
  </si>
  <si>
    <t>11</t>
  </si>
  <si>
    <t>7</t>
  </si>
  <si>
    <t>79</t>
  </si>
  <si>
    <t>6.6</t>
  </si>
  <si>
    <t>0.3</t>
    <phoneticPr fontId="31" type="noConversion"/>
  </si>
  <si>
    <t>99</t>
  </si>
  <si>
    <t>0.4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</si>
</sst>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_);[Red]\(0\)"/>
    <numFmt numFmtId="177" formatCode="0.000"/>
  </numFmts>
  <fonts count="32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10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8"/>
      <name val="돋움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8CBAD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21" fillId="35" borderId="11" xfId="45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20" fillId="33" borderId="11" xfId="43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21" fillId="40" borderId="11" xfId="45" applyNumberFormat="1" applyFont="1" applyFill="1" applyBorder="1" applyAlignment="1">
      <alignment horizontal="center" vertical="center"/>
    </xf>
    <xf numFmtId="49" fontId="20" fillId="36" borderId="12" xfId="43" applyNumberFormat="1" applyFont="1" applyFill="1" applyBorder="1" applyAlignment="1">
      <alignment horizontal="center" vertical="center"/>
    </xf>
    <xf numFmtId="49" fontId="20" fillId="36" borderId="13" xfId="43" applyNumberFormat="1" applyFont="1" applyFill="1" applyBorder="1" applyAlignment="1">
      <alignment horizontal="center" vertical="center"/>
    </xf>
    <xf numFmtId="0" fontId="21" fillId="32" borderId="10" xfId="20" applyFont="1" applyBorder="1" applyAlignment="1">
      <alignment horizontal="center" vertical="center"/>
    </xf>
    <xf numFmtId="49" fontId="21" fillId="32" borderId="10" xfId="20" applyNumberFormat="1" applyFont="1" applyBorder="1" applyAlignment="1">
      <alignment horizontal="center" vertical="center"/>
    </xf>
    <xf numFmtId="49" fontId="21" fillId="40" borderId="11" xfId="45" applyNumberFormat="1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/>
    </xf>
    <xf numFmtId="0" fontId="21" fillId="32" borderId="10" xfId="20" applyNumberFormat="1" applyFont="1" applyBorder="1" applyAlignment="1">
      <alignment horizontal="center" vertical="center"/>
    </xf>
    <xf numFmtId="49" fontId="21" fillId="40" borderId="11" xfId="45" applyNumberFormat="1" applyFont="1" applyFill="1" applyBorder="1" applyAlignment="1">
      <alignment horizontal="left" vertical="center" wrapText="1"/>
    </xf>
    <xf numFmtId="0" fontId="21" fillId="40" borderId="11" xfId="45" applyNumberFormat="1" applyFont="1" applyFill="1" applyBorder="1" applyAlignment="1">
      <alignment horizontal="left" vertical="center" wrapText="1"/>
    </xf>
    <xf numFmtId="49" fontId="20" fillId="36" borderId="14" xfId="43" applyNumberFormat="1" applyFont="1" applyFill="1" applyBorder="1" applyAlignment="1">
      <alignment horizontal="center" vertical="center"/>
    </xf>
    <xf numFmtId="0" fontId="20" fillId="36" borderId="14" xfId="43" applyNumberFormat="1" applyFont="1" applyFill="1" applyBorder="1" applyAlignment="1">
      <alignment horizontal="center" vertical="center"/>
    </xf>
    <xf numFmtId="0" fontId="21" fillId="32" borderId="16" xfId="20" applyFont="1" applyBorder="1" applyAlignment="1">
      <alignment horizontal="center" vertical="center"/>
    </xf>
    <xf numFmtId="49" fontId="21" fillId="32" borderId="16" xfId="20" applyNumberFormat="1" applyFont="1" applyBorder="1" applyAlignment="1">
      <alignment horizontal="center" vertical="center"/>
    </xf>
    <xf numFmtId="176" fontId="21" fillId="42" borderId="16" xfId="1" applyNumberFormat="1" applyFont="1" applyFill="1" applyBorder="1" applyAlignment="1">
      <alignment vertical="center"/>
    </xf>
    <xf numFmtId="0" fontId="21" fillId="39" borderId="16" xfId="0" applyFont="1" applyFill="1" applyBorder="1" applyAlignment="1">
      <alignment horizontal="center" vertical="center"/>
    </xf>
    <xf numFmtId="49" fontId="21" fillId="39" borderId="16" xfId="20" applyNumberFormat="1" applyFont="1" applyFill="1" applyBorder="1" applyAlignment="1">
      <alignment horizontal="center" vertical="center"/>
    </xf>
    <xf numFmtId="0" fontId="21" fillId="32" borderId="16" xfId="20" applyNumberFormat="1" applyFont="1" applyBorder="1" applyAlignment="1">
      <alignment horizontal="center" vertical="center"/>
    </xf>
    <xf numFmtId="49" fontId="20" fillId="36" borderId="17" xfId="43" applyNumberFormat="1" applyFont="1" applyFill="1" applyBorder="1" applyAlignment="1">
      <alignment horizontal="center" vertical="center"/>
    </xf>
    <xf numFmtId="49" fontId="20" fillId="41" borderId="17" xfId="20" applyNumberFormat="1" applyFont="1" applyFill="1" applyBorder="1" applyAlignment="1">
      <alignment horizontal="center" vertical="center"/>
    </xf>
    <xf numFmtId="49" fontId="20" fillId="41" borderId="17" xfId="0" applyNumberFormat="1" applyFont="1" applyFill="1" applyBorder="1" applyAlignment="1">
      <alignment horizontal="center" vertical="center"/>
    </xf>
    <xf numFmtId="49" fontId="20" fillId="41" borderId="18" xfId="0" applyNumberFormat="1" applyFont="1" applyFill="1" applyBorder="1" applyAlignment="1">
      <alignment horizontal="center" vertical="center" wrapText="1"/>
    </xf>
    <xf numFmtId="0" fontId="20" fillId="41" borderId="18" xfId="0" applyNumberFormat="1" applyFont="1" applyFill="1" applyBorder="1" applyAlignment="1">
      <alignment horizontal="center" vertical="center" wrapText="1"/>
    </xf>
    <xf numFmtId="49" fontId="20" fillId="38" borderId="19" xfId="45" applyNumberFormat="1" applyFont="1" applyFill="1" applyBorder="1" applyAlignment="1">
      <alignment horizontal="center" vertical="center"/>
    </xf>
    <xf numFmtId="49" fontId="20" fillId="38" borderId="17" xfId="45" applyNumberFormat="1" applyFont="1" applyFill="1" applyBorder="1" applyAlignment="1">
      <alignment horizontal="center" vertical="center" wrapText="1"/>
    </xf>
    <xf numFmtId="49" fontId="20" fillId="38" borderId="17" xfId="0" applyNumberFormat="1" applyFont="1" applyFill="1" applyBorder="1" applyAlignment="1">
      <alignment horizontal="center" vertical="center"/>
    </xf>
    <xf numFmtId="0" fontId="20" fillId="38" borderId="19" xfId="45" applyNumberFormat="1" applyFont="1" applyFill="1" applyBorder="1" applyAlignment="1">
      <alignment horizontal="center" vertical="center"/>
    </xf>
    <xf numFmtId="49" fontId="24" fillId="38" borderId="19" xfId="45" applyNumberFormat="1" applyFont="1" applyFill="1" applyBorder="1" applyAlignment="1">
      <alignment horizontal="center" vertical="center"/>
    </xf>
    <xf numFmtId="0" fontId="21" fillId="32" borderId="17" xfId="20" applyFont="1" applyBorder="1" applyAlignment="1">
      <alignment horizontal="center" vertical="center"/>
    </xf>
    <xf numFmtId="49" fontId="21" fillId="32" borderId="17" xfId="20" applyNumberFormat="1" applyFont="1" applyBorder="1" applyAlignment="1">
      <alignment horizontal="center" vertical="center"/>
    </xf>
    <xf numFmtId="0" fontId="21" fillId="39" borderId="17" xfId="0" applyFont="1" applyFill="1" applyBorder="1" applyAlignment="1">
      <alignment horizontal="center" vertical="center"/>
    </xf>
    <xf numFmtId="0" fontId="21" fillId="32" borderId="17" xfId="20" applyNumberFormat="1" applyFont="1" applyBorder="1" applyAlignment="1">
      <alignment horizontal="center" vertical="center"/>
    </xf>
    <xf numFmtId="49" fontId="21" fillId="39" borderId="17" xfId="48" applyNumberFormat="1" applyFont="1" applyFill="1" applyBorder="1" applyAlignment="1">
      <alignment horizontal="center" vertical="center"/>
    </xf>
    <xf numFmtId="0" fontId="21" fillId="46" borderId="17" xfId="20" applyFont="1" applyFill="1" applyBorder="1" applyAlignment="1">
      <alignment horizontal="center" vertical="center"/>
    </xf>
    <xf numFmtId="49" fontId="21" fillId="46" borderId="17" xfId="20" applyNumberFormat="1" applyFont="1" applyFill="1" applyBorder="1" applyAlignment="1">
      <alignment horizontal="center" vertical="center"/>
    </xf>
    <xf numFmtId="0" fontId="21" fillId="46" borderId="17" xfId="20" applyNumberFormat="1" applyFont="1" applyFill="1" applyBorder="1" applyAlignment="1">
      <alignment horizontal="center" vertical="center"/>
    </xf>
    <xf numFmtId="0" fontId="21" fillId="39" borderId="17" xfId="20" applyFont="1" applyFill="1" applyBorder="1" applyAlignment="1">
      <alignment horizontal="center" vertical="center"/>
    </xf>
    <xf numFmtId="0" fontId="21" fillId="44" borderId="17" xfId="20" applyFont="1" applyFill="1" applyBorder="1" applyAlignment="1">
      <alignment horizontal="center" vertical="center"/>
    </xf>
    <xf numFmtId="49" fontId="21" fillId="44" borderId="17" xfId="20" applyNumberFormat="1" applyFont="1" applyFill="1" applyBorder="1" applyAlignment="1">
      <alignment horizontal="center" vertical="center"/>
    </xf>
    <xf numFmtId="0" fontId="21" fillId="44" borderId="17" xfId="20" applyNumberFormat="1" applyFont="1" applyFill="1" applyBorder="1" applyAlignment="1">
      <alignment horizontal="center" vertical="center"/>
    </xf>
    <xf numFmtId="49" fontId="20" fillId="38" borderId="17" xfId="45" applyNumberFormat="1" applyFont="1" applyFill="1" applyBorder="1" applyAlignment="1">
      <alignment horizontal="center" vertical="center"/>
    </xf>
    <xf numFmtId="49" fontId="20" fillId="33" borderId="20" xfId="43" applyNumberFormat="1" applyFont="1" applyFill="1" applyBorder="1" applyAlignment="1">
      <alignment horizontal="center" vertical="center"/>
    </xf>
    <xf numFmtId="49" fontId="21" fillId="0" borderId="20" xfId="0" applyNumberFormat="1" applyFont="1" applyFill="1" applyBorder="1" applyAlignment="1" applyProtection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22" fillId="35" borderId="21" xfId="46" applyNumberFormat="1" applyFont="1" applyFill="1" applyBorder="1" applyAlignment="1">
      <alignment horizontal="left" vertical="center"/>
    </xf>
    <xf numFmtId="0" fontId="23" fillId="35" borderId="20" xfId="44" applyFont="1" applyFill="1" applyBorder="1" applyAlignment="1">
      <alignment horizontal="center" vertical="center"/>
    </xf>
    <xf numFmtId="49" fontId="20" fillId="36" borderId="20" xfId="43" applyNumberFormat="1" applyFont="1" applyFill="1" applyBorder="1" applyAlignment="1">
      <alignment horizontal="center" vertical="center"/>
    </xf>
    <xf numFmtId="49" fontId="20" fillId="37" borderId="20" xfId="0" applyNumberFormat="1" applyFont="1" applyFill="1" applyBorder="1" applyAlignment="1">
      <alignment horizontal="center" vertical="center"/>
    </xf>
    <xf numFmtId="49" fontId="20" fillId="38" borderId="20" xfId="45" applyNumberFormat="1" applyFont="1" applyFill="1" applyBorder="1" applyAlignment="1">
      <alignment horizontal="center" vertical="center"/>
    </xf>
    <xf numFmtId="49" fontId="20" fillId="38" borderId="20" xfId="45" applyNumberFormat="1" applyFont="1" applyFill="1" applyBorder="1" applyAlignment="1">
      <alignment horizontal="center" vertical="center" wrapText="1"/>
    </xf>
    <xf numFmtId="49" fontId="20" fillId="38" borderId="22" xfId="45" applyNumberFormat="1" applyFont="1" applyFill="1" applyBorder="1" applyAlignment="1">
      <alignment horizontal="center" vertical="center"/>
    </xf>
    <xf numFmtId="0" fontId="24" fillId="38" borderId="20" xfId="0" applyFont="1" applyFill="1" applyBorder="1" applyAlignment="1">
      <alignment horizontal="center" vertical="center"/>
    </xf>
    <xf numFmtId="49" fontId="20" fillId="38" borderId="22" xfId="45" applyNumberFormat="1" applyFont="1" applyFill="1" applyBorder="1" applyAlignment="1">
      <alignment horizontal="center" vertical="center" wrapText="1"/>
    </xf>
    <xf numFmtId="0" fontId="21" fillId="0" borderId="20" xfId="48" applyFont="1" applyFill="1" applyBorder="1" applyAlignment="1">
      <alignment horizontal="center" vertical="center"/>
    </xf>
    <xf numFmtId="0" fontId="21" fillId="0" borderId="20" xfId="48" applyFont="1" applyFill="1" applyBorder="1" applyAlignment="1">
      <alignment horizontal="left" vertical="center"/>
    </xf>
    <xf numFmtId="0" fontId="21" fillId="39" borderId="20" xfId="20" applyFont="1" applyFill="1" applyBorder="1" applyAlignment="1">
      <alignment horizontal="center" vertical="center"/>
    </xf>
    <xf numFmtId="2" fontId="21" fillId="0" borderId="20" xfId="48" applyNumberFormat="1" applyFont="1" applyFill="1" applyBorder="1" applyAlignment="1">
      <alignment horizontal="center" vertical="center"/>
    </xf>
    <xf numFmtId="177" fontId="21" fillId="0" borderId="20" xfId="48" applyNumberFormat="1" applyFont="1" applyFill="1" applyBorder="1" applyAlignment="1">
      <alignment horizontal="center" vertical="center"/>
    </xf>
    <xf numFmtId="0" fontId="21" fillId="0" borderId="20" xfId="20" applyFont="1" applyFill="1" applyBorder="1" applyAlignment="1">
      <alignment horizontal="center" vertical="center"/>
    </xf>
    <xf numFmtId="0" fontId="21" fillId="44" borderId="20" xfId="48" applyFont="1" applyFill="1" applyBorder="1" applyAlignment="1">
      <alignment horizontal="center" vertical="center"/>
    </xf>
    <xf numFmtId="0" fontId="21" fillId="44" borderId="20" xfId="48" applyFont="1" applyFill="1" applyBorder="1" applyAlignment="1">
      <alignment horizontal="left" vertical="center"/>
    </xf>
    <xf numFmtId="2" fontId="21" fillId="44" borderId="20" xfId="48" applyNumberFormat="1" applyFont="1" applyFill="1" applyBorder="1" applyAlignment="1">
      <alignment horizontal="center" vertical="center"/>
    </xf>
    <xf numFmtId="177" fontId="21" fillId="44" borderId="20" xfId="48" applyNumberFormat="1" applyFont="1" applyFill="1" applyBorder="1" applyAlignment="1">
      <alignment horizontal="center" vertical="center"/>
    </xf>
    <xf numFmtId="0" fontId="21" fillId="45" borderId="20" xfId="48" applyFont="1" applyFill="1" applyBorder="1" applyAlignment="1">
      <alignment horizontal="center" vertical="center"/>
    </xf>
    <xf numFmtId="0" fontId="21" fillId="45" borderId="20" xfId="48" applyFont="1" applyFill="1" applyBorder="1" applyAlignment="1">
      <alignment horizontal="left" vertical="center"/>
    </xf>
    <xf numFmtId="2" fontId="21" fillId="45" borderId="20" xfId="48" applyNumberFormat="1" applyFont="1" applyFill="1" applyBorder="1" applyAlignment="1">
      <alignment horizontal="center" vertical="center"/>
    </xf>
    <xf numFmtId="177" fontId="21" fillId="45" borderId="20" xfId="48" applyNumberFormat="1" applyFont="1" applyFill="1" applyBorder="1" applyAlignment="1">
      <alignment horizontal="center" vertical="center"/>
    </xf>
    <xf numFmtId="49" fontId="21" fillId="45" borderId="20" xfId="48" applyNumberFormat="1" applyFont="1" applyFill="1" applyBorder="1" applyAlignment="1">
      <alignment horizontal="center" vertical="center"/>
    </xf>
    <xf numFmtId="49" fontId="20" fillId="37" borderId="20" xfId="0" applyNumberFormat="1" applyFont="1" applyFill="1" applyBorder="1" applyAlignment="1">
      <alignment horizontal="center" vertical="center" wrapText="1"/>
    </xf>
    <xf numFmtId="0" fontId="25" fillId="39" borderId="20" xfId="0" applyFont="1" applyFill="1" applyBorder="1" applyAlignment="1">
      <alignment horizontal="center" vertical="center"/>
    </xf>
    <xf numFmtId="0" fontId="21" fillId="45" borderId="2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9" fontId="21" fillId="0" borderId="20" xfId="48" applyNumberFormat="1" applyFont="1" applyFill="1" applyBorder="1" applyAlignment="1">
      <alignment horizontal="left" vertical="center"/>
    </xf>
    <xf numFmtId="49" fontId="21" fillId="0" borderId="20" xfId="48" applyNumberFormat="1" applyFont="1" applyFill="1" applyBorder="1" applyAlignment="1">
      <alignment horizontal="center" vertical="center"/>
    </xf>
    <xf numFmtId="49" fontId="21" fillId="45" borderId="20" xfId="48" applyNumberFormat="1" applyFont="1" applyFill="1" applyBorder="1" applyAlignment="1">
      <alignment horizontal="left" vertical="center"/>
    </xf>
  </cellXfs>
  <cellStyles count="51">
    <cellStyle name="20% - 강조색1" xfId="20" builtinId="30" customBuiltin="1"/>
    <cellStyle name="20% - 강조색1 2" xfId="48"/>
    <cellStyle name="20% - 강조색2" xfId="24" builtinId="34" customBuiltin="1"/>
    <cellStyle name="20% - 강조색2 9" xfId="50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Excel Built-in Normal 2" xfId="43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 customBuiltin="1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  <cellStyle name="표준 10" xfId="44"/>
    <cellStyle name="표준 11" xfId="49"/>
    <cellStyle name="표준 2" xfId="45"/>
    <cellStyle name="표준 2 2" xfId="46"/>
    <cellStyle name="표준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9"/>
  <sheetViews>
    <sheetView workbookViewId="0">
      <pane xSplit="2" ySplit="4" topLeftCell="N5" activePane="bottomRight" state="frozen"/>
      <selection pane="topRight" activeCell="C1" sqref="C1"/>
      <selection pane="bottomLeft" activeCell="A5" sqref="A5"/>
      <selection pane="bottomRight" sqref="A1:AD29"/>
    </sheetView>
  </sheetViews>
  <sheetFormatPr defaultColWidth="9" defaultRowHeight="16.5" customHeight="1" x14ac:dyDescent="0.3"/>
  <cols>
    <col min="1" max="1" width="8.625" bestFit="1" customWidth="1"/>
    <col min="2" max="2" width="28.125" style="1" bestFit="1" customWidth="1"/>
    <col min="3" max="3" width="19.5" style="1" bestFit="1" customWidth="1"/>
    <col min="4" max="4" width="16.375" style="1" bestFit="1" customWidth="1"/>
    <col min="5" max="5" width="21.875" style="1" bestFit="1" customWidth="1"/>
    <col min="6" max="6" width="13.5" style="1" bestFit="1" customWidth="1"/>
    <col min="7" max="7" width="16.875" style="1" customWidth="1"/>
    <col min="8" max="8" width="17.875" style="1" bestFit="1" customWidth="1"/>
    <col min="9" max="9" width="13.375" style="1" bestFit="1" customWidth="1"/>
    <col min="10" max="10" width="12.625" style="1" bestFit="1" customWidth="1"/>
    <col min="11" max="11" width="17.375" style="1" bestFit="1" customWidth="1"/>
    <col min="12" max="13" width="21" style="1" bestFit="1" customWidth="1"/>
    <col min="14" max="14" width="8.5" style="1" bestFit="1" customWidth="1"/>
    <col min="15" max="15" width="20.5" style="1" customWidth="1"/>
    <col min="16" max="16" width="8.5" style="1" bestFit="1" customWidth="1"/>
    <col min="17" max="17" width="23.5" style="1" customWidth="1"/>
    <col min="18" max="18" width="20.375" style="1" customWidth="1"/>
    <col min="19" max="19" width="20.5" style="1" bestFit="1" customWidth="1"/>
    <col min="20" max="20" width="19" style="1" bestFit="1" customWidth="1"/>
    <col min="21" max="21" width="16.75" style="1" bestFit="1" customWidth="1"/>
    <col min="22" max="22" width="12.25" style="1" bestFit="1" customWidth="1"/>
    <col min="23" max="25" width="15.125" style="1" bestFit="1" customWidth="1"/>
    <col min="26" max="26" width="20.125" style="1" bestFit="1" customWidth="1"/>
    <col min="27" max="27" width="16.75" style="1" bestFit="1" customWidth="1"/>
    <col min="28" max="28" width="15.125" style="1" bestFit="1" customWidth="1"/>
  </cols>
  <sheetData>
    <row r="1" spans="1:30" ht="16.5" customHeight="1" x14ac:dyDescent="0.3">
      <c r="A1" s="50" t="s">
        <v>151</v>
      </c>
      <c r="B1" s="2" t="s">
        <v>151</v>
      </c>
      <c r="C1" s="3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16.5" customHeight="1" x14ac:dyDescent="0.3">
      <c r="A2" s="5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/>
      <c r="G2" s="4" t="s">
        <v>154</v>
      </c>
      <c r="H2" s="4" t="s">
        <v>155</v>
      </c>
      <c r="I2" s="4" t="s">
        <v>5</v>
      </c>
      <c r="J2" s="4" t="s">
        <v>248</v>
      </c>
      <c r="K2" s="4" t="s">
        <v>6</v>
      </c>
      <c r="L2" s="4" t="s">
        <v>7</v>
      </c>
      <c r="M2" s="4"/>
      <c r="N2" s="4"/>
      <c r="O2" s="4"/>
      <c r="P2" s="4" t="s">
        <v>8</v>
      </c>
      <c r="Q2" s="4" t="s">
        <v>9</v>
      </c>
      <c r="R2" s="4" t="s">
        <v>10</v>
      </c>
      <c r="S2" s="4" t="s">
        <v>11</v>
      </c>
      <c r="T2" s="54" t="s">
        <v>12</v>
      </c>
      <c r="U2" s="54" t="s">
        <v>13</v>
      </c>
      <c r="V2" s="54" t="s">
        <v>14</v>
      </c>
      <c r="W2" s="54" t="s">
        <v>15</v>
      </c>
      <c r="X2" s="54" t="s">
        <v>16</v>
      </c>
      <c r="Y2" s="54" t="s">
        <v>17</v>
      </c>
      <c r="Z2" s="54" t="s">
        <v>18</v>
      </c>
      <c r="AA2" s="54" t="s">
        <v>19</v>
      </c>
      <c r="AB2" s="54" t="s">
        <v>20</v>
      </c>
      <c r="AC2" s="54" t="s">
        <v>21</v>
      </c>
      <c r="AD2" s="54" t="s">
        <v>22</v>
      </c>
    </row>
    <row r="3" spans="1:30" ht="16.5" customHeight="1" x14ac:dyDescent="0.3">
      <c r="A3" s="55" t="s">
        <v>23</v>
      </c>
      <c r="B3" s="55" t="s">
        <v>23</v>
      </c>
      <c r="C3" s="55" t="s">
        <v>24</v>
      </c>
      <c r="D3" s="55" t="s">
        <v>249</v>
      </c>
      <c r="E3" s="55" t="s">
        <v>249</v>
      </c>
      <c r="F3" s="55" t="s">
        <v>249</v>
      </c>
      <c r="G3" s="55" t="s">
        <v>24</v>
      </c>
      <c r="H3" s="55" t="s">
        <v>24</v>
      </c>
      <c r="I3" s="55" t="s">
        <v>24</v>
      </c>
      <c r="J3" s="55" t="s">
        <v>24</v>
      </c>
      <c r="K3" s="55" t="s">
        <v>24</v>
      </c>
      <c r="L3" s="55" t="s">
        <v>24</v>
      </c>
      <c r="M3" s="55" t="s">
        <v>249</v>
      </c>
      <c r="N3" s="55" t="s">
        <v>249</v>
      </c>
      <c r="O3" s="55" t="s">
        <v>249</v>
      </c>
      <c r="P3" s="55" t="s">
        <v>24</v>
      </c>
      <c r="Q3" s="55" t="s">
        <v>24</v>
      </c>
      <c r="R3" s="55" t="s">
        <v>24</v>
      </c>
      <c r="S3" s="55" t="s">
        <v>24</v>
      </c>
      <c r="T3" s="55" t="s">
        <v>24</v>
      </c>
      <c r="U3" s="55" t="s">
        <v>24</v>
      </c>
      <c r="V3" s="55" t="s">
        <v>24</v>
      </c>
      <c r="W3" s="55" t="s">
        <v>24</v>
      </c>
      <c r="X3" s="55" t="s">
        <v>24</v>
      </c>
      <c r="Y3" s="55" t="s">
        <v>24</v>
      </c>
      <c r="Z3" s="55" t="s">
        <v>24</v>
      </c>
      <c r="AA3" s="55" t="s">
        <v>24</v>
      </c>
      <c r="AB3" s="55" t="s">
        <v>24</v>
      </c>
      <c r="AC3" s="55" t="s">
        <v>24</v>
      </c>
      <c r="AD3" s="55" t="s">
        <v>24</v>
      </c>
    </row>
    <row r="4" spans="1:30" ht="40.5" customHeight="1" x14ac:dyDescent="0.3">
      <c r="A4" s="56" t="s">
        <v>25</v>
      </c>
      <c r="B4" s="56" t="s">
        <v>26</v>
      </c>
      <c r="C4" s="56" t="s">
        <v>27</v>
      </c>
      <c r="D4" s="56" t="s">
        <v>27</v>
      </c>
      <c r="E4" s="56" t="s">
        <v>27</v>
      </c>
      <c r="F4" s="56" t="s">
        <v>27</v>
      </c>
      <c r="G4" s="56" t="s">
        <v>27</v>
      </c>
      <c r="H4" s="56" t="s">
        <v>238</v>
      </c>
      <c r="I4" s="77" t="s">
        <v>239</v>
      </c>
      <c r="J4" s="77" t="s">
        <v>28</v>
      </c>
      <c r="K4" s="77" t="s">
        <v>27</v>
      </c>
      <c r="L4" s="77" t="s">
        <v>239</v>
      </c>
      <c r="M4" s="56" t="s">
        <v>27</v>
      </c>
      <c r="N4" s="56" t="s">
        <v>27</v>
      </c>
      <c r="O4" s="56" t="s">
        <v>27</v>
      </c>
      <c r="P4" s="56" t="s">
        <v>28</v>
      </c>
      <c r="Q4" s="56" t="s">
        <v>28</v>
      </c>
      <c r="R4" s="56" t="s">
        <v>28</v>
      </c>
      <c r="S4" s="56" t="s">
        <v>28</v>
      </c>
      <c r="T4" s="56" t="s">
        <v>28</v>
      </c>
      <c r="U4" s="56" t="s">
        <v>28</v>
      </c>
      <c r="V4" s="56" t="s">
        <v>28</v>
      </c>
      <c r="W4" s="56" t="s">
        <v>28</v>
      </c>
      <c r="X4" s="56" t="s">
        <v>28</v>
      </c>
      <c r="Y4" s="56" t="s">
        <v>28</v>
      </c>
      <c r="Z4" s="56" t="s">
        <v>28</v>
      </c>
      <c r="AA4" s="56" t="s">
        <v>28</v>
      </c>
      <c r="AB4" s="56" t="s">
        <v>28</v>
      </c>
      <c r="AC4" s="56" t="s">
        <v>28</v>
      </c>
      <c r="AD4" s="56" t="s">
        <v>28</v>
      </c>
    </row>
    <row r="5" spans="1:30" ht="16.5" customHeight="1" x14ac:dyDescent="0.3">
      <c r="A5" s="57" t="s">
        <v>29</v>
      </c>
      <c r="B5" s="57" t="s">
        <v>30</v>
      </c>
      <c r="C5" s="58" t="s">
        <v>31</v>
      </c>
      <c r="D5" s="57" t="s">
        <v>32</v>
      </c>
      <c r="E5" s="57" t="s">
        <v>156</v>
      </c>
      <c r="F5" s="57" t="s">
        <v>250</v>
      </c>
      <c r="G5" s="57" t="s">
        <v>157</v>
      </c>
      <c r="H5" s="61" t="s">
        <v>158</v>
      </c>
      <c r="I5" s="58" t="s">
        <v>159</v>
      </c>
      <c r="J5" s="58" t="s">
        <v>251</v>
      </c>
      <c r="K5" s="58" t="s">
        <v>33</v>
      </c>
      <c r="L5" s="58" t="s">
        <v>34</v>
      </c>
      <c r="M5" s="61" t="s">
        <v>35</v>
      </c>
      <c r="N5" s="61" t="s">
        <v>36</v>
      </c>
      <c r="O5" s="61" t="s">
        <v>37</v>
      </c>
      <c r="P5" s="59" t="s">
        <v>38</v>
      </c>
      <c r="Q5" s="59" t="s">
        <v>39</v>
      </c>
      <c r="R5" s="59" t="s">
        <v>40</v>
      </c>
      <c r="S5" s="59" t="s">
        <v>41</v>
      </c>
      <c r="T5" s="60" t="s">
        <v>42</v>
      </c>
      <c r="U5" s="59" t="s">
        <v>43</v>
      </c>
      <c r="V5" s="58" t="s">
        <v>44</v>
      </c>
      <c r="W5" s="61" t="s">
        <v>45</v>
      </c>
      <c r="X5" s="60" t="s">
        <v>46</v>
      </c>
      <c r="Y5" s="61" t="s">
        <v>47</v>
      </c>
      <c r="Z5" s="61" t="s">
        <v>48</v>
      </c>
      <c r="AA5" s="61" t="s">
        <v>49</v>
      </c>
      <c r="AB5" s="59" t="s">
        <v>50</v>
      </c>
      <c r="AC5" s="59" t="s">
        <v>51</v>
      </c>
      <c r="AD5" s="59" t="s">
        <v>52</v>
      </c>
    </row>
    <row r="6" spans="1:30" s="5" customFormat="1" ht="16.5" customHeight="1" x14ac:dyDescent="0.3">
      <c r="A6" s="62" t="b">
        <v>1</v>
      </c>
      <c r="B6" s="63" t="s">
        <v>252</v>
      </c>
      <c r="C6" s="64">
        <v>100701001</v>
      </c>
      <c r="D6" s="78">
        <v>54001</v>
      </c>
      <c r="E6" s="78">
        <v>55001</v>
      </c>
      <c r="F6" s="79">
        <v>530905001</v>
      </c>
      <c r="G6" s="64">
        <v>155101001</v>
      </c>
      <c r="H6" s="63" t="s">
        <v>253</v>
      </c>
      <c r="I6" s="62" t="s">
        <v>24</v>
      </c>
      <c r="J6" s="62">
        <v>15</v>
      </c>
      <c r="K6" s="62">
        <v>10</v>
      </c>
      <c r="L6" s="62" t="s">
        <v>149</v>
      </c>
      <c r="M6" s="62" t="s">
        <v>160</v>
      </c>
      <c r="N6" s="62">
        <v>530905001</v>
      </c>
      <c r="O6" s="62" t="s">
        <v>160</v>
      </c>
      <c r="P6" s="62">
        <v>1499</v>
      </c>
      <c r="Q6" s="62">
        <v>41</v>
      </c>
      <c r="R6" s="62">
        <v>0</v>
      </c>
      <c r="S6" s="62">
        <v>51</v>
      </c>
      <c r="T6" s="62">
        <v>1</v>
      </c>
      <c r="U6" s="66">
        <v>10.119999999999999</v>
      </c>
      <c r="V6" s="66">
        <v>1.802</v>
      </c>
      <c r="W6" s="66">
        <v>3.9760000000000004E-2</v>
      </c>
      <c r="X6" s="66">
        <v>1.0129999999999999</v>
      </c>
      <c r="Y6" s="66">
        <v>304</v>
      </c>
      <c r="Z6" s="66">
        <v>2.0750000000000002</v>
      </c>
      <c r="AA6" s="66">
        <v>100.87</v>
      </c>
      <c r="AB6" s="62">
        <v>3</v>
      </c>
      <c r="AC6" s="62">
        <v>7</v>
      </c>
      <c r="AD6" s="62">
        <v>0.1</v>
      </c>
    </row>
    <row r="7" spans="1:30" s="5" customFormat="1" ht="16.5" customHeight="1" x14ac:dyDescent="0.3">
      <c r="A7" s="62" t="b">
        <v>1</v>
      </c>
      <c r="B7" s="63" t="s">
        <v>254</v>
      </c>
      <c r="C7" s="67">
        <f t="shared" ref="C7:D22" si="0">C6+1</f>
        <v>100701002</v>
      </c>
      <c r="D7" s="80">
        <f t="shared" si="0"/>
        <v>54002</v>
      </c>
      <c r="E7" s="80">
        <f>E22+1</f>
        <v>55004</v>
      </c>
      <c r="F7" s="79">
        <v>530905002</v>
      </c>
      <c r="G7" s="67">
        <v>155101002</v>
      </c>
      <c r="H7" s="63" t="s">
        <v>181</v>
      </c>
      <c r="I7" s="62" t="s">
        <v>24</v>
      </c>
      <c r="J7" s="62">
        <v>15</v>
      </c>
      <c r="K7" s="62">
        <v>10</v>
      </c>
      <c r="L7" s="62" t="s">
        <v>149</v>
      </c>
      <c r="M7" s="62" t="s">
        <v>160</v>
      </c>
      <c r="N7" s="62">
        <v>530905002</v>
      </c>
      <c r="O7" s="62" t="s">
        <v>160</v>
      </c>
      <c r="P7" s="62">
        <f>INT(P$6*0.9)</f>
        <v>1349</v>
      </c>
      <c r="Q7" s="62">
        <f>INT(Q$6*0.9)</f>
        <v>36</v>
      </c>
      <c r="R7" s="62">
        <f>R6</f>
        <v>0</v>
      </c>
      <c r="S7" s="62">
        <f>INT(S$6*0.95)</f>
        <v>48</v>
      </c>
      <c r="T7" s="62">
        <f>T6</f>
        <v>1</v>
      </c>
      <c r="U7" s="66">
        <f>U$6*0.95</f>
        <v>9.613999999999999</v>
      </c>
      <c r="V7" s="66">
        <v>1.8180000000000001</v>
      </c>
      <c r="W7" s="66">
        <f>W6</f>
        <v>3.9760000000000004E-2</v>
      </c>
      <c r="X7" s="66">
        <f>X$6*0.95</f>
        <v>0.96234999999999982</v>
      </c>
      <c r="Y7" s="66">
        <f>INT(Y$6*1.05)</f>
        <v>319</v>
      </c>
      <c r="Z7" s="66">
        <f>Z$6*0.95</f>
        <v>1.9712500000000002</v>
      </c>
      <c r="AA7" s="66">
        <f>AA$6*0.95</f>
        <v>95.826499999999996</v>
      </c>
      <c r="AB7" s="62">
        <f>AB6</f>
        <v>3</v>
      </c>
      <c r="AC7" s="62">
        <v>6.8</v>
      </c>
      <c r="AD7" s="62">
        <f>AD6</f>
        <v>0.1</v>
      </c>
    </row>
    <row r="8" spans="1:30" s="5" customFormat="1" ht="16.5" customHeight="1" x14ac:dyDescent="0.3">
      <c r="A8" s="62" t="b">
        <v>1</v>
      </c>
      <c r="B8" s="63" t="s">
        <v>255</v>
      </c>
      <c r="C8" s="67">
        <f t="shared" si="0"/>
        <v>100701003</v>
      </c>
      <c r="D8" s="80">
        <f t="shared" si="0"/>
        <v>54003</v>
      </c>
      <c r="E8" s="80">
        <f>E23+1</f>
        <v>55007</v>
      </c>
      <c r="F8" s="79">
        <v>530905003</v>
      </c>
      <c r="G8" s="67">
        <v>155101003</v>
      </c>
      <c r="H8" s="63" t="s">
        <v>182</v>
      </c>
      <c r="I8" s="62" t="s">
        <v>24</v>
      </c>
      <c r="J8" s="62">
        <v>15</v>
      </c>
      <c r="K8" s="62">
        <v>10</v>
      </c>
      <c r="L8" s="62" t="s">
        <v>149</v>
      </c>
      <c r="M8" s="62" t="s">
        <v>160</v>
      </c>
      <c r="N8" s="62">
        <v>530905003</v>
      </c>
      <c r="O8" s="62" t="s">
        <v>160</v>
      </c>
      <c r="P8" s="62">
        <f>INT(P$6*0.95)</f>
        <v>1424</v>
      </c>
      <c r="Q8" s="62">
        <f>INT(Q$6*1.03)</f>
        <v>42</v>
      </c>
      <c r="R8" s="62">
        <f>R7</f>
        <v>0</v>
      </c>
      <c r="S8" s="62">
        <f>INT(S$6*1.05)</f>
        <v>53</v>
      </c>
      <c r="T8" s="62">
        <f>T7</f>
        <v>1</v>
      </c>
      <c r="U8" s="66">
        <f>U$6*1.021</f>
        <v>10.332519999999999</v>
      </c>
      <c r="V8" s="66">
        <v>1.784</v>
      </c>
      <c r="W8" s="66">
        <f>W7</f>
        <v>3.9760000000000004E-2</v>
      </c>
      <c r="X8" s="66">
        <f>X$6*1.021</f>
        <v>1.0342729999999998</v>
      </c>
      <c r="Y8" s="66">
        <f>INT(Y$6*0.95)</f>
        <v>288</v>
      </c>
      <c r="Z8" s="66">
        <f>Z$6*1.021</f>
        <v>2.1185749999999999</v>
      </c>
      <c r="AA8" s="66">
        <f>AA$6*1.021</f>
        <v>102.98827</v>
      </c>
      <c r="AB8" s="62">
        <f>AB7</f>
        <v>3</v>
      </c>
      <c r="AC8" s="62">
        <v>6.9</v>
      </c>
      <c r="AD8" s="62">
        <f>AD7</f>
        <v>0.1</v>
      </c>
    </row>
    <row r="9" spans="1:30" s="5" customFormat="1" ht="16.5" customHeight="1" x14ac:dyDescent="0.3">
      <c r="A9" s="62" t="b">
        <v>1</v>
      </c>
      <c r="B9" s="63" t="s">
        <v>256</v>
      </c>
      <c r="C9" s="67">
        <f t="shared" si="0"/>
        <v>100701004</v>
      </c>
      <c r="D9" s="80">
        <f t="shared" si="0"/>
        <v>54004</v>
      </c>
      <c r="E9" s="80">
        <f>E6+1</f>
        <v>55002</v>
      </c>
      <c r="F9" s="79">
        <v>530905004</v>
      </c>
      <c r="G9" s="67">
        <v>155101004</v>
      </c>
      <c r="H9" s="63" t="s">
        <v>183</v>
      </c>
      <c r="I9" s="62" t="s">
        <v>24</v>
      </c>
      <c r="J9" s="62">
        <v>15</v>
      </c>
      <c r="K9" s="62">
        <v>10</v>
      </c>
      <c r="L9" s="62" t="s">
        <v>149</v>
      </c>
      <c r="M9" s="62" t="s">
        <v>160</v>
      </c>
      <c r="N9" s="62">
        <v>530905004</v>
      </c>
      <c r="O9" s="62" t="s">
        <v>160</v>
      </c>
      <c r="P9" s="62">
        <f>INT(P$6*1.03)</f>
        <v>1543</v>
      </c>
      <c r="Q9" s="62">
        <f>INT(Q$6*1.1)</f>
        <v>45</v>
      </c>
      <c r="R9" s="62">
        <f>R8</f>
        <v>0</v>
      </c>
      <c r="S9" s="62">
        <f>INT(S$6*0.9)</f>
        <v>45</v>
      </c>
      <c r="T9" s="62">
        <f>T8</f>
        <v>1</v>
      </c>
      <c r="U9" s="66">
        <f>U$6*0.989</f>
        <v>10.008679999999998</v>
      </c>
      <c r="V9" s="66">
        <v>1.8129999999999999</v>
      </c>
      <c r="W9" s="66">
        <f>W8</f>
        <v>3.9760000000000004E-2</v>
      </c>
      <c r="X9" s="66">
        <f>X$6*0.989</f>
        <v>1.001857</v>
      </c>
      <c r="Y9" s="66">
        <f>INT(Y$6*0.9)</f>
        <v>273</v>
      </c>
      <c r="Z9" s="66">
        <f>Z$6*0.989</f>
        <v>2.0521750000000001</v>
      </c>
      <c r="AA9" s="66">
        <f>AA$6*0.989</f>
        <v>99.760429999999999</v>
      </c>
      <c r="AB9" s="62">
        <f>AB8</f>
        <v>3</v>
      </c>
      <c r="AC9" s="62">
        <v>6.7</v>
      </c>
      <c r="AD9" s="62">
        <f>AD8</f>
        <v>0.1</v>
      </c>
    </row>
    <row r="10" spans="1:30" s="5" customFormat="1" ht="16.5" customHeight="1" x14ac:dyDescent="0.3">
      <c r="A10" s="62" t="b">
        <v>1</v>
      </c>
      <c r="B10" s="63" t="s">
        <v>257</v>
      </c>
      <c r="C10" s="67">
        <f t="shared" si="0"/>
        <v>100701005</v>
      </c>
      <c r="D10" s="80">
        <f t="shared" si="0"/>
        <v>54005</v>
      </c>
      <c r="E10" s="80">
        <f>E7+1</f>
        <v>55005</v>
      </c>
      <c r="F10" s="79">
        <v>530905005</v>
      </c>
      <c r="G10" s="67">
        <v>155101005</v>
      </c>
      <c r="H10" s="63" t="s">
        <v>184</v>
      </c>
      <c r="I10" s="62" t="s">
        <v>24</v>
      </c>
      <c r="J10" s="62">
        <v>15</v>
      </c>
      <c r="K10" s="62">
        <v>10</v>
      </c>
      <c r="L10" s="62" t="s">
        <v>149</v>
      </c>
      <c r="M10" s="62" t="s">
        <v>160</v>
      </c>
      <c r="N10" s="62">
        <v>530905005</v>
      </c>
      <c r="O10" s="62" t="s">
        <v>160</v>
      </c>
      <c r="P10" s="62">
        <f>INT(P$6*1.1)</f>
        <v>1648</v>
      </c>
      <c r="Q10" s="62">
        <f>INT(Q$6*0.95)</f>
        <v>38</v>
      </c>
      <c r="R10" s="62">
        <f>R9</f>
        <v>0</v>
      </c>
      <c r="S10" s="62">
        <f>INT(S$6*1.03)</f>
        <v>52</v>
      </c>
      <c r="T10" s="62">
        <f>T9</f>
        <v>1</v>
      </c>
      <c r="U10" s="66">
        <f>U$6*1.004</f>
        <v>10.16048</v>
      </c>
      <c r="V10" s="66">
        <v>1.792</v>
      </c>
      <c r="W10" s="66">
        <f>W9</f>
        <v>3.9760000000000004E-2</v>
      </c>
      <c r="X10" s="66">
        <f>X$6*1.004</f>
        <v>1.0170519999999998</v>
      </c>
      <c r="Y10" s="66">
        <f>INT(Y$6*1.1)</f>
        <v>334</v>
      </c>
      <c r="Z10" s="66">
        <f>Z$6*1.004</f>
        <v>2.0833000000000004</v>
      </c>
      <c r="AA10" s="66">
        <f>AA$6*1.004</f>
        <v>101.27348000000001</v>
      </c>
      <c r="AB10" s="62">
        <f>AB9</f>
        <v>3</v>
      </c>
      <c r="AC10" s="62">
        <v>6.8</v>
      </c>
      <c r="AD10" s="62">
        <f>AD9</f>
        <v>0.1</v>
      </c>
    </row>
    <row r="11" spans="1:30" s="5" customFormat="1" ht="16.5" customHeight="1" x14ac:dyDescent="0.3">
      <c r="A11" s="62" t="b">
        <v>1</v>
      </c>
      <c r="B11" s="63" t="s">
        <v>258</v>
      </c>
      <c r="C11" s="67">
        <f t="shared" si="0"/>
        <v>100701006</v>
      </c>
      <c r="D11" s="80">
        <f t="shared" si="0"/>
        <v>54006</v>
      </c>
      <c r="E11" s="80">
        <f>E8+1</f>
        <v>55008</v>
      </c>
      <c r="F11" s="79">
        <v>530905006</v>
      </c>
      <c r="G11" s="67">
        <v>155101006</v>
      </c>
      <c r="H11" s="63" t="s">
        <v>185</v>
      </c>
      <c r="I11" s="62" t="s">
        <v>24</v>
      </c>
      <c r="J11" s="62">
        <v>15</v>
      </c>
      <c r="K11" s="62">
        <v>10</v>
      </c>
      <c r="L11" s="62" t="s">
        <v>149</v>
      </c>
      <c r="M11" s="62" t="s">
        <v>160</v>
      </c>
      <c r="N11" s="62">
        <v>530905006</v>
      </c>
      <c r="O11" s="62" t="s">
        <v>160</v>
      </c>
      <c r="P11" s="62">
        <f>INT(P$6*1.05)</f>
        <v>1573</v>
      </c>
      <c r="Q11" s="62">
        <f>INT(Q$6*1.05)</f>
        <v>43</v>
      </c>
      <c r="R11" s="62">
        <f>R10</f>
        <v>0</v>
      </c>
      <c r="S11" s="62">
        <f>INT(S$6*1.1)</f>
        <v>56</v>
      </c>
      <c r="T11" s="62">
        <f>T10</f>
        <v>1</v>
      </c>
      <c r="U11" s="66">
        <f>U$6*0.99</f>
        <v>10.018799999999999</v>
      </c>
      <c r="V11" s="66">
        <v>1.7949999999999999</v>
      </c>
      <c r="W11" s="66">
        <f>W10</f>
        <v>3.9760000000000004E-2</v>
      </c>
      <c r="X11" s="66">
        <f>X$6*0.99</f>
        <v>1.0028699999999999</v>
      </c>
      <c r="Y11" s="66">
        <f>INT(Y$6*1.03)</f>
        <v>313</v>
      </c>
      <c r="Z11" s="66">
        <f>Z$6*0.99</f>
        <v>2.0542500000000001</v>
      </c>
      <c r="AA11" s="66">
        <f>AA$6*0.99</f>
        <v>99.8613</v>
      </c>
      <c r="AB11" s="62">
        <f>AB10</f>
        <v>3</v>
      </c>
      <c r="AC11" s="62">
        <v>6.8</v>
      </c>
      <c r="AD11" s="62">
        <f>AD10</f>
        <v>0.1</v>
      </c>
    </row>
    <row r="12" spans="1:30" s="5" customFormat="1" ht="16.5" customHeight="1" x14ac:dyDescent="0.3">
      <c r="A12" s="68" t="b">
        <v>1</v>
      </c>
      <c r="B12" s="69" t="s">
        <v>259</v>
      </c>
      <c r="C12" s="64">
        <f>C6+1000</f>
        <v>100702001</v>
      </c>
      <c r="D12" s="68">
        <f t="shared" si="0"/>
        <v>54007</v>
      </c>
      <c r="E12" s="68">
        <f>E24+1</f>
        <v>55010</v>
      </c>
      <c r="F12" s="79">
        <v>530905007</v>
      </c>
      <c r="G12" s="64" t="s">
        <v>152</v>
      </c>
      <c r="H12" s="69" t="s">
        <v>186</v>
      </c>
      <c r="I12" s="68" t="s">
        <v>161</v>
      </c>
      <c r="J12" s="68">
        <v>15</v>
      </c>
      <c r="K12" s="68">
        <v>30</v>
      </c>
      <c r="L12" s="68" t="s">
        <v>162</v>
      </c>
      <c r="M12" s="68" t="s">
        <v>160</v>
      </c>
      <c r="N12" s="68">
        <v>530905007</v>
      </c>
      <c r="O12" s="68" t="s">
        <v>160</v>
      </c>
      <c r="P12" s="68">
        <v>2649</v>
      </c>
      <c r="Q12" s="68">
        <v>62</v>
      </c>
      <c r="R12" s="68">
        <v>0</v>
      </c>
      <c r="S12" s="68">
        <v>131</v>
      </c>
      <c r="T12" s="68">
        <v>1</v>
      </c>
      <c r="U12" s="71">
        <v>11.85</v>
      </c>
      <c r="V12" s="71">
        <v>1.8340000000000001</v>
      </c>
      <c r="W12" s="71">
        <v>6.6400000000000015E-2</v>
      </c>
      <c r="X12" s="71">
        <v>2.0790000000000002</v>
      </c>
      <c r="Y12" s="71">
        <v>549</v>
      </c>
      <c r="Z12" s="71">
        <v>2.4790000000000001</v>
      </c>
      <c r="AA12" s="71">
        <v>101.5</v>
      </c>
      <c r="AB12" s="68">
        <v>5</v>
      </c>
      <c r="AC12" s="68">
        <v>6.4</v>
      </c>
      <c r="AD12" s="68">
        <v>0.2</v>
      </c>
    </row>
    <row r="13" spans="1:30" s="5" customFormat="1" ht="16.5" customHeight="1" x14ac:dyDescent="0.3">
      <c r="A13" s="68" t="b">
        <v>1</v>
      </c>
      <c r="B13" s="69" t="s">
        <v>260</v>
      </c>
      <c r="C13" s="68">
        <f>C12+1</f>
        <v>100702002</v>
      </c>
      <c r="D13" s="68">
        <f t="shared" si="0"/>
        <v>54008</v>
      </c>
      <c r="E13" s="68">
        <f>E12+1</f>
        <v>55011</v>
      </c>
      <c r="F13" s="79">
        <v>530905008</v>
      </c>
      <c r="G13" s="68" t="s">
        <v>133</v>
      </c>
      <c r="H13" s="69" t="s">
        <v>187</v>
      </c>
      <c r="I13" s="68" t="s">
        <v>161</v>
      </c>
      <c r="J13" s="68">
        <v>15</v>
      </c>
      <c r="K13" s="68">
        <v>30</v>
      </c>
      <c r="L13" s="68" t="s">
        <v>162</v>
      </c>
      <c r="M13" s="68" t="s">
        <v>160</v>
      </c>
      <c r="N13" s="68">
        <v>530905008</v>
      </c>
      <c r="O13" s="68" t="s">
        <v>160</v>
      </c>
      <c r="P13" s="68">
        <f>INT(P$12*1.1)</f>
        <v>2913</v>
      </c>
      <c r="Q13" s="68">
        <f>INT(Q$12*1.1)</f>
        <v>68</v>
      </c>
      <c r="R13" s="68">
        <f>R12</f>
        <v>0</v>
      </c>
      <c r="S13" s="68">
        <f>INT(S$12*0.97)</f>
        <v>127</v>
      </c>
      <c r="T13" s="68">
        <f>T12</f>
        <v>1</v>
      </c>
      <c r="U13" s="71">
        <f>U$12*0.95</f>
        <v>11.257499999999999</v>
      </c>
      <c r="V13" s="71">
        <v>1.8420000000000001</v>
      </c>
      <c r="W13" s="71">
        <f>W12</f>
        <v>6.6400000000000015E-2</v>
      </c>
      <c r="X13" s="71">
        <f>X$12*0.95</f>
        <v>1.97505</v>
      </c>
      <c r="Y13" s="71">
        <f>INT(Y$12*1.1)</f>
        <v>603</v>
      </c>
      <c r="Z13" s="71">
        <f>Z$12*0.95</f>
        <v>2.3550499999999999</v>
      </c>
      <c r="AA13" s="71">
        <f>AA$12*0.95</f>
        <v>96.424999999999997</v>
      </c>
      <c r="AB13" s="68">
        <f>AB12</f>
        <v>5</v>
      </c>
      <c r="AC13" s="68">
        <v>6.6</v>
      </c>
      <c r="AD13" s="68">
        <f>AD12</f>
        <v>0.2</v>
      </c>
    </row>
    <row r="14" spans="1:30" s="5" customFormat="1" ht="16.5" customHeight="1" x14ac:dyDescent="0.3">
      <c r="A14" s="68" t="b">
        <v>1</v>
      </c>
      <c r="B14" s="69" t="s">
        <v>261</v>
      </c>
      <c r="C14" s="68">
        <f>C13+1</f>
        <v>100702003</v>
      </c>
      <c r="D14" s="68">
        <f t="shared" si="0"/>
        <v>54009</v>
      </c>
      <c r="E14" s="68">
        <f>E25+1</f>
        <v>55013</v>
      </c>
      <c r="F14" s="79">
        <v>530905009</v>
      </c>
      <c r="G14" s="68" t="s">
        <v>134</v>
      </c>
      <c r="H14" s="69" t="s">
        <v>188</v>
      </c>
      <c r="I14" s="68" t="s">
        <v>161</v>
      </c>
      <c r="J14" s="68">
        <v>15</v>
      </c>
      <c r="K14" s="68">
        <v>30</v>
      </c>
      <c r="L14" s="68" t="s">
        <v>162</v>
      </c>
      <c r="M14" s="68" t="s">
        <v>160</v>
      </c>
      <c r="N14" s="68">
        <v>530905009</v>
      </c>
      <c r="O14" s="68" t="s">
        <v>160</v>
      </c>
      <c r="P14" s="68">
        <f>INT(P$12*1.17)</f>
        <v>3099</v>
      </c>
      <c r="Q14" s="68">
        <f>INT(Q$12*1.01)</f>
        <v>62</v>
      </c>
      <c r="R14" s="68">
        <f>R13</f>
        <v>0</v>
      </c>
      <c r="S14" s="68">
        <f>INT(S$12*1.17)</f>
        <v>153</v>
      </c>
      <c r="T14" s="68">
        <f>T13</f>
        <v>1</v>
      </c>
      <c r="U14" s="71">
        <f>U$12*0.99</f>
        <v>11.731499999999999</v>
      </c>
      <c r="V14" s="71">
        <v>1.825</v>
      </c>
      <c r="W14" s="71">
        <f>W13</f>
        <v>6.6400000000000015E-2</v>
      </c>
      <c r="X14" s="71">
        <f>X$12*0.99</f>
        <v>2.0582100000000003</v>
      </c>
      <c r="Y14" s="71">
        <f>INT(Y$12*1.01)</f>
        <v>554</v>
      </c>
      <c r="Z14" s="71">
        <f>Z$12*0.99</f>
        <v>2.4542100000000002</v>
      </c>
      <c r="AA14" s="71">
        <f>AA$12*0.99</f>
        <v>100.485</v>
      </c>
      <c r="AB14" s="68">
        <f>AB13</f>
        <v>5</v>
      </c>
      <c r="AC14" s="68">
        <v>6.2</v>
      </c>
      <c r="AD14" s="68">
        <f>AD13</f>
        <v>0.2</v>
      </c>
    </row>
    <row r="15" spans="1:30" s="5" customFormat="1" ht="16.5" customHeight="1" x14ac:dyDescent="0.3">
      <c r="A15" s="68" t="b">
        <v>1</v>
      </c>
      <c r="B15" s="69" t="s">
        <v>262</v>
      </c>
      <c r="C15" s="68">
        <f>C14+1</f>
        <v>100702004</v>
      </c>
      <c r="D15" s="68">
        <f t="shared" si="0"/>
        <v>54010</v>
      </c>
      <c r="E15" s="68">
        <f>E14+1</f>
        <v>55014</v>
      </c>
      <c r="F15" s="79">
        <v>530905010</v>
      </c>
      <c r="G15" s="68" t="s">
        <v>135</v>
      </c>
      <c r="H15" s="69" t="s">
        <v>189</v>
      </c>
      <c r="I15" s="68" t="s">
        <v>161</v>
      </c>
      <c r="J15" s="68">
        <v>15</v>
      </c>
      <c r="K15" s="68">
        <v>30</v>
      </c>
      <c r="L15" s="68" t="s">
        <v>162</v>
      </c>
      <c r="M15" s="68" t="s">
        <v>160</v>
      </c>
      <c r="N15" s="68">
        <v>530905010</v>
      </c>
      <c r="O15" s="68" t="s">
        <v>160</v>
      </c>
      <c r="P15" s="68">
        <f>INT(P$12*0.92)</f>
        <v>2437</v>
      </c>
      <c r="Q15" s="68">
        <f>INT(Q$12*0.92)</f>
        <v>57</v>
      </c>
      <c r="R15" s="68">
        <f>R14</f>
        <v>0</v>
      </c>
      <c r="S15" s="68">
        <f>INT(S$12*0.92)</f>
        <v>120</v>
      </c>
      <c r="T15" s="68">
        <f>T14</f>
        <v>1</v>
      </c>
      <c r="U15" s="71">
        <f>U$12*0.989</f>
        <v>11.71965</v>
      </c>
      <c r="V15" s="71">
        <v>1.837</v>
      </c>
      <c r="W15" s="71">
        <f>W14</f>
        <v>6.6400000000000015E-2</v>
      </c>
      <c r="X15" s="71">
        <f>X$12*0.989</f>
        <v>2.0561310000000002</v>
      </c>
      <c r="Y15" s="71">
        <f>INT(Y$12*0.92)</f>
        <v>505</v>
      </c>
      <c r="Z15" s="71">
        <f>Z$12*0.989</f>
        <v>2.4517310000000001</v>
      </c>
      <c r="AA15" s="71">
        <f>AA$12*0.989</f>
        <v>100.3835</v>
      </c>
      <c r="AB15" s="68">
        <f>AB14</f>
        <v>5</v>
      </c>
      <c r="AC15" s="68">
        <v>7</v>
      </c>
      <c r="AD15" s="68">
        <f>AD14</f>
        <v>0.2</v>
      </c>
    </row>
    <row r="16" spans="1:30" s="5" customFormat="1" ht="16.5" customHeight="1" x14ac:dyDescent="0.3">
      <c r="A16" s="68" t="b">
        <v>1</v>
      </c>
      <c r="B16" s="69" t="s">
        <v>263</v>
      </c>
      <c r="C16" s="68">
        <f>C15+1</f>
        <v>100702005</v>
      </c>
      <c r="D16" s="68">
        <f t="shared" si="0"/>
        <v>54011</v>
      </c>
      <c r="E16" s="68">
        <f>E26+1</f>
        <v>55016</v>
      </c>
      <c r="F16" s="79">
        <v>530905011</v>
      </c>
      <c r="G16" s="68" t="s">
        <v>136</v>
      </c>
      <c r="H16" s="69" t="s">
        <v>190</v>
      </c>
      <c r="I16" s="68" t="s">
        <v>161</v>
      </c>
      <c r="J16" s="68">
        <v>15</v>
      </c>
      <c r="K16" s="68">
        <v>30</v>
      </c>
      <c r="L16" s="68" t="s">
        <v>162</v>
      </c>
      <c r="M16" s="68" t="s">
        <v>160</v>
      </c>
      <c r="N16" s="68">
        <v>530905011</v>
      </c>
      <c r="O16" s="68" t="s">
        <v>160</v>
      </c>
      <c r="P16" s="68">
        <f>INT(P$12*0.97)</f>
        <v>2569</v>
      </c>
      <c r="Q16" s="68">
        <f>INT(Q$12*0.97)</f>
        <v>60</v>
      </c>
      <c r="R16" s="68">
        <f>R15</f>
        <v>0</v>
      </c>
      <c r="S16" s="68">
        <f>INT(S$12*1.1)</f>
        <v>144</v>
      </c>
      <c r="T16" s="68">
        <f>T15</f>
        <v>1</v>
      </c>
      <c r="U16" s="71">
        <f>U$12*1.004</f>
        <v>11.897399999999999</v>
      </c>
      <c r="V16" s="71">
        <v>1.8260000000000001</v>
      </c>
      <c r="W16" s="71">
        <f>W15</f>
        <v>6.6400000000000015E-2</v>
      </c>
      <c r="X16" s="71">
        <f>X$12*1.004</f>
        <v>2.0873160000000004</v>
      </c>
      <c r="Y16" s="71">
        <f>INT(Y$12*0.97)</f>
        <v>532</v>
      </c>
      <c r="Z16" s="71">
        <f>Z$12*1.004</f>
        <v>2.4889160000000001</v>
      </c>
      <c r="AA16" s="71">
        <f>AA$12*1.004</f>
        <v>101.90600000000001</v>
      </c>
      <c r="AB16" s="68">
        <f>AB15</f>
        <v>5</v>
      </c>
      <c r="AC16" s="68">
        <v>6.8</v>
      </c>
      <c r="AD16" s="68">
        <f>AD15</f>
        <v>0.2</v>
      </c>
    </row>
    <row r="17" spans="1:30" s="5" customFormat="1" ht="16.5" customHeight="1" x14ac:dyDescent="0.3">
      <c r="A17" s="68" t="b">
        <v>1</v>
      </c>
      <c r="B17" s="69" t="s">
        <v>264</v>
      </c>
      <c r="C17" s="68">
        <f>C16+1</f>
        <v>100702006</v>
      </c>
      <c r="D17" s="68">
        <f t="shared" si="0"/>
        <v>54012</v>
      </c>
      <c r="E17" s="68">
        <f>E16+1</f>
        <v>55017</v>
      </c>
      <c r="F17" s="79">
        <v>530905012</v>
      </c>
      <c r="G17" s="68" t="s">
        <v>137</v>
      </c>
      <c r="H17" s="69" t="s">
        <v>191</v>
      </c>
      <c r="I17" s="68" t="s">
        <v>161</v>
      </c>
      <c r="J17" s="68">
        <v>15</v>
      </c>
      <c r="K17" s="68">
        <v>30</v>
      </c>
      <c r="L17" s="68" t="s">
        <v>162</v>
      </c>
      <c r="M17" s="68" t="s">
        <v>160</v>
      </c>
      <c r="N17" s="68">
        <v>530905012</v>
      </c>
      <c r="O17" s="68" t="s">
        <v>160</v>
      </c>
      <c r="P17" s="68">
        <f>INT(P$12*1.01)</f>
        <v>2675</v>
      </c>
      <c r="Q17" s="68">
        <f>INT(Q$12*1.17)</f>
        <v>72</v>
      </c>
      <c r="R17" s="68">
        <f>R16</f>
        <v>0</v>
      </c>
      <c r="S17" s="68">
        <f>INT(S$12*1.01)</f>
        <v>132</v>
      </c>
      <c r="T17" s="68">
        <f>T16</f>
        <v>1</v>
      </c>
      <c r="U17" s="71">
        <f>U$12*0.967</f>
        <v>11.45895</v>
      </c>
      <c r="V17" s="71">
        <v>1.829</v>
      </c>
      <c r="W17" s="71">
        <f>W16</f>
        <v>6.6400000000000015E-2</v>
      </c>
      <c r="X17" s="71">
        <f>X$12*0.967</f>
        <v>2.0103930000000001</v>
      </c>
      <c r="Y17" s="71">
        <f>INT(Y$12*1.17)</f>
        <v>642</v>
      </c>
      <c r="Z17" s="71">
        <f>Z$12*0.967</f>
        <v>2.3971930000000001</v>
      </c>
      <c r="AA17" s="71">
        <f>AA$12*0.967</f>
        <v>98.150499999999994</v>
      </c>
      <c r="AB17" s="68">
        <f>AB16</f>
        <v>5</v>
      </c>
      <c r="AC17" s="68">
        <v>7</v>
      </c>
      <c r="AD17" s="68">
        <f>AD16</f>
        <v>0.2</v>
      </c>
    </row>
    <row r="18" spans="1:30" s="5" customFormat="1" ht="16.5" customHeight="1" x14ac:dyDescent="0.3">
      <c r="A18" s="62" t="b">
        <v>1</v>
      </c>
      <c r="B18" s="63" t="s">
        <v>265</v>
      </c>
      <c r="C18" s="64">
        <f>C12+1000</f>
        <v>100703001</v>
      </c>
      <c r="D18" s="62">
        <f t="shared" si="0"/>
        <v>54013</v>
      </c>
      <c r="E18" s="62">
        <f>E27+1</f>
        <v>55019</v>
      </c>
      <c r="F18" s="79">
        <v>530905013</v>
      </c>
      <c r="G18" s="64" t="s">
        <v>153</v>
      </c>
      <c r="H18" s="81" t="s">
        <v>192</v>
      </c>
      <c r="I18" s="82" t="s">
        <v>149</v>
      </c>
      <c r="J18" s="82" t="s">
        <v>266</v>
      </c>
      <c r="K18" s="82">
        <v>80</v>
      </c>
      <c r="L18" s="82" t="s">
        <v>150</v>
      </c>
      <c r="M18" s="62" t="s">
        <v>160</v>
      </c>
      <c r="N18" s="62">
        <v>530905013</v>
      </c>
      <c r="O18" s="62" t="s">
        <v>160</v>
      </c>
      <c r="P18" s="82" t="s">
        <v>267</v>
      </c>
      <c r="Q18" s="82" t="s">
        <v>286</v>
      </c>
      <c r="R18" s="82">
        <v>0</v>
      </c>
      <c r="S18" s="82" t="s">
        <v>268</v>
      </c>
      <c r="T18" s="82">
        <v>1</v>
      </c>
      <c r="U18" s="66" t="s">
        <v>269</v>
      </c>
      <c r="V18" s="66" t="s">
        <v>270</v>
      </c>
      <c r="W18" s="66">
        <v>9.3040000000000053E-2</v>
      </c>
      <c r="X18" s="66">
        <v>3.0139999999999998</v>
      </c>
      <c r="Y18" s="66" t="s">
        <v>271</v>
      </c>
      <c r="Z18" s="66" t="s">
        <v>272</v>
      </c>
      <c r="AA18" s="66">
        <v>102.13</v>
      </c>
      <c r="AB18" s="82" t="s">
        <v>273</v>
      </c>
      <c r="AC18" s="82" t="s">
        <v>287</v>
      </c>
      <c r="AD18" s="82" t="s">
        <v>288</v>
      </c>
    </row>
    <row r="19" spans="1:30" s="5" customFormat="1" ht="16.5" customHeight="1" x14ac:dyDescent="0.3">
      <c r="A19" s="62" t="b">
        <v>1</v>
      </c>
      <c r="B19" s="63" t="s">
        <v>274</v>
      </c>
      <c r="C19" s="62">
        <f t="shared" ref="C19:D29" si="1">C18+1</f>
        <v>100703002</v>
      </c>
      <c r="D19" s="62">
        <f t="shared" si="0"/>
        <v>54014</v>
      </c>
      <c r="E19" s="62">
        <f>E18+1</f>
        <v>55020</v>
      </c>
      <c r="F19" s="79">
        <v>530905014</v>
      </c>
      <c r="G19" s="62" t="s">
        <v>138</v>
      </c>
      <c r="H19" s="81" t="s">
        <v>193</v>
      </c>
      <c r="I19" s="82" t="s">
        <v>149</v>
      </c>
      <c r="J19" s="82" t="s">
        <v>266</v>
      </c>
      <c r="K19" s="82">
        <v>80</v>
      </c>
      <c r="L19" s="82" t="s">
        <v>150</v>
      </c>
      <c r="M19" s="62" t="s">
        <v>160</v>
      </c>
      <c r="N19" s="62">
        <v>530905014</v>
      </c>
      <c r="O19" s="62" t="s">
        <v>160</v>
      </c>
      <c r="P19" s="62">
        <f>INT(P$18*1.03)</f>
        <v>4043</v>
      </c>
      <c r="Q19" s="62">
        <f>INT(Q$18*1.03)</f>
        <v>81</v>
      </c>
      <c r="R19" s="62">
        <f>R18</f>
        <v>0</v>
      </c>
      <c r="S19" s="62">
        <f>INT(S$18*1.08)</f>
        <v>225</v>
      </c>
      <c r="T19" s="62">
        <v>2</v>
      </c>
      <c r="U19" s="66">
        <f>U$18*0.95</f>
        <v>13.831999999999999</v>
      </c>
      <c r="V19" s="66" t="str">
        <f t="shared" ref="V19:W21" si="2">V18</f>
        <v>1.9</v>
      </c>
      <c r="W19" s="66">
        <f t="shared" si="2"/>
        <v>9.3040000000000053E-2</v>
      </c>
      <c r="X19" s="66">
        <f>X$18*0.95</f>
        <v>2.8632999999999997</v>
      </c>
      <c r="Y19" s="66">
        <f>INT(Y$18*1.03)</f>
        <v>836</v>
      </c>
      <c r="Z19" s="66">
        <f>Z$18*0.95</f>
        <v>3.0276499999999995</v>
      </c>
      <c r="AA19" s="66">
        <f>AA$18*0.95</f>
        <v>97.023499999999984</v>
      </c>
      <c r="AB19" s="62" t="str">
        <f>AB18</f>
        <v>7.5</v>
      </c>
      <c r="AC19" s="62">
        <v>6.5</v>
      </c>
      <c r="AD19" s="62" t="str">
        <f>AD18</f>
        <v>0.3</v>
      </c>
    </row>
    <row r="20" spans="1:30" s="5" customFormat="1" ht="16.5" customHeight="1" x14ac:dyDescent="0.3">
      <c r="A20" s="62" t="b">
        <v>1</v>
      </c>
      <c r="B20" s="63" t="s">
        <v>275</v>
      </c>
      <c r="C20" s="62">
        <f t="shared" si="1"/>
        <v>100703003</v>
      </c>
      <c r="D20" s="62">
        <f t="shared" si="0"/>
        <v>54015</v>
      </c>
      <c r="E20" s="62">
        <f>E28+1</f>
        <v>55022</v>
      </c>
      <c r="F20" s="79">
        <v>530905015</v>
      </c>
      <c r="G20" s="62" t="s">
        <v>139</v>
      </c>
      <c r="H20" s="81" t="s">
        <v>194</v>
      </c>
      <c r="I20" s="82" t="s">
        <v>149</v>
      </c>
      <c r="J20" s="82" t="s">
        <v>266</v>
      </c>
      <c r="K20" s="82">
        <v>80</v>
      </c>
      <c r="L20" s="82" t="s">
        <v>150</v>
      </c>
      <c r="M20" s="62" t="s">
        <v>160</v>
      </c>
      <c r="N20" s="62">
        <v>530905015</v>
      </c>
      <c r="O20" s="62" t="s">
        <v>160</v>
      </c>
      <c r="P20" s="62">
        <f>INT(P$18*0.92)</f>
        <v>3611</v>
      </c>
      <c r="Q20" s="62">
        <f>INT(Q$18*1.08)</f>
        <v>85</v>
      </c>
      <c r="R20" s="62">
        <f>R19</f>
        <v>0</v>
      </c>
      <c r="S20" s="62">
        <f>INT(S$18*0.92)</f>
        <v>192</v>
      </c>
      <c r="T20" s="62">
        <v>1</v>
      </c>
      <c r="U20" s="66">
        <f>U$18*1.004</f>
        <v>14.61824</v>
      </c>
      <c r="V20" s="66" t="str">
        <f t="shared" si="2"/>
        <v>1.9</v>
      </c>
      <c r="W20" s="66">
        <f t="shared" si="2"/>
        <v>9.3040000000000053E-2</v>
      </c>
      <c r="X20" s="66">
        <f>X$18*1.004</f>
        <v>3.0260559999999996</v>
      </c>
      <c r="Y20" s="66">
        <f>INT(Y$18*0.92)</f>
        <v>747</v>
      </c>
      <c r="Z20" s="66">
        <f>Z$18*1.004</f>
        <v>3.199748</v>
      </c>
      <c r="AA20" s="66">
        <f>AA$18*1.004</f>
        <v>102.53851999999999</v>
      </c>
      <c r="AB20" s="62" t="str">
        <f>AB19</f>
        <v>7.5</v>
      </c>
      <c r="AC20" s="62">
        <f>AC19</f>
        <v>6.5</v>
      </c>
      <c r="AD20" s="62" t="str">
        <f>AD19</f>
        <v>0.3</v>
      </c>
    </row>
    <row r="21" spans="1:30" s="5" customFormat="1" ht="16.5" customHeight="1" x14ac:dyDescent="0.3">
      <c r="A21" s="62" t="b">
        <v>1</v>
      </c>
      <c r="B21" s="63" t="s">
        <v>276</v>
      </c>
      <c r="C21" s="62">
        <f t="shared" si="1"/>
        <v>100703004</v>
      </c>
      <c r="D21" s="62">
        <f t="shared" si="0"/>
        <v>54016</v>
      </c>
      <c r="E21" s="62">
        <f>E20+1</f>
        <v>55023</v>
      </c>
      <c r="F21" s="79">
        <v>530905016</v>
      </c>
      <c r="G21" s="62" t="s">
        <v>140</v>
      </c>
      <c r="H21" s="81" t="s">
        <v>277</v>
      </c>
      <c r="I21" s="82" t="s">
        <v>149</v>
      </c>
      <c r="J21" s="82" t="s">
        <v>266</v>
      </c>
      <c r="K21" s="82">
        <v>80</v>
      </c>
      <c r="L21" s="82" t="s">
        <v>150</v>
      </c>
      <c r="M21" s="62" t="s">
        <v>160</v>
      </c>
      <c r="N21" s="62">
        <v>530905016</v>
      </c>
      <c r="O21" s="62" t="s">
        <v>160</v>
      </c>
      <c r="P21" s="62">
        <f>INT(P$18*1.08)</f>
        <v>4240</v>
      </c>
      <c r="Q21" s="62">
        <f>INT(Q$18*0.92)</f>
        <v>72</v>
      </c>
      <c r="R21" s="62">
        <f>R20</f>
        <v>0</v>
      </c>
      <c r="S21" s="62">
        <f>INT(S$18*1.03)</f>
        <v>215</v>
      </c>
      <c r="T21" s="62">
        <v>1</v>
      </c>
      <c r="U21" s="66">
        <f>U$18*0.989</f>
        <v>14.399840000000001</v>
      </c>
      <c r="V21" s="66" t="str">
        <f t="shared" si="2"/>
        <v>1.9</v>
      </c>
      <c r="W21" s="66">
        <f t="shared" si="2"/>
        <v>9.3040000000000053E-2</v>
      </c>
      <c r="X21" s="66">
        <f>X$18*0.989</f>
        <v>2.9808459999999997</v>
      </c>
      <c r="Y21" s="66">
        <f>INT(Y$18*1.08)</f>
        <v>876</v>
      </c>
      <c r="Z21" s="66">
        <f>Z$18*0.989</f>
        <v>3.1519429999999997</v>
      </c>
      <c r="AA21" s="66">
        <f>AA$18*0.989</f>
        <v>101.00657</v>
      </c>
      <c r="AB21" s="62" t="str">
        <f>AB20</f>
        <v>7.5</v>
      </c>
      <c r="AC21" s="62">
        <v>6.7</v>
      </c>
      <c r="AD21" s="62" t="str">
        <f>AD20</f>
        <v>0.3</v>
      </c>
    </row>
    <row r="22" spans="1:30" s="5" customFormat="1" ht="16.5" customHeight="1" x14ac:dyDescent="0.3">
      <c r="A22" s="72" t="b">
        <v>0</v>
      </c>
      <c r="B22" s="73" t="s">
        <v>195</v>
      </c>
      <c r="C22" s="72">
        <f t="shared" si="1"/>
        <v>100703005</v>
      </c>
      <c r="D22" s="72">
        <f t="shared" si="0"/>
        <v>54017</v>
      </c>
      <c r="E22" s="72">
        <f>E9+1</f>
        <v>55003</v>
      </c>
      <c r="F22" s="79">
        <v>530905016</v>
      </c>
      <c r="G22" s="72" t="s">
        <v>141</v>
      </c>
      <c r="H22" s="83" t="s">
        <v>160</v>
      </c>
      <c r="I22" s="76" t="s">
        <v>149</v>
      </c>
      <c r="J22" s="76" t="s">
        <v>266</v>
      </c>
      <c r="K22" s="76">
        <v>80</v>
      </c>
      <c r="L22" s="76" t="s">
        <v>150</v>
      </c>
      <c r="M22" s="76" t="s">
        <v>160</v>
      </c>
      <c r="N22" s="76" t="s">
        <v>160</v>
      </c>
      <c r="O22" s="76" t="s">
        <v>160</v>
      </c>
      <c r="P22" s="76" t="s">
        <v>278</v>
      </c>
      <c r="Q22" s="76" t="s">
        <v>289</v>
      </c>
      <c r="R22" s="76">
        <v>0</v>
      </c>
      <c r="S22" s="76" t="s">
        <v>279</v>
      </c>
      <c r="T22" s="76">
        <v>1</v>
      </c>
      <c r="U22" s="75" t="s">
        <v>280</v>
      </c>
      <c r="V22" s="75" t="s">
        <v>281</v>
      </c>
      <c r="W22" s="75">
        <v>4.5680000000000005E-2</v>
      </c>
      <c r="X22" s="75">
        <v>3.9820000000000002</v>
      </c>
      <c r="Y22" s="75" t="s">
        <v>282</v>
      </c>
      <c r="Z22" s="75" t="s">
        <v>283</v>
      </c>
      <c r="AA22" s="75">
        <v>101.01</v>
      </c>
      <c r="AB22" s="76" t="s">
        <v>284</v>
      </c>
      <c r="AC22" s="76" t="s">
        <v>285</v>
      </c>
      <c r="AD22" s="76" t="s">
        <v>290</v>
      </c>
    </row>
    <row r="23" spans="1:30" s="5" customFormat="1" ht="16.5" customHeight="1" x14ac:dyDescent="0.3">
      <c r="A23" s="72" t="b">
        <v>0</v>
      </c>
      <c r="B23" s="73" t="s">
        <v>196</v>
      </c>
      <c r="C23" s="72">
        <f t="shared" si="1"/>
        <v>100703006</v>
      </c>
      <c r="D23" s="72">
        <f t="shared" si="1"/>
        <v>54018</v>
      </c>
      <c r="E23" s="72">
        <f>E10+1</f>
        <v>55006</v>
      </c>
      <c r="F23" s="79">
        <v>530905016</v>
      </c>
      <c r="G23" s="72" t="s">
        <v>142</v>
      </c>
      <c r="H23" s="83" t="s">
        <v>160</v>
      </c>
      <c r="I23" s="76" t="s">
        <v>149</v>
      </c>
      <c r="J23" s="76" t="s">
        <v>266</v>
      </c>
      <c r="K23" s="76">
        <v>80</v>
      </c>
      <c r="L23" s="76" t="s">
        <v>150</v>
      </c>
      <c r="M23" s="76" t="s">
        <v>160</v>
      </c>
      <c r="N23" s="76" t="s">
        <v>160</v>
      </c>
      <c r="O23" s="76" t="s">
        <v>160</v>
      </c>
      <c r="P23" s="76">
        <f>INT(P$22*1.03)</f>
        <v>5291</v>
      </c>
      <c r="Q23" s="76">
        <f>INT(Q$22*1.19)</f>
        <v>117</v>
      </c>
      <c r="R23" s="76">
        <f t="shared" ref="R23:R29" si="3">R22</f>
        <v>0</v>
      </c>
      <c r="S23" s="76">
        <f>INT(S$22*1.19)</f>
        <v>297</v>
      </c>
      <c r="T23" s="76">
        <f t="shared" ref="T23:T29" si="4">T22</f>
        <v>1</v>
      </c>
      <c r="U23" s="75">
        <f>U$22*0.959</f>
        <v>14.950809999999999</v>
      </c>
      <c r="V23" s="75" t="str">
        <f t="shared" ref="V23:W29" si="5">V22</f>
        <v>1.95</v>
      </c>
      <c r="W23" s="75">
        <f t="shared" si="5"/>
        <v>4.5680000000000005E-2</v>
      </c>
      <c r="X23" s="75">
        <f>X$22*0.959</f>
        <v>3.8187380000000002</v>
      </c>
      <c r="Y23" s="75">
        <f>INT(Y$22*1.07)</f>
        <v>1137</v>
      </c>
      <c r="Z23" s="75">
        <f>Z$22*0.959</f>
        <v>3.9376539999999998</v>
      </c>
      <c r="AA23" s="75">
        <f>AA$22*0.959</f>
        <v>96.868589999999998</v>
      </c>
      <c r="AB23" s="76" t="str">
        <f t="shared" ref="AB23:AD29" si="6">AB22</f>
        <v>11</v>
      </c>
      <c r="AC23" s="76" t="str">
        <f t="shared" si="6"/>
        <v>7</v>
      </c>
      <c r="AD23" s="76" t="str">
        <f t="shared" si="6"/>
        <v>0.4</v>
      </c>
    </row>
    <row r="24" spans="1:30" s="5" customFormat="1" ht="16.5" customHeight="1" x14ac:dyDescent="0.3">
      <c r="A24" s="72" t="b">
        <v>0</v>
      </c>
      <c r="B24" s="73" t="s">
        <v>197</v>
      </c>
      <c r="C24" s="72">
        <f t="shared" si="1"/>
        <v>100703007</v>
      </c>
      <c r="D24" s="72">
        <f t="shared" si="1"/>
        <v>54019</v>
      </c>
      <c r="E24" s="72">
        <f>E11+1</f>
        <v>55009</v>
      </c>
      <c r="F24" s="79">
        <v>530905016</v>
      </c>
      <c r="G24" s="72" t="s">
        <v>143</v>
      </c>
      <c r="H24" s="83" t="s">
        <v>160</v>
      </c>
      <c r="I24" s="76" t="s">
        <v>149</v>
      </c>
      <c r="J24" s="76" t="s">
        <v>266</v>
      </c>
      <c r="K24" s="76">
        <v>80</v>
      </c>
      <c r="L24" s="76" t="s">
        <v>150</v>
      </c>
      <c r="M24" s="76" t="s">
        <v>160</v>
      </c>
      <c r="N24" s="76" t="s">
        <v>160</v>
      </c>
      <c r="O24" s="76" t="s">
        <v>160</v>
      </c>
      <c r="P24" s="76">
        <f>INT(P$22*0.85)</f>
        <v>4366</v>
      </c>
      <c r="Q24" s="76">
        <f>INT(Q$22*0.96)</f>
        <v>95</v>
      </c>
      <c r="R24" s="76">
        <f t="shared" si="3"/>
        <v>0</v>
      </c>
      <c r="S24" s="76">
        <f>INT(S$22*0.96)</f>
        <v>240</v>
      </c>
      <c r="T24" s="76">
        <f t="shared" si="4"/>
        <v>1</v>
      </c>
      <c r="U24" s="75">
        <f>U$22*0.953</f>
        <v>14.85727</v>
      </c>
      <c r="V24" s="75" t="str">
        <f t="shared" si="5"/>
        <v>1.95</v>
      </c>
      <c r="W24" s="75">
        <f t="shared" si="5"/>
        <v>4.5680000000000005E-2</v>
      </c>
      <c r="X24" s="75">
        <f>X$22*0.953</f>
        <v>3.7948460000000002</v>
      </c>
      <c r="Y24" s="75">
        <f>INT(Y$22*0.93)</f>
        <v>988</v>
      </c>
      <c r="Z24" s="75">
        <f>Z$22*0.953</f>
        <v>3.9130179999999997</v>
      </c>
      <c r="AA24" s="75">
        <f>AA$22*0.953</f>
        <v>96.262529999999998</v>
      </c>
      <c r="AB24" s="76" t="str">
        <f t="shared" si="6"/>
        <v>11</v>
      </c>
      <c r="AC24" s="76" t="str">
        <f t="shared" si="6"/>
        <v>7</v>
      </c>
      <c r="AD24" s="76" t="str">
        <f t="shared" si="6"/>
        <v>0.4</v>
      </c>
    </row>
    <row r="25" spans="1:30" s="5" customFormat="1" ht="16.5" customHeight="1" x14ac:dyDescent="0.3">
      <c r="A25" s="72" t="b">
        <v>0</v>
      </c>
      <c r="B25" s="73" t="s">
        <v>198</v>
      </c>
      <c r="C25" s="72">
        <f t="shared" si="1"/>
        <v>100703008</v>
      </c>
      <c r="D25" s="72">
        <f t="shared" si="1"/>
        <v>54020</v>
      </c>
      <c r="E25" s="72">
        <f>E13+1</f>
        <v>55012</v>
      </c>
      <c r="F25" s="79">
        <v>530905016</v>
      </c>
      <c r="G25" s="72" t="s">
        <v>144</v>
      </c>
      <c r="H25" s="83" t="s">
        <v>160</v>
      </c>
      <c r="I25" s="76" t="s">
        <v>149</v>
      </c>
      <c r="J25" s="76" t="s">
        <v>266</v>
      </c>
      <c r="K25" s="76">
        <v>80</v>
      </c>
      <c r="L25" s="76" t="s">
        <v>150</v>
      </c>
      <c r="M25" s="76" t="s">
        <v>160</v>
      </c>
      <c r="N25" s="76" t="s">
        <v>160</v>
      </c>
      <c r="O25" s="76" t="s">
        <v>160</v>
      </c>
      <c r="P25" s="76">
        <f>INT(P$22*1.13)</f>
        <v>5804</v>
      </c>
      <c r="Q25" s="76">
        <f>INT(Q$22*1.13)</f>
        <v>111</v>
      </c>
      <c r="R25" s="76">
        <f t="shared" si="3"/>
        <v>0</v>
      </c>
      <c r="S25" s="76">
        <f>INT(S$22*1.13)</f>
        <v>282</v>
      </c>
      <c r="T25" s="76">
        <f t="shared" si="4"/>
        <v>1</v>
      </c>
      <c r="U25" s="75">
        <f>U$22*0.989</f>
        <v>15.418509999999999</v>
      </c>
      <c r="V25" s="75" t="str">
        <f t="shared" si="5"/>
        <v>1.95</v>
      </c>
      <c r="W25" s="75">
        <f t="shared" si="5"/>
        <v>4.5680000000000005E-2</v>
      </c>
      <c r="X25" s="75">
        <f>X$22*0.989</f>
        <v>3.9381980000000003</v>
      </c>
      <c r="Y25" s="75">
        <f>INT(Y$22*1.03)</f>
        <v>1094</v>
      </c>
      <c r="Z25" s="75">
        <f>Z$22*0.989</f>
        <v>4.0608339999999998</v>
      </c>
      <c r="AA25" s="75">
        <f>AA$22*0.989</f>
        <v>99.898890000000009</v>
      </c>
      <c r="AB25" s="76" t="str">
        <f t="shared" si="6"/>
        <v>11</v>
      </c>
      <c r="AC25" s="76" t="str">
        <f t="shared" si="6"/>
        <v>7</v>
      </c>
      <c r="AD25" s="76" t="str">
        <f t="shared" si="6"/>
        <v>0.4</v>
      </c>
    </row>
    <row r="26" spans="1:30" s="5" customFormat="1" ht="16.5" customHeight="1" x14ac:dyDescent="0.3">
      <c r="A26" s="72" t="b">
        <v>0</v>
      </c>
      <c r="B26" s="73" t="s">
        <v>199</v>
      </c>
      <c r="C26" s="72">
        <f t="shared" si="1"/>
        <v>100703009</v>
      </c>
      <c r="D26" s="72">
        <f t="shared" si="1"/>
        <v>54021</v>
      </c>
      <c r="E26" s="72">
        <f>E15+1</f>
        <v>55015</v>
      </c>
      <c r="F26" s="79">
        <v>530905016</v>
      </c>
      <c r="G26" s="72" t="s">
        <v>145</v>
      </c>
      <c r="H26" s="83" t="s">
        <v>160</v>
      </c>
      <c r="I26" s="76" t="s">
        <v>149</v>
      </c>
      <c r="J26" s="76" t="s">
        <v>266</v>
      </c>
      <c r="K26" s="76">
        <v>80</v>
      </c>
      <c r="L26" s="76" t="s">
        <v>150</v>
      </c>
      <c r="M26" s="76" t="s">
        <v>160</v>
      </c>
      <c r="N26" s="76" t="s">
        <v>160</v>
      </c>
      <c r="O26" s="76" t="s">
        <v>160</v>
      </c>
      <c r="P26" s="76">
        <f>INT(P$22*1.07)</f>
        <v>5496</v>
      </c>
      <c r="Q26" s="76">
        <f>INT(Q$22*1.07)</f>
        <v>105</v>
      </c>
      <c r="R26" s="76">
        <f t="shared" si="3"/>
        <v>0</v>
      </c>
      <c r="S26" s="76">
        <f>INT(S$22*1.07)</f>
        <v>267</v>
      </c>
      <c r="T26" s="76">
        <f t="shared" si="4"/>
        <v>1</v>
      </c>
      <c r="U26" s="75">
        <f>U$22*1.006</f>
        <v>15.683540000000001</v>
      </c>
      <c r="V26" s="75" t="str">
        <f t="shared" si="5"/>
        <v>1.95</v>
      </c>
      <c r="W26" s="75">
        <f t="shared" si="5"/>
        <v>4.5680000000000005E-2</v>
      </c>
      <c r="X26" s="75">
        <f>X$22*1.006</f>
        <v>4.0058920000000002</v>
      </c>
      <c r="Y26" s="75">
        <f>INT(Y$22*1.19)</f>
        <v>1264</v>
      </c>
      <c r="Z26" s="75">
        <f>Z$22*1.006</f>
        <v>4.130636</v>
      </c>
      <c r="AA26" s="75">
        <f>AA$22*1.006</f>
        <v>101.61606</v>
      </c>
      <c r="AB26" s="76" t="str">
        <f t="shared" si="6"/>
        <v>11</v>
      </c>
      <c r="AC26" s="76" t="str">
        <f t="shared" si="6"/>
        <v>7</v>
      </c>
      <c r="AD26" s="76" t="str">
        <f t="shared" si="6"/>
        <v>0.4</v>
      </c>
    </row>
    <row r="27" spans="1:30" s="5" customFormat="1" ht="16.5" customHeight="1" x14ac:dyDescent="0.3">
      <c r="A27" s="72" t="b">
        <v>0</v>
      </c>
      <c r="B27" s="73" t="s">
        <v>200</v>
      </c>
      <c r="C27" s="72">
        <f t="shared" si="1"/>
        <v>100703010</v>
      </c>
      <c r="D27" s="72">
        <f t="shared" si="1"/>
        <v>54022</v>
      </c>
      <c r="E27" s="72">
        <f>E17+1</f>
        <v>55018</v>
      </c>
      <c r="F27" s="79">
        <v>530905016</v>
      </c>
      <c r="G27" s="72" t="s">
        <v>146</v>
      </c>
      <c r="H27" s="83" t="s">
        <v>160</v>
      </c>
      <c r="I27" s="76" t="s">
        <v>149</v>
      </c>
      <c r="J27" s="76" t="s">
        <v>266</v>
      </c>
      <c r="K27" s="76">
        <v>80</v>
      </c>
      <c r="L27" s="76" t="s">
        <v>150</v>
      </c>
      <c r="M27" s="76" t="s">
        <v>160</v>
      </c>
      <c r="N27" s="76" t="s">
        <v>160</v>
      </c>
      <c r="O27" s="76" t="s">
        <v>160</v>
      </c>
      <c r="P27" s="76">
        <f>INT(P$22*0.93)</f>
        <v>4777</v>
      </c>
      <c r="Q27" s="76">
        <f>INT(Q$22*0.93)</f>
        <v>92</v>
      </c>
      <c r="R27" s="76">
        <f t="shared" si="3"/>
        <v>0</v>
      </c>
      <c r="S27" s="76">
        <f>INT(S$22*0.93)</f>
        <v>232</v>
      </c>
      <c r="T27" s="76">
        <f t="shared" si="4"/>
        <v>1</v>
      </c>
      <c r="U27" s="75">
        <f>U$22*0.967</f>
        <v>15.075529999999999</v>
      </c>
      <c r="V27" s="75" t="str">
        <f t="shared" si="5"/>
        <v>1.95</v>
      </c>
      <c r="W27" s="75">
        <f t="shared" si="5"/>
        <v>4.5680000000000005E-2</v>
      </c>
      <c r="X27" s="75">
        <f>X$22*0.967</f>
        <v>3.8505940000000001</v>
      </c>
      <c r="Y27" s="75">
        <f>INT(Y$22*0.96)</f>
        <v>1020</v>
      </c>
      <c r="Z27" s="75">
        <f>Z$22*0.967</f>
        <v>3.9705019999999998</v>
      </c>
      <c r="AA27" s="75">
        <f>AA$22*0.967</f>
        <v>97.676670000000001</v>
      </c>
      <c r="AB27" s="76" t="str">
        <f t="shared" si="6"/>
        <v>11</v>
      </c>
      <c r="AC27" s="76" t="str">
        <f t="shared" si="6"/>
        <v>7</v>
      </c>
      <c r="AD27" s="76" t="str">
        <f t="shared" si="6"/>
        <v>0.4</v>
      </c>
    </row>
    <row r="28" spans="1:30" s="5" customFormat="1" ht="16.5" customHeight="1" x14ac:dyDescent="0.3">
      <c r="A28" s="72" t="b">
        <v>0</v>
      </c>
      <c r="B28" s="73" t="s">
        <v>201</v>
      </c>
      <c r="C28" s="72">
        <f t="shared" si="1"/>
        <v>100703011</v>
      </c>
      <c r="D28" s="72">
        <f t="shared" si="1"/>
        <v>54023</v>
      </c>
      <c r="E28" s="72">
        <f>E19+1</f>
        <v>55021</v>
      </c>
      <c r="F28" s="79">
        <v>530905016</v>
      </c>
      <c r="G28" s="72" t="s">
        <v>147</v>
      </c>
      <c r="H28" s="83" t="s">
        <v>160</v>
      </c>
      <c r="I28" s="76" t="s">
        <v>149</v>
      </c>
      <c r="J28" s="76" t="s">
        <v>266</v>
      </c>
      <c r="K28" s="76">
        <v>80</v>
      </c>
      <c r="L28" s="76" t="s">
        <v>150</v>
      </c>
      <c r="M28" s="76" t="s">
        <v>160</v>
      </c>
      <c r="N28" s="76" t="s">
        <v>160</v>
      </c>
      <c r="O28" s="76" t="s">
        <v>160</v>
      </c>
      <c r="P28" s="76">
        <f>INT(P$22*1.19)</f>
        <v>6113</v>
      </c>
      <c r="Q28" s="76">
        <f>INT(Q$22*1.03)</f>
        <v>101</v>
      </c>
      <c r="R28" s="76">
        <f t="shared" si="3"/>
        <v>0</v>
      </c>
      <c r="S28" s="76">
        <f>INT(S$22*1.03)</f>
        <v>257</v>
      </c>
      <c r="T28" s="76">
        <f t="shared" si="4"/>
        <v>1</v>
      </c>
      <c r="U28" s="75">
        <f>U$22*0.967</f>
        <v>15.075529999999999</v>
      </c>
      <c r="V28" s="75" t="str">
        <f t="shared" si="5"/>
        <v>1.95</v>
      </c>
      <c r="W28" s="75">
        <f t="shared" si="5"/>
        <v>4.5680000000000005E-2</v>
      </c>
      <c r="X28" s="75">
        <f>X$22*0.967</f>
        <v>3.8505940000000001</v>
      </c>
      <c r="Y28" s="75">
        <f>INT(Y$22*1.13)</f>
        <v>1201</v>
      </c>
      <c r="Z28" s="75">
        <f>Z$22*0.967</f>
        <v>3.9705019999999998</v>
      </c>
      <c r="AA28" s="75">
        <f>AA$22*0.967</f>
        <v>97.676670000000001</v>
      </c>
      <c r="AB28" s="76" t="str">
        <f t="shared" si="6"/>
        <v>11</v>
      </c>
      <c r="AC28" s="76" t="str">
        <f t="shared" si="6"/>
        <v>7</v>
      </c>
      <c r="AD28" s="76" t="str">
        <f t="shared" si="6"/>
        <v>0.4</v>
      </c>
    </row>
    <row r="29" spans="1:30" s="5" customFormat="1" ht="16.5" customHeight="1" x14ac:dyDescent="0.3">
      <c r="A29" s="72" t="b">
        <v>0</v>
      </c>
      <c r="B29" s="73" t="s">
        <v>202</v>
      </c>
      <c r="C29" s="72">
        <f t="shared" si="1"/>
        <v>100703012</v>
      </c>
      <c r="D29" s="72">
        <f t="shared" si="1"/>
        <v>54024</v>
      </c>
      <c r="E29" s="72">
        <f>E21+1</f>
        <v>55024</v>
      </c>
      <c r="F29" s="79">
        <v>530905016</v>
      </c>
      <c r="G29" s="72" t="s">
        <v>148</v>
      </c>
      <c r="H29" s="83" t="s">
        <v>160</v>
      </c>
      <c r="I29" s="76" t="s">
        <v>149</v>
      </c>
      <c r="J29" s="76" t="s">
        <v>266</v>
      </c>
      <c r="K29" s="76">
        <v>80</v>
      </c>
      <c r="L29" s="76" t="s">
        <v>150</v>
      </c>
      <c r="M29" s="76" t="s">
        <v>160</v>
      </c>
      <c r="N29" s="76" t="s">
        <v>160</v>
      </c>
      <c r="O29" s="76" t="s">
        <v>160</v>
      </c>
      <c r="P29" s="76">
        <f>INT(P$22*0.96)</f>
        <v>4931</v>
      </c>
      <c r="Q29" s="76">
        <f>INT(Q$22*0.85)</f>
        <v>84</v>
      </c>
      <c r="R29" s="76">
        <f t="shared" si="3"/>
        <v>0</v>
      </c>
      <c r="S29" s="76">
        <f>INT(S$22*0.85)</f>
        <v>212</v>
      </c>
      <c r="T29" s="76">
        <f t="shared" si="4"/>
        <v>1</v>
      </c>
      <c r="U29" s="75">
        <f>U$22*1.011</f>
        <v>15.761489999999998</v>
      </c>
      <c r="V29" s="75" t="str">
        <f t="shared" si="5"/>
        <v>1.95</v>
      </c>
      <c r="W29" s="75">
        <f t="shared" si="5"/>
        <v>4.5680000000000005E-2</v>
      </c>
      <c r="X29" s="75">
        <f>X$22*1.011</f>
        <v>4.0258019999999997</v>
      </c>
      <c r="Y29" s="75">
        <f>INT(Y$22*0.85)</f>
        <v>903</v>
      </c>
      <c r="Z29" s="75">
        <f>Z$22*1.011</f>
        <v>4.151165999999999</v>
      </c>
      <c r="AA29" s="75">
        <f>AA$22*1.011</f>
        <v>102.12111</v>
      </c>
      <c r="AB29" s="76" t="str">
        <f t="shared" si="6"/>
        <v>11</v>
      </c>
      <c r="AC29" s="76" t="str">
        <f t="shared" si="6"/>
        <v>7</v>
      </c>
      <c r="AD29" s="76" t="str">
        <f t="shared" si="6"/>
        <v>0.4</v>
      </c>
    </row>
  </sheetData>
  <autoFilter ref="B2:AB21"/>
  <phoneticPr fontId="3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8" sqref="B18"/>
    </sheetView>
  </sheetViews>
  <sheetFormatPr defaultColWidth="9" defaultRowHeight="16.5" customHeight="1" x14ac:dyDescent="0.3"/>
  <cols>
    <col min="1" max="1" width="23.5" customWidth="1"/>
    <col min="2" max="2" width="27.5" style="1" bestFit="1" customWidth="1"/>
    <col min="3" max="3" width="19.5" style="1" bestFit="1" customWidth="1"/>
    <col min="4" max="4" width="8.5" style="1" bestFit="1" customWidth="1"/>
    <col min="5" max="5" width="20.5" style="1" customWidth="1"/>
    <col min="6" max="6" width="8.5" style="1" bestFit="1" customWidth="1"/>
    <col min="7" max="7" width="23.5" style="1" customWidth="1"/>
    <col min="8" max="8" width="20.375" style="1" customWidth="1"/>
    <col min="9" max="9" width="20.5" style="1" bestFit="1" customWidth="1"/>
    <col min="10" max="10" width="19" style="1" bestFit="1" customWidth="1"/>
    <col min="11" max="11" width="16.75" style="1" bestFit="1" customWidth="1"/>
    <col min="12" max="12" width="12.25" style="1" bestFit="1" customWidth="1"/>
    <col min="13" max="15" width="15.125" style="1" bestFit="1" customWidth="1"/>
    <col min="16" max="16" width="20.125" style="1" bestFit="1" customWidth="1"/>
    <col min="17" max="17" width="16.75" style="1" bestFit="1" customWidth="1"/>
    <col min="18" max="18" width="15.125" style="1" bestFit="1" customWidth="1"/>
  </cols>
  <sheetData>
    <row r="1" spans="1:18" ht="16.5" customHeight="1" x14ac:dyDescent="0.3">
      <c r="A1" s="50" t="s">
        <v>166</v>
      </c>
      <c r="B1" s="2" t="s">
        <v>166</v>
      </c>
      <c r="C1" s="3"/>
      <c r="D1" s="51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16.5" customHeight="1" x14ac:dyDescent="0.3">
      <c r="A2" s="53" t="s">
        <v>0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  <c r="H2" s="54" t="s">
        <v>59</v>
      </c>
      <c r="I2" s="54" t="s">
        <v>60</v>
      </c>
      <c r="J2" s="54" t="s">
        <v>61</v>
      </c>
      <c r="K2" s="54" t="s">
        <v>62</v>
      </c>
      <c r="L2" s="54" t="s">
        <v>63</v>
      </c>
      <c r="M2" s="54" t="s">
        <v>64</v>
      </c>
      <c r="N2" s="54" t="s">
        <v>65</v>
      </c>
      <c r="O2" s="54" t="s">
        <v>66</v>
      </c>
      <c r="P2" s="54" t="s">
        <v>67</v>
      </c>
      <c r="Q2" s="54" t="s">
        <v>68</v>
      </c>
      <c r="R2" s="54" t="s">
        <v>69</v>
      </c>
    </row>
    <row r="3" spans="1:18" ht="16.5" customHeight="1" x14ac:dyDescent="0.3">
      <c r="A3" s="55" t="s">
        <v>23</v>
      </c>
      <c r="B3" s="55" t="s">
        <v>23</v>
      </c>
      <c r="C3" s="55" t="s">
        <v>24</v>
      </c>
      <c r="D3" s="55" t="s">
        <v>24</v>
      </c>
      <c r="E3" s="55" t="s">
        <v>24</v>
      </c>
      <c r="F3" s="55" t="s">
        <v>24</v>
      </c>
      <c r="G3" s="55" t="s">
        <v>24</v>
      </c>
      <c r="H3" s="55" t="s">
        <v>24</v>
      </c>
      <c r="I3" s="55" t="s">
        <v>24</v>
      </c>
      <c r="J3" s="55" t="s">
        <v>24</v>
      </c>
      <c r="K3" s="55" t="s">
        <v>24</v>
      </c>
      <c r="L3" s="55" t="s">
        <v>24</v>
      </c>
      <c r="M3" s="55" t="s">
        <v>24</v>
      </c>
      <c r="N3" s="55" t="s">
        <v>24</v>
      </c>
      <c r="O3" s="55" t="s">
        <v>24</v>
      </c>
      <c r="P3" s="55" t="s">
        <v>24</v>
      </c>
      <c r="Q3" s="55" t="s">
        <v>24</v>
      </c>
      <c r="R3" s="55" t="s">
        <v>24</v>
      </c>
    </row>
    <row r="4" spans="1:18" ht="40.5" customHeight="1" x14ac:dyDescent="0.3">
      <c r="A4" s="56" t="s">
        <v>25</v>
      </c>
      <c r="B4" s="56" t="s">
        <v>26</v>
      </c>
      <c r="C4" s="56" t="s">
        <v>27</v>
      </c>
      <c r="D4" s="56" t="s">
        <v>28</v>
      </c>
      <c r="E4" s="56" t="s">
        <v>28</v>
      </c>
      <c r="F4" s="56" t="s">
        <v>28</v>
      </c>
      <c r="G4" s="56" t="s">
        <v>28</v>
      </c>
      <c r="H4" s="56" t="s">
        <v>28</v>
      </c>
      <c r="I4" s="56" t="s">
        <v>28</v>
      </c>
      <c r="J4" s="56" t="s">
        <v>28</v>
      </c>
      <c r="K4" s="56" t="s">
        <v>28</v>
      </c>
      <c r="L4" s="56" t="s">
        <v>28</v>
      </c>
      <c r="M4" s="56" t="s">
        <v>28</v>
      </c>
      <c r="N4" s="56" t="s">
        <v>28</v>
      </c>
      <c r="O4" s="56" t="s">
        <v>28</v>
      </c>
      <c r="P4" s="56" t="s">
        <v>28</v>
      </c>
      <c r="Q4" s="56" t="s">
        <v>28</v>
      </c>
      <c r="R4" s="56" t="s">
        <v>28</v>
      </c>
    </row>
    <row r="5" spans="1:18" ht="16.5" customHeight="1" x14ac:dyDescent="0.3">
      <c r="A5" s="57" t="s">
        <v>29</v>
      </c>
      <c r="B5" s="57" t="s">
        <v>30</v>
      </c>
      <c r="C5" s="58" t="s">
        <v>31</v>
      </c>
      <c r="D5" s="59" t="s">
        <v>38</v>
      </c>
      <c r="E5" s="59" t="s">
        <v>39</v>
      </c>
      <c r="F5" s="59" t="s">
        <v>40</v>
      </c>
      <c r="G5" s="59" t="s">
        <v>41</v>
      </c>
      <c r="H5" s="60" t="s">
        <v>42</v>
      </c>
      <c r="I5" s="59" t="s">
        <v>43</v>
      </c>
      <c r="J5" s="58" t="s">
        <v>44</v>
      </c>
      <c r="K5" s="61" t="s">
        <v>45</v>
      </c>
      <c r="L5" s="60" t="s">
        <v>46</v>
      </c>
      <c r="M5" s="61" t="s">
        <v>47</v>
      </c>
      <c r="N5" s="61" t="s">
        <v>48</v>
      </c>
      <c r="O5" s="61" t="s">
        <v>49</v>
      </c>
      <c r="P5" s="59" t="s">
        <v>50</v>
      </c>
      <c r="Q5" s="59" t="s">
        <v>51</v>
      </c>
      <c r="R5" s="59" t="s">
        <v>52</v>
      </c>
    </row>
    <row r="6" spans="1:18" s="5" customFormat="1" ht="16.5" customHeight="1" x14ac:dyDescent="0.3">
      <c r="A6" s="62" t="b">
        <v>1</v>
      </c>
      <c r="B6" s="63" t="s">
        <v>123</v>
      </c>
      <c r="C6" s="64">
        <v>100701001</v>
      </c>
      <c r="D6" s="62">
        <v>110</v>
      </c>
      <c r="E6" s="62">
        <v>1.034</v>
      </c>
      <c r="F6" s="62">
        <v>1</v>
      </c>
      <c r="G6" s="65">
        <v>44.78</v>
      </c>
      <c r="H6" s="62">
        <v>1E-3</v>
      </c>
      <c r="I6" s="62">
        <v>0.05</v>
      </c>
      <c r="J6" s="62">
        <v>1E-3</v>
      </c>
      <c r="K6" s="62">
        <v>0.05</v>
      </c>
      <c r="L6" s="66">
        <v>0.01</v>
      </c>
      <c r="M6" s="66">
        <v>220.13</v>
      </c>
      <c r="N6" s="66">
        <v>0.01</v>
      </c>
      <c r="O6" s="66">
        <v>0.123</v>
      </c>
      <c r="P6" s="62">
        <v>0.1</v>
      </c>
      <c r="Q6" s="62">
        <v>0.01</v>
      </c>
      <c r="R6" s="62">
        <v>0.1</v>
      </c>
    </row>
    <row r="7" spans="1:18" s="5" customFormat="1" ht="16.5" customHeight="1" x14ac:dyDescent="0.3">
      <c r="A7" s="62" t="b">
        <v>1</v>
      </c>
      <c r="B7" s="63" t="s">
        <v>124</v>
      </c>
      <c r="C7" s="67">
        <f>C6+1</f>
        <v>100701002</v>
      </c>
      <c r="D7" s="62">
        <f>INT(D$6*0.9)</f>
        <v>99</v>
      </c>
      <c r="E7" s="66">
        <f>E$6*0.95</f>
        <v>0.98229999999999995</v>
      </c>
      <c r="F7" s="62">
        <f>F6</f>
        <v>1</v>
      </c>
      <c r="G7" s="65">
        <f>G$6*0.95</f>
        <v>42.540999999999997</v>
      </c>
      <c r="H7" s="62">
        <f t="shared" ref="H7:I11" si="0">H6</f>
        <v>1E-3</v>
      </c>
      <c r="I7" s="62">
        <f t="shared" si="0"/>
        <v>0.05</v>
      </c>
      <c r="J7" s="62">
        <v>1E-3</v>
      </c>
      <c r="K7" s="62">
        <f>K6</f>
        <v>0.05</v>
      </c>
      <c r="L7" s="66">
        <f>L$6*0.95</f>
        <v>9.4999999999999998E-3</v>
      </c>
      <c r="M7" s="66">
        <f>M$6*1.004</f>
        <v>221.01051999999999</v>
      </c>
      <c r="N7" s="66">
        <f>N$6*0.95</f>
        <v>9.4999999999999998E-3</v>
      </c>
      <c r="O7" s="66">
        <f>O$6*0.95</f>
        <v>0.11685</v>
      </c>
      <c r="P7" s="62">
        <f t="shared" ref="P7:R11" si="1">P6</f>
        <v>0.1</v>
      </c>
      <c r="Q7" s="62">
        <f t="shared" si="1"/>
        <v>0.01</v>
      </c>
      <c r="R7" s="62">
        <f t="shared" si="1"/>
        <v>0.1</v>
      </c>
    </row>
    <row r="8" spans="1:18" s="5" customFormat="1" ht="16.5" customHeight="1" x14ac:dyDescent="0.3">
      <c r="A8" s="62" t="b">
        <v>1</v>
      </c>
      <c r="B8" s="63" t="s">
        <v>125</v>
      </c>
      <c r="C8" s="67">
        <f>C7+1</f>
        <v>100701003</v>
      </c>
      <c r="D8" s="62">
        <f>INT(D$6*0.95)</f>
        <v>104</v>
      </c>
      <c r="E8" s="66">
        <f>E$6*1.021</f>
        <v>1.055714</v>
      </c>
      <c r="F8" s="62">
        <f>F7</f>
        <v>1</v>
      </c>
      <c r="G8" s="65">
        <f>G$6*1.021</f>
        <v>45.720379999999999</v>
      </c>
      <c r="H8" s="62">
        <f t="shared" si="0"/>
        <v>1E-3</v>
      </c>
      <c r="I8" s="62">
        <f t="shared" si="0"/>
        <v>0.05</v>
      </c>
      <c r="J8" s="62">
        <v>1E-3</v>
      </c>
      <c r="K8" s="62">
        <f>K7</f>
        <v>0.05</v>
      </c>
      <c r="L8" s="66">
        <f>L$6*1.021</f>
        <v>1.0209999999999999E-2</v>
      </c>
      <c r="M8" s="66">
        <f>M$6*0.99</f>
        <v>217.92869999999999</v>
      </c>
      <c r="N8" s="66">
        <f>N$6*1.021</f>
        <v>1.0209999999999999E-2</v>
      </c>
      <c r="O8" s="66">
        <f>O$6*1.021</f>
        <v>0.125583</v>
      </c>
      <c r="P8" s="62">
        <f t="shared" si="1"/>
        <v>0.1</v>
      </c>
      <c r="Q8" s="62">
        <f t="shared" si="1"/>
        <v>0.01</v>
      </c>
      <c r="R8" s="62">
        <f t="shared" si="1"/>
        <v>0.1</v>
      </c>
    </row>
    <row r="9" spans="1:18" s="5" customFormat="1" ht="16.5" customHeight="1" x14ac:dyDescent="0.3">
      <c r="A9" s="62" t="b">
        <v>1</v>
      </c>
      <c r="B9" s="63" t="s">
        <v>126</v>
      </c>
      <c r="C9" s="67">
        <f>C8+1</f>
        <v>100701004</v>
      </c>
      <c r="D9" s="62">
        <f>INT(D$6*1.03)</f>
        <v>113</v>
      </c>
      <c r="E9" s="66">
        <f>E$6*0.989</f>
        <v>1.022626</v>
      </c>
      <c r="F9" s="62">
        <f>F8</f>
        <v>1</v>
      </c>
      <c r="G9" s="65">
        <f>G$6*0.989</f>
        <v>44.287419999999997</v>
      </c>
      <c r="H9" s="62">
        <f t="shared" si="0"/>
        <v>1E-3</v>
      </c>
      <c r="I9" s="62">
        <f t="shared" si="0"/>
        <v>0.05</v>
      </c>
      <c r="J9" s="62">
        <v>1E-3</v>
      </c>
      <c r="K9" s="62">
        <f>K8</f>
        <v>0.05</v>
      </c>
      <c r="L9" s="66">
        <f>L$6*0.989</f>
        <v>9.8899999999999995E-3</v>
      </c>
      <c r="M9" s="66">
        <f>M$6*0.989</f>
        <v>217.70856999999998</v>
      </c>
      <c r="N9" s="66">
        <f>N$6*0.989</f>
        <v>9.8899999999999995E-3</v>
      </c>
      <c r="O9" s="66">
        <f>O$6*0.989</f>
        <v>0.12164699999999999</v>
      </c>
      <c r="P9" s="62">
        <f t="shared" si="1"/>
        <v>0.1</v>
      </c>
      <c r="Q9" s="62">
        <f t="shared" si="1"/>
        <v>0.01</v>
      </c>
      <c r="R9" s="62">
        <f t="shared" si="1"/>
        <v>0.1</v>
      </c>
    </row>
    <row r="10" spans="1:18" s="5" customFormat="1" ht="16.5" customHeight="1" x14ac:dyDescent="0.3">
      <c r="A10" s="62" t="b">
        <v>1</v>
      </c>
      <c r="B10" s="63" t="s">
        <v>127</v>
      </c>
      <c r="C10" s="67">
        <f>C9+1</f>
        <v>100701005</v>
      </c>
      <c r="D10" s="62">
        <f>INT(D$6*1.1)</f>
        <v>121</v>
      </c>
      <c r="E10" s="66">
        <f>E$6*1.004</f>
        <v>1.0381359999999999</v>
      </c>
      <c r="F10" s="62">
        <f>F9</f>
        <v>1</v>
      </c>
      <c r="G10" s="65">
        <f>G$6*1.004</f>
        <v>44.959119999999999</v>
      </c>
      <c r="H10" s="62">
        <f t="shared" si="0"/>
        <v>1E-3</v>
      </c>
      <c r="I10" s="62">
        <f t="shared" si="0"/>
        <v>0.05</v>
      </c>
      <c r="J10" s="62">
        <v>1E-3</v>
      </c>
      <c r="K10" s="62">
        <f>K9</f>
        <v>0.05</v>
      </c>
      <c r="L10" s="66">
        <f>L$6*1.004</f>
        <v>1.004E-2</v>
      </c>
      <c r="M10" s="66">
        <f>M$6*0.95</f>
        <v>209.12349999999998</v>
      </c>
      <c r="N10" s="66">
        <f>N$6*1.004</f>
        <v>1.004E-2</v>
      </c>
      <c r="O10" s="66">
        <f>O$6*1.004</f>
        <v>0.123492</v>
      </c>
      <c r="P10" s="62">
        <f t="shared" si="1"/>
        <v>0.1</v>
      </c>
      <c r="Q10" s="62">
        <f t="shared" si="1"/>
        <v>0.01</v>
      </c>
      <c r="R10" s="62">
        <f t="shared" si="1"/>
        <v>0.1</v>
      </c>
    </row>
    <row r="11" spans="1:18" s="5" customFormat="1" ht="16.5" customHeight="1" x14ac:dyDescent="0.3">
      <c r="A11" s="62" t="b">
        <v>1</v>
      </c>
      <c r="B11" s="63" t="s">
        <v>128</v>
      </c>
      <c r="C11" s="67">
        <f>C10+1</f>
        <v>100701006</v>
      </c>
      <c r="D11" s="62">
        <f>INT(D$6*1.05)</f>
        <v>115</v>
      </c>
      <c r="E11" s="66">
        <f>E$6*0.99</f>
        <v>1.02366</v>
      </c>
      <c r="F11" s="62">
        <f>F10</f>
        <v>1</v>
      </c>
      <c r="G11" s="65">
        <f>G$6*0.99</f>
        <v>44.3322</v>
      </c>
      <c r="H11" s="62">
        <f t="shared" si="0"/>
        <v>1E-3</v>
      </c>
      <c r="I11" s="62">
        <f t="shared" si="0"/>
        <v>0.05</v>
      </c>
      <c r="J11" s="62">
        <v>1E-3</v>
      </c>
      <c r="K11" s="62">
        <f>K10</f>
        <v>0.05</v>
      </c>
      <c r="L11" s="66">
        <f>L$6*0.99</f>
        <v>9.9000000000000008E-3</v>
      </c>
      <c r="M11" s="66">
        <f>M$6*1.021</f>
        <v>224.75272999999999</v>
      </c>
      <c r="N11" s="66">
        <f>N$6*0.99</f>
        <v>9.9000000000000008E-3</v>
      </c>
      <c r="O11" s="66">
        <f>O$6*0.99</f>
        <v>0.12177</v>
      </c>
      <c r="P11" s="62">
        <f t="shared" si="1"/>
        <v>0.1</v>
      </c>
      <c r="Q11" s="62">
        <f t="shared" si="1"/>
        <v>0.01</v>
      </c>
      <c r="R11" s="62">
        <f t="shared" si="1"/>
        <v>0.1</v>
      </c>
    </row>
    <row r="12" spans="1:18" s="5" customFormat="1" ht="16.5" customHeight="1" x14ac:dyDescent="0.3">
      <c r="A12" s="68" t="b">
        <v>1</v>
      </c>
      <c r="B12" s="69" t="s">
        <v>101</v>
      </c>
      <c r="C12" s="64">
        <f>C6+1000</f>
        <v>100702001</v>
      </c>
      <c r="D12" s="68">
        <v>130</v>
      </c>
      <c r="E12" s="68">
        <v>1.321</v>
      </c>
      <c r="F12" s="68">
        <v>1</v>
      </c>
      <c r="G12" s="70">
        <v>62.47</v>
      </c>
      <c r="H12" s="68">
        <v>1E-3</v>
      </c>
      <c r="I12" s="68">
        <v>0.05</v>
      </c>
      <c r="J12" s="68">
        <v>1E-3</v>
      </c>
      <c r="K12" s="68">
        <v>0.05</v>
      </c>
      <c r="L12" s="71">
        <v>0.01</v>
      </c>
      <c r="M12" s="71">
        <v>264.95</v>
      </c>
      <c r="N12" s="71">
        <v>0.01</v>
      </c>
      <c r="O12" s="71">
        <v>0.16700000000000001</v>
      </c>
      <c r="P12" s="68">
        <v>0.1</v>
      </c>
      <c r="Q12" s="68">
        <v>0.01</v>
      </c>
      <c r="R12" s="68">
        <v>0.1</v>
      </c>
    </row>
    <row r="13" spans="1:18" s="5" customFormat="1" ht="16.5" customHeight="1" x14ac:dyDescent="0.3">
      <c r="A13" s="68" t="b">
        <v>1</v>
      </c>
      <c r="B13" s="69" t="s">
        <v>129</v>
      </c>
      <c r="C13" s="68">
        <f>C12+1</f>
        <v>100702002</v>
      </c>
      <c r="D13" s="68">
        <f>INT(D$12*1.1)</f>
        <v>143</v>
      </c>
      <c r="E13" s="71">
        <f>E$12*0.95</f>
        <v>1.2549499999999998</v>
      </c>
      <c r="F13" s="68">
        <f>F12</f>
        <v>1</v>
      </c>
      <c r="G13" s="70">
        <f>G$12*0.95</f>
        <v>59.346499999999999</v>
      </c>
      <c r="H13" s="68">
        <f t="shared" ref="H13:I17" si="2">H12</f>
        <v>1E-3</v>
      </c>
      <c r="I13" s="68">
        <f t="shared" si="2"/>
        <v>0.05</v>
      </c>
      <c r="J13" s="68">
        <v>1E-3</v>
      </c>
      <c r="K13" s="68">
        <f>K12</f>
        <v>0.05</v>
      </c>
      <c r="L13" s="71">
        <f>L$12*0.95</f>
        <v>9.4999999999999998E-3</v>
      </c>
      <c r="M13" s="71">
        <f>M$12*1.004</f>
        <v>266.00979999999998</v>
      </c>
      <c r="N13" s="71">
        <f>N$12*0.95</f>
        <v>9.4999999999999998E-3</v>
      </c>
      <c r="O13" s="71">
        <f>O$12*0.95</f>
        <v>0.15865000000000001</v>
      </c>
      <c r="P13" s="68">
        <f t="shared" ref="P13:R17" si="3">P12</f>
        <v>0.1</v>
      </c>
      <c r="Q13" s="68">
        <f t="shared" si="3"/>
        <v>0.01</v>
      </c>
      <c r="R13" s="68">
        <f t="shared" si="3"/>
        <v>0.1</v>
      </c>
    </row>
    <row r="14" spans="1:18" s="5" customFormat="1" ht="16.5" customHeight="1" x14ac:dyDescent="0.3">
      <c r="A14" s="68" t="b">
        <v>1</v>
      </c>
      <c r="B14" s="69" t="s">
        <v>103</v>
      </c>
      <c r="C14" s="68">
        <f>C13+1</f>
        <v>100702003</v>
      </c>
      <c r="D14" s="68">
        <f>INT(D$12*1.17)</f>
        <v>152</v>
      </c>
      <c r="E14" s="71">
        <f>E$12*0.99</f>
        <v>1.30779</v>
      </c>
      <c r="F14" s="68">
        <f>F13</f>
        <v>1</v>
      </c>
      <c r="G14" s="70">
        <f>G$12*0.99</f>
        <v>61.845300000000002</v>
      </c>
      <c r="H14" s="68">
        <f t="shared" si="2"/>
        <v>1E-3</v>
      </c>
      <c r="I14" s="68">
        <f t="shared" si="2"/>
        <v>0.05</v>
      </c>
      <c r="J14" s="68">
        <v>1E-3</v>
      </c>
      <c r="K14" s="68">
        <f>K13</f>
        <v>0.05</v>
      </c>
      <c r="L14" s="71">
        <f>L$12*0.99</f>
        <v>9.9000000000000008E-3</v>
      </c>
      <c r="M14" s="71">
        <f>M$12*0.967</f>
        <v>256.20664999999997</v>
      </c>
      <c r="N14" s="71">
        <f>N$12*0.99</f>
        <v>9.9000000000000008E-3</v>
      </c>
      <c r="O14" s="71">
        <f>O$12*0.99</f>
        <v>0.16533</v>
      </c>
      <c r="P14" s="68">
        <f t="shared" si="3"/>
        <v>0.1</v>
      </c>
      <c r="Q14" s="68">
        <f t="shared" si="3"/>
        <v>0.01</v>
      </c>
      <c r="R14" s="68">
        <f t="shared" si="3"/>
        <v>0.1</v>
      </c>
    </row>
    <row r="15" spans="1:18" s="5" customFormat="1" ht="16.5" customHeight="1" x14ac:dyDescent="0.3">
      <c r="A15" s="68" t="b">
        <v>1</v>
      </c>
      <c r="B15" s="69" t="s">
        <v>104</v>
      </c>
      <c r="C15" s="68">
        <f>C14+1</f>
        <v>100702004</v>
      </c>
      <c r="D15" s="68">
        <f>INT(D$12*0.92)</f>
        <v>119</v>
      </c>
      <c r="E15" s="71">
        <f>E$12*0.989</f>
        <v>1.3064689999999999</v>
      </c>
      <c r="F15" s="68">
        <f>F14</f>
        <v>1</v>
      </c>
      <c r="G15" s="70">
        <f>G$12*0.989</f>
        <v>61.782829999999997</v>
      </c>
      <c r="H15" s="68">
        <f t="shared" si="2"/>
        <v>1E-3</v>
      </c>
      <c r="I15" s="68">
        <f t="shared" si="2"/>
        <v>0.05</v>
      </c>
      <c r="J15" s="68">
        <v>1E-3</v>
      </c>
      <c r="K15" s="68">
        <f>K14</f>
        <v>0.05</v>
      </c>
      <c r="L15" s="71">
        <f>L$12*0.989</f>
        <v>9.8899999999999995E-3</v>
      </c>
      <c r="M15" s="71">
        <f>M$12*0.989</f>
        <v>262.03555</v>
      </c>
      <c r="N15" s="71">
        <f>N$12*0.989</f>
        <v>9.8899999999999995E-3</v>
      </c>
      <c r="O15" s="71">
        <f>O$12*0.989</f>
        <v>0.165163</v>
      </c>
      <c r="P15" s="68">
        <f t="shared" si="3"/>
        <v>0.1</v>
      </c>
      <c r="Q15" s="68">
        <f t="shared" si="3"/>
        <v>0.01</v>
      </c>
      <c r="R15" s="68">
        <f t="shared" si="3"/>
        <v>0.1</v>
      </c>
    </row>
    <row r="16" spans="1:18" s="5" customFormat="1" ht="16.5" customHeight="1" x14ac:dyDescent="0.3">
      <c r="A16" s="68" t="b">
        <v>1</v>
      </c>
      <c r="B16" s="69" t="s">
        <v>130</v>
      </c>
      <c r="C16" s="68">
        <f>C15+1</f>
        <v>100702005</v>
      </c>
      <c r="D16" s="68">
        <f>INT(D$12*0.97)</f>
        <v>126</v>
      </c>
      <c r="E16" s="71">
        <f>E$12*1.004</f>
        <v>1.326284</v>
      </c>
      <c r="F16" s="68">
        <f>F15</f>
        <v>1</v>
      </c>
      <c r="G16" s="70">
        <f>G$12*1.004</f>
        <v>62.719879999999996</v>
      </c>
      <c r="H16" s="68">
        <f t="shared" si="2"/>
        <v>1E-3</v>
      </c>
      <c r="I16" s="68">
        <f t="shared" si="2"/>
        <v>0.05</v>
      </c>
      <c r="J16" s="68">
        <v>1E-3</v>
      </c>
      <c r="K16" s="68">
        <f>K15</f>
        <v>0.05</v>
      </c>
      <c r="L16" s="71">
        <f>L$12*1.004</f>
        <v>1.004E-2</v>
      </c>
      <c r="M16" s="71">
        <f>M$12*0.95</f>
        <v>251.70249999999999</v>
      </c>
      <c r="N16" s="71">
        <f>N$12*1.004</f>
        <v>1.004E-2</v>
      </c>
      <c r="O16" s="71">
        <f>O$12*1.004</f>
        <v>0.16766800000000001</v>
      </c>
      <c r="P16" s="68">
        <f t="shared" si="3"/>
        <v>0.1</v>
      </c>
      <c r="Q16" s="68">
        <f t="shared" si="3"/>
        <v>0.01</v>
      </c>
      <c r="R16" s="68">
        <f t="shared" si="3"/>
        <v>0.1</v>
      </c>
    </row>
    <row r="17" spans="1:18" s="5" customFormat="1" ht="16.5" customHeight="1" x14ac:dyDescent="0.3">
      <c r="A17" s="68" t="b">
        <v>1</v>
      </c>
      <c r="B17" s="69" t="s">
        <v>131</v>
      </c>
      <c r="C17" s="68">
        <f>C16+1</f>
        <v>100702006</v>
      </c>
      <c r="D17" s="68">
        <f>INT(D$12*1.01)</f>
        <v>131</v>
      </c>
      <c r="E17" s="71">
        <f>E$12*0.967</f>
        <v>1.277407</v>
      </c>
      <c r="F17" s="68">
        <f>F16</f>
        <v>1</v>
      </c>
      <c r="G17" s="70">
        <f>G$12*0.967</f>
        <v>60.40849</v>
      </c>
      <c r="H17" s="68">
        <f t="shared" si="2"/>
        <v>1E-3</v>
      </c>
      <c r="I17" s="68">
        <f t="shared" si="2"/>
        <v>0.05</v>
      </c>
      <c r="J17" s="68">
        <v>1E-3</v>
      </c>
      <c r="K17" s="68">
        <f>K16</f>
        <v>0.05</v>
      </c>
      <c r="L17" s="71">
        <f>L$12*0.967</f>
        <v>9.6699999999999998E-3</v>
      </c>
      <c r="M17" s="71">
        <f>M$12*0.99</f>
        <v>262.3005</v>
      </c>
      <c r="N17" s="71">
        <f>N$12*0.967</f>
        <v>9.6699999999999998E-3</v>
      </c>
      <c r="O17" s="71">
        <f>O$12*0.967</f>
        <v>0.16148899999999999</v>
      </c>
      <c r="P17" s="68">
        <f t="shared" si="3"/>
        <v>0.1</v>
      </c>
      <c r="Q17" s="68">
        <f t="shared" si="3"/>
        <v>0.01</v>
      </c>
      <c r="R17" s="68">
        <f t="shared" si="3"/>
        <v>0.1</v>
      </c>
    </row>
    <row r="18" spans="1:18" s="5" customFormat="1" ht="16.5" customHeight="1" x14ac:dyDescent="0.3">
      <c r="A18" s="62" t="b">
        <v>1</v>
      </c>
      <c r="B18" s="63" t="s">
        <v>132</v>
      </c>
      <c r="C18" s="64">
        <f>C12+1000</f>
        <v>100703001</v>
      </c>
      <c r="D18" s="62">
        <v>160</v>
      </c>
      <c r="E18" s="62">
        <v>1.6160000000000001</v>
      </c>
      <c r="F18" s="62">
        <v>1</v>
      </c>
      <c r="G18" s="65">
        <v>84.56</v>
      </c>
      <c r="H18" s="62">
        <v>1E-3</v>
      </c>
      <c r="I18" s="62">
        <v>0.05</v>
      </c>
      <c r="J18" s="62">
        <v>1E-3</v>
      </c>
      <c r="K18" s="62">
        <v>0.05</v>
      </c>
      <c r="L18" s="66">
        <v>0.01</v>
      </c>
      <c r="M18" s="66">
        <v>317.89</v>
      </c>
      <c r="N18" s="66">
        <v>0.01</v>
      </c>
      <c r="O18" s="66">
        <v>0.20699999999999999</v>
      </c>
      <c r="P18" s="62">
        <v>0.1</v>
      </c>
      <c r="Q18" s="62">
        <v>0.01</v>
      </c>
      <c r="R18" s="62">
        <v>0.1</v>
      </c>
    </row>
    <row r="19" spans="1:18" s="5" customFormat="1" ht="16.5" customHeight="1" x14ac:dyDescent="0.3">
      <c r="A19" s="62" t="b">
        <v>1</v>
      </c>
      <c r="B19" s="63" t="s">
        <v>105</v>
      </c>
      <c r="C19" s="62">
        <f t="shared" ref="C19:C29" si="4">C18+1</f>
        <v>100703002</v>
      </c>
      <c r="D19" s="62">
        <f>INT(D$18*1.03)</f>
        <v>164</v>
      </c>
      <c r="E19" s="66">
        <f>E$18*0.95</f>
        <v>1.5352000000000001</v>
      </c>
      <c r="F19" s="62">
        <f>F18</f>
        <v>1</v>
      </c>
      <c r="G19" s="65">
        <f>G$18*0.95</f>
        <v>80.331999999999994</v>
      </c>
      <c r="H19" s="62">
        <f t="shared" ref="H19:I21" si="5">H18</f>
        <v>1E-3</v>
      </c>
      <c r="I19" s="62">
        <f t="shared" si="5"/>
        <v>0.05</v>
      </c>
      <c r="J19" s="62">
        <v>1E-3</v>
      </c>
      <c r="K19" s="62">
        <f>K18</f>
        <v>0.05</v>
      </c>
      <c r="L19" s="66">
        <f>L$18*0.95</f>
        <v>9.4999999999999998E-3</v>
      </c>
      <c r="M19" s="66">
        <f>M$18*0.95</f>
        <v>301.99549999999999</v>
      </c>
      <c r="N19" s="66">
        <f>N$18*0.95</f>
        <v>9.4999999999999998E-3</v>
      </c>
      <c r="O19" s="66">
        <f>O$18*0.95</f>
        <v>0.19664999999999999</v>
      </c>
      <c r="P19" s="62">
        <f t="shared" ref="P19:R21" si="6">P18</f>
        <v>0.1</v>
      </c>
      <c r="Q19" s="62">
        <f t="shared" si="6"/>
        <v>0.01</v>
      </c>
      <c r="R19" s="62">
        <f t="shared" si="6"/>
        <v>0.1</v>
      </c>
    </row>
    <row r="20" spans="1:18" s="5" customFormat="1" ht="16.5" customHeight="1" x14ac:dyDescent="0.3">
      <c r="A20" s="62" t="b">
        <v>1</v>
      </c>
      <c r="B20" s="63" t="s">
        <v>107</v>
      </c>
      <c r="C20" s="62">
        <f t="shared" si="4"/>
        <v>100703003</v>
      </c>
      <c r="D20" s="62">
        <f>INT(D$18*0.92)</f>
        <v>147</v>
      </c>
      <c r="E20" s="66">
        <f>E$18*1.004</f>
        <v>1.6224640000000001</v>
      </c>
      <c r="F20" s="62">
        <f>F19</f>
        <v>1</v>
      </c>
      <c r="G20" s="65">
        <f>G$18*1.004</f>
        <v>84.898240000000001</v>
      </c>
      <c r="H20" s="62">
        <f t="shared" si="5"/>
        <v>1E-3</v>
      </c>
      <c r="I20" s="62">
        <f t="shared" si="5"/>
        <v>0.05</v>
      </c>
      <c r="J20" s="62">
        <v>1E-3</v>
      </c>
      <c r="K20" s="62">
        <f>K19</f>
        <v>0.05</v>
      </c>
      <c r="L20" s="66">
        <f>L$18*1.004</f>
        <v>1.004E-2</v>
      </c>
      <c r="M20" s="66">
        <f>M$18*1.004</f>
        <v>319.16156000000001</v>
      </c>
      <c r="N20" s="66">
        <f>N$18*1.004</f>
        <v>1.004E-2</v>
      </c>
      <c r="O20" s="66">
        <f>O$18*1.004</f>
        <v>0.20782799999999998</v>
      </c>
      <c r="P20" s="62">
        <f t="shared" si="6"/>
        <v>0.1</v>
      </c>
      <c r="Q20" s="62">
        <f t="shared" si="6"/>
        <v>0.01</v>
      </c>
      <c r="R20" s="62">
        <f t="shared" si="6"/>
        <v>0.1</v>
      </c>
    </row>
    <row r="21" spans="1:18" s="5" customFormat="1" ht="16.5" customHeight="1" x14ac:dyDescent="0.3">
      <c r="A21" s="62" t="b">
        <v>1</v>
      </c>
      <c r="B21" s="63" t="s">
        <v>109</v>
      </c>
      <c r="C21" s="62">
        <f t="shared" si="4"/>
        <v>100703004</v>
      </c>
      <c r="D21" s="62">
        <f>INT(D$18*1.08)</f>
        <v>172</v>
      </c>
      <c r="E21" s="66">
        <f>E$18*0.989</f>
        <v>1.5982240000000001</v>
      </c>
      <c r="F21" s="62">
        <f>F20</f>
        <v>1</v>
      </c>
      <c r="G21" s="65">
        <f>G$18*0.989</f>
        <v>83.629840000000002</v>
      </c>
      <c r="H21" s="62">
        <f t="shared" si="5"/>
        <v>1E-3</v>
      </c>
      <c r="I21" s="62">
        <f t="shared" si="5"/>
        <v>0.05</v>
      </c>
      <c r="J21" s="62">
        <v>1E-3</v>
      </c>
      <c r="K21" s="62">
        <f>K20</f>
        <v>0.05</v>
      </c>
      <c r="L21" s="66">
        <f>L$18*0.989</f>
        <v>9.8899999999999995E-3</v>
      </c>
      <c r="M21" s="66">
        <f>M$18*0.989</f>
        <v>314.39321000000001</v>
      </c>
      <c r="N21" s="66">
        <f>N$18*0.989</f>
        <v>9.8899999999999995E-3</v>
      </c>
      <c r="O21" s="66">
        <f>O$18*0.989</f>
        <v>0.20472299999999999</v>
      </c>
      <c r="P21" s="62">
        <f t="shared" si="6"/>
        <v>0.1</v>
      </c>
      <c r="Q21" s="62">
        <f t="shared" si="6"/>
        <v>0.01</v>
      </c>
      <c r="R21" s="62">
        <f t="shared" si="6"/>
        <v>0.1</v>
      </c>
    </row>
    <row r="22" spans="1:18" s="5" customFormat="1" ht="16.5" customHeight="1" x14ac:dyDescent="0.3">
      <c r="A22" s="72" t="b">
        <v>0</v>
      </c>
      <c r="B22" s="73" t="s">
        <v>102</v>
      </c>
      <c r="C22" s="72">
        <f t="shared" si="4"/>
        <v>100703005</v>
      </c>
      <c r="D22" s="72">
        <v>190</v>
      </c>
      <c r="E22" s="72">
        <v>1.9079999999999999</v>
      </c>
      <c r="F22" s="72">
        <v>1</v>
      </c>
      <c r="G22" s="74">
        <v>105.26</v>
      </c>
      <c r="H22" s="72">
        <v>1E-3</v>
      </c>
      <c r="I22" s="72">
        <v>0.05</v>
      </c>
      <c r="J22" s="72">
        <v>1E-3</v>
      </c>
      <c r="K22" s="72">
        <v>0.05</v>
      </c>
      <c r="L22" s="75">
        <v>0.01</v>
      </c>
      <c r="M22" s="75">
        <v>361.48</v>
      </c>
      <c r="N22" s="75">
        <v>0.01</v>
      </c>
      <c r="O22" s="75">
        <v>0.23899999999999999</v>
      </c>
      <c r="P22" s="72">
        <v>0.1</v>
      </c>
      <c r="Q22" s="72">
        <v>0.01</v>
      </c>
      <c r="R22" s="72">
        <v>0.1</v>
      </c>
    </row>
    <row r="23" spans="1:18" s="5" customFormat="1" ht="16.5" customHeight="1" x14ac:dyDescent="0.3">
      <c r="A23" s="72" t="b">
        <v>0</v>
      </c>
      <c r="B23" s="73" t="s">
        <v>163</v>
      </c>
      <c r="C23" s="72">
        <f t="shared" si="4"/>
        <v>100703006</v>
      </c>
      <c r="D23" s="76">
        <f>INT(D$22*1.03)</f>
        <v>195</v>
      </c>
      <c r="E23" s="75">
        <f>E$22*0.959</f>
        <v>1.829772</v>
      </c>
      <c r="F23" s="76">
        <f t="shared" ref="F23:F29" si="7">F22</f>
        <v>1</v>
      </c>
      <c r="G23" s="74">
        <f>G$22*0.959</f>
        <v>100.94434</v>
      </c>
      <c r="H23" s="76">
        <f t="shared" ref="H23:I29" si="8">H22</f>
        <v>1E-3</v>
      </c>
      <c r="I23" s="76">
        <f t="shared" si="8"/>
        <v>0.05</v>
      </c>
      <c r="J23" s="76">
        <v>1E-3</v>
      </c>
      <c r="K23" s="76">
        <f t="shared" ref="K23:K29" si="9">K22</f>
        <v>0.05</v>
      </c>
      <c r="L23" s="75">
        <f>L$22*0.959</f>
        <v>9.5899999999999996E-3</v>
      </c>
      <c r="M23" s="75">
        <f>M$22*0.967</f>
        <v>349.55115999999998</v>
      </c>
      <c r="N23" s="75">
        <f>N$22*0.959</f>
        <v>9.5899999999999996E-3</v>
      </c>
      <c r="O23" s="75">
        <f>O$22*0.959</f>
        <v>0.22920099999999999</v>
      </c>
      <c r="P23" s="76">
        <f t="shared" ref="P23:R29" si="10">P22</f>
        <v>0.1</v>
      </c>
      <c r="Q23" s="76">
        <f t="shared" si="10"/>
        <v>0.01</v>
      </c>
      <c r="R23" s="76">
        <f t="shared" si="10"/>
        <v>0.1</v>
      </c>
    </row>
    <row r="24" spans="1:18" s="5" customFormat="1" ht="16.5" customHeight="1" x14ac:dyDescent="0.3">
      <c r="A24" s="72" t="b">
        <v>0</v>
      </c>
      <c r="B24" s="73" t="s">
        <v>164</v>
      </c>
      <c r="C24" s="72">
        <f t="shared" si="4"/>
        <v>100703007</v>
      </c>
      <c r="D24" s="76">
        <f>INT(D$22*0.85)</f>
        <v>161</v>
      </c>
      <c r="E24" s="75">
        <f>E$22*0.953</f>
        <v>1.8183239999999998</v>
      </c>
      <c r="F24" s="76">
        <f t="shared" si="7"/>
        <v>1</v>
      </c>
      <c r="G24" s="74">
        <f>G$22*0.953</f>
        <v>100.31278</v>
      </c>
      <c r="H24" s="76">
        <f t="shared" si="8"/>
        <v>1E-3</v>
      </c>
      <c r="I24" s="76">
        <f t="shared" si="8"/>
        <v>0.05</v>
      </c>
      <c r="J24" s="76">
        <v>1E-3</v>
      </c>
      <c r="K24" s="76">
        <f t="shared" si="9"/>
        <v>0.05</v>
      </c>
      <c r="L24" s="75">
        <f>L$22*0.953</f>
        <v>9.5300000000000003E-3</v>
      </c>
      <c r="M24" s="75">
        <f>M$22*0.967</f>
        <v>349.55115999999998</v>
      </c>
      <c r="N24" s="75">
        <f>N$22*0.953</f>
        <v>9.5300000000000003E-3</v>
      </c>
      <c r="O24" s="75">
        <f>O$22*0.953</f>
        <v>0.22776699999999997</v>
      </c>
      <c r="P24" s="76">
        <f t="shared" si="10"/>
        <v>0.1</v>
      </c>
      <c r="Q24" s="76">
        <f t="shared" si="10"/>
        <v>0.01</v>
      </c>
      <c r="R24" s="76">
        <f t="shared" si="10"/>
        <v>0.1</v>
      </c>
    </row>
    <row r="25" spans="1:18" s="5" customFormat="1" ht="16.5" customHeight="1" x14ac:dyDescent="0.3">
      <c r="A25" s="72" t="b">
        <v>0</v>
      </c>
      <c r="B25" s="73" t="s">
        <v>165</v>
      </c>
      <c r="C25" s="72">
        <f t="shared" si="4"/>
        <v>100703008</v>
      </c>
      <c r="D25" s="76">
        <f>INT(D$22*1.13)</f>
        <v>214</v>
      </c>
      <c r="E25" s="75">
        <f>E$22*0.989</f>
        <v>1.8870119999999999</v>
      </c>
      <c r="F25" s="76">
        <f t="shared" si="7"/>
        <v>1</v>
      </c>
      <c r="G25" s="74">
        <f>G$22*0.989</f>
        <v>104.10214000000001</v>
      </c>
      <c r="H25" s="76">
        <f t="shared" si="8"/>
        <v>1E-3</v>
      </c>
      <c r="I25" s="76">
        <f t="shared" si="8"/>
        <v>0.05</v>
      </c>
      <c r="J25" s="76">
        <v>1E-3</v>
      </c>
      <c r="K25" s="76">
        <f t="shared" si="9"/>
        <v>0.05</v>
      </c>
      <c r="L25" s="75">
        <f>L$22*0.989</f>
        <v>9.8899999999999995E-3</v>
      </c>
      <c r="M25" s="75">
        <f>M$22*1.011</f>
        <v>365.45627999999999</v>
      </c>
      <c r="N25" s="75">
        <f>N$22*0.989</f>
        <v>9.8899999999999995E-3</v>
      </c>
      <c r="O25" s="75">
        <f>O$22*0.989</f>
        <v>0.236371</v>
      </c>
      <c r="P25" s="76">
        <f t="shared" si="10"/>
        <v>0.1</v>
      </c>
      <c r="Q25" s="76">
        <f t="shared" si="10"/>
        <v>0.01</v>
      </c>
      <c r="R25" s="76">
        <f t="shared" si="10"/>
        <v>0.1</v>
      </c>
    </row>
    <row r="26" spans="1:18" s="5" customFormat="1" ht="16.5" customHeight="1" x14ac:dyDescent="0.3">
      <c r="A26" s="72" t="b">
        <v>0</v>
      </c>
      <c r="B26" s="73" t="s">
        <v>111</v>
      </c>
      <c r="C26" s="72">
        <f t="shared" si="4"/>
        <v>100703009</v>
      </c>
      <c r="D26" s="76">
        <f>INT(D$22*1.07)</f>
        <v>203</v>
      </c>
      <c r="E26" s="75">
        <f>E$22*1.006</f>
        <v>1.9194479999999998</v>
      </c>
      <c r="F26" s="76">
        <f t="shared" si="7"/>
        <v>1</v>
      </c>
      <c r="G26" s="74">
        <f>G$22*1.006</f>
        <v>105.89156000000001</v>
      </c>
      <c r="H26" s="76">
        <f t="shared" si="8"/>
        <v>1E-3</v>
      </c>
      <c r="I26" s="76">
        <f t="shared" si="8"/>
        <v>0.05</v>
      </c>
      <c r="J26" s="76">
        <v>1E-3</v>
      </c>
      <c r="K26" s="76">
        <f t="shared" si="9"/>
        <v>0.05</v>
      </c>
      <c r="L26" s="75">
        <f>L$22*1.006</f>
        <v>1.0059999999999999E-2</v>
      </c>
      <c r="M26" s="75">
        <f>M$22*1.006</f>
        <v>363.64888000000002</v>
      </c>
      <c r="N26" s="75">
        <f>N$22*1.006</f>
        <v>1.0059999999999999E-2</v>
      </c>
      <c r="O26" s="75">
        <f>O$22*1.006</f>
        <v>0.24043399999999998</v>
      </c>
      <c r="P26" s="76">
        <f t="shared" si="10"/>
        <v>0.1</v>
      </c>
      <c r="Q26" s="76">
        <f t="shared" si="10"/>
        <v>0.01</v>
      </c>
      <c r="R26" s="76">
        <f t="shared" si="10"/>
        <v>0.1</v>
      </c>
    </row>
    <row r="27" spans="1:18" s="5" customFormat="1" ht="16.5" customHeight="1" x14ac:dyDescent="0.3">
      <c r="A27" s="72" t="b">
        <v>0</v>
      </c>
      <c r="B27" s="73" t="s">
        <v>106</v>
      </c>
      <c r="C27" s="72">
        <f t="shared" si="4"/>
        <v>100703010</v>
      </c>
      <c r="D27" s="76">
        <f>INT(D$22*0.93)</f>
        <v>176</v>
      </c>
      <c r="E27" s="75">
        <f>E$22*0.967</f>
        <v>1.8450359999999999</v>
      </c>
      <c r="F27" s="76">
        <f t="shared" si="7"/>
        <v>1</v>
      </c>
      <c r="G27" s="74">
        <f>G$22*0.967</f>
        <v>101.78642000000001</v>
      </c>
      <c r="H27" s="76">
        <f t="shared" si="8"/>
        <v>1E-3</v>
      </c>
      <c r="I27" s="76">
        <f t="shared" si="8"/>
        <v>0.05</v>
      </c>
      <c r="J27" s="76">
        <v>1E-3</v>
      </c>
      <c r="K27" s="76">
        <f t="shared" si="9"/>
        <v>0.05</v>
      </c>
      <c r="L27" s="75">
        <f>L$22*0.967</f>
        <v>9.6699999999999998E-3</v>
      </c>
      <c r="M27" s="75">
        <f>M$22*0.959</f>
        <v>346.65931999999998</v>
      </c>
      <c r="N27" s="75">
        <f>N$22*0.967</f>
        <v>9.6699999999999998E-3</v>
      </c>
      <c r="O27" s="75">
        <f>O$22*0.967</f>
        <v>0.23111299999999999</v>
      </c>
      <c r="P27" s="76">
        <f t="shared" si="10"/>
        <v>0.1</v>
      </c>
      <c r="Q27" s="76">
        <f t="shared" si="10"/>
        <v>0.01</v>
      </c>
      <c r="R27" s="76">
        <f t="shared" si="10"/>
        <v>0.1</v>
      </c>
    </row>
    <row r="28" spans="1:18" s="5" customFormat="1" ht="16.5" customHeight="1" x14ac:dyDescent="0.3">
      <c r="A28" s="72" t="b">
        <v>0</v>
      </c>
      <c r="B28" s="73" t="s">
        <v>108</v>
      </c>
      <c r="C28" s="72">
        <f t="shared" si="4"/>
        <v>100703011</v>
      </c>
      <c r="D28" s="76">
        <f>INT(D$22*1.19)</f>
        <v>226</v>
      </c>
      <c r="E28" s="75">
        <f>E$22*0.967</f>
        <v>1.8450359999999999</v>
      </c>
      <c r="F28" s="76">
        <f t="shared" si="7"/>
        <v>1</v>
      </c>
      <c r="G28" s="74">
        <f>G$22*0.967</f>
        <v>101.78642000000001</v>
      </c>
      <c r="H28" s="76">
        <f t="shared" si="8"/>
        <v>1E-3</v>
      </c>
      <c r="I28" s="76">
        <f t="shared" si="8"/>
        <v>0.05</v>
      </c>
      <c r="J28" s="76">
        <v>1E-3</v>
      </c>
      <c r="K28" s="76">
        <f t="shared" si="9"/>
        <v>0.05</v>
      </c>
      <c r="L28" s="75">
        <f>L$22*0.967</f>
        <v>9.6699999999999998E-3</v>
      </c>
      <c r="M28" s="75">
        <f>M$22*0.953</f>
        <v>344.49043999999998</v>
      </c>
      <c r="N28" s="75">
        <f>N$22*0.967</f>
        <v>9.6699999999999998E-3</v>
      </c>
      <c r="O28" s="75">
        <f>O$22*0.967</f>
        <v>0.23111299999999999</v>
      </c>
      <c r="P28" s="76">
        <f t="shared" si="10"/>
        <v>0.1</v>
      </c>
      <c r="Q28" s="76">
        <f t="shared" si="10"/>
        <v>0.01</v>
      </c>
      <c r="R28" s="76">
        <f t="shared" si="10"/>
        <v>0.1</v>
      </c>
    </row>
    <row r="29" spans="1:18" s="5" customFormat="1" ht="16.5" customHeight="1" x14ac:dyDescent="0.3">
      <c r="A29" s="72" t="b">
        <v>0</v>
      </c>
      <c r="B29" s="73" t="s">
        <v>110</v>
      </c>
      <c r="C29" s="72">
        <f t="shared" si="4"/>
        <v>100703012</v>
      </c>
      <c r="D29" s="76">
        <f>INT(D$22*0.96)</f>
        <v>182</v>
      </c>
      <c r="E29" s="75">
        <f>E$22*1.011</f>
        <v>1.9289879999999997</v>
      </c>
      <c r="F29" s="76">
        <f t="shared" si="7"/>
        <v>1</v>
      </c>
      <c r="G29" s="74">
        <f>G$22*1.011</f>
        <v>106.41785999999999</v>
      </c>
      <c r="H29" s="76">
        <f t="shared" si="8"/>
        <v>1E-3</v>
      </c>
      <c r="I29" s="76">
        <f t="shared" si="8"/>
        <v>0.05</v>
      </c>
      <c r="J29" s="76">
        <v>1E-3</v>
      </c>
      <c r="K29" s="76">
        <f t="shared" si="9"/>
        <v>0.05</v>
      </c>
      <c r="L29" s="75">
        <f>L$22*1.011</f>
        <v>1.0109999999999999E-2</v>
      </c>
      <c r="M29" s="75">
        <f>M$22*0.989</f>
        <v>357.50371999999999</v>
      </c>
      <c r="N29" s="75">
        <f>N$22*1.011</f>
        <v>1.0109999999999999E-2</v>
      </c>
      <c r="O29" s="75">
        <f>O$22*1.011</f>
        <v>0.24162899999999995</v>
      </c>
      <c r="P29" s="76">
        <f t="shared" si="10"/>
        <v>0.1</v>
      </c>
      <c r="Q29" s="76">
        <f t="shared" si="10"/>
        <v>0.01</v>
      </c>
      <c r="R29" s="76">
        <f t="shared" si="10"/>
        <v>0.1</v>
      </c>
    </row>
  </sheetData>
  <autoFilter ref="B2:R21"/>
  <phoneticPr fontId="30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E5"/>
    </sheetView>
  </sheetViews>
  <sheetFormatPr defaultColWidth="9" defaultRowHeight="16.5" customHeight="1" x14ac:dyDescent="0.3"/>
  <cols>
    <col min="1" max="1" width="22.625" bestFit="1" customWidth="1"/>
    <col min="2" max="2" width="22.625" style="1" bestFit="1" customWidth="1"/>
    <col min="3" max="3" width="8.625" style="1" bestFit="1" customWidth="1"/>
    <col min="4" max="4" width="14.125" style="1" bestFit="1" customWidth="1"/>
    <col min="5" max="5" width="24.875" style="1" bestFit="1" customWidth="1"/>
  </cols>
  <sheetData>
    <row r="1" spans="1:5" ht="16.5" customHeight="1" x14ac:dyDescent="0.3">
      <c r="A1" s="6" t="s">
        <v>167</v>
      </c>
      <c r="B1" s="2" t="s">
        <v>167</v>
      </c>
      <c r="C1" s="7"/>
      <c r="D1" s="8"/>
      <c r="E1" s="8"/>
    </row>
    <row r="2" spans="1:5" ht="16.5" customHeight="1" x14ac:dyDescent="0.3">
      <c r="A2" s="9" t="s">
        <v>70</v>
      </c>
      <c r="B2" s="9" t="s">
        <v>70</v>
      </c>
      <c r="C2" s="9" t="s">
        <v>70</v>
      </c>
      <c r="D2" s="9" t="s">
        <v>70</v>
      </c>
      <c r="E2" s="9" t="s">
        <v>70</v>
      </c>
    </row>
    <row r="3" spans="1:5" ht="16.5" customHeight="1" x14ac:dyDescent="0.3">
      <c r="A3" s="10" t="s">
        <v>23</v>
      </c>
      <c r="B3" s="11" t="s">
        <v>23</v>
      </c>
      <c r="C3" s="10" t="s">
        <v>24</v>
      </c>
      <c r="D3" s="10" t="s">
        <v>24</v>
      </c>
      <c r="E3" s="10" t="s">
        <v>24</v>
      </c>
    </row>
    <row r="4" spans="1:5" ht="16.5" customHeight="1" x14ac:dyDescent="0.3">
      <c r="A4" s="28" t="s">
        <v>25</v>
      </c>
      <c r="B4" s="28" t="s">
        <v>26</v>
      </c>
      <c r="C4" s="28" t="s">
        <v>27</v>
      </c>
      <c r="D4" s="28" t="s">
        <v>27</v>
      </c>
      <c r="E4" s="28" t="s">
        <v>27</v>
      </c>
    </row>
    <row r="5" spans="1:5" ht="16.5" customHeight="1" x14ac:dyDescent="0.3">
      <c r="A5" s="32" t="s">
        <v>29</v>
      </c>
      <c r="B5" s="32" t="s">
        <v>30</v>
      </c>
      <c r="C5" s="32" t="s">
        <v>168</v>
      </c>
      <c r="D5" s="32" t="s">
        <v>169</v>
      </c>
      <c r="E5" s="32" t="s">
        <v>170</v>
      </c>
    </row>
    <row r="6" spans="1:5" ht="16.5" customHeight="1" x14ac:dyDescent="0.3">
      <c r="A6" s="21" t="b">
        <v>1</v>
      </c>
      <c r="B6" s="22" t="s">
        <v>71</v>
      </c>
      <c r="C6" s="21">
        <v>1</v>
      </c>
      <c r="D6" s="23">
        <v>0</v>
      </c>
      <c r="E6" s="23">
        <v>72</v>
      </c>
    </row>
    <row r="7" spans="1:5" ht="16.5" customHeight="1" x14ac:dyDescent="0.3">
      <c r="A7" s="21" t="b">
        <v>1</v>
      </c>
      <c r="B7" s="22" t="s">
        <v>72</v>
      </c>
      <c r="C7" s="21">
        <v>2</v>
      </c>
      <c r="D7" s="23">
        <v>72</v>
      </c>
      <c r="E7" s="23">
        <v>113</v>
      </c>
    </row>
    <row r="8" spans="1:5" ht="16.5" customHeight="1" x14ac:dyDescent="0.3">
      <c r="A8" s="21" t="b">
        <v>1</v>
      </c>
      <c r="B8" s="22" t="s">
        <v>73</v>
      </c>
      <c r="C8" s="21">
        <v>3</v>
      </c>
      <c r="D8" s="23">
        <v>185</v>
      </c>
      <c r="E8" s="23">
        <v>158</v>
      </c>
    </row>
    <row r="9" spans="1:5" ht="16.5" customHeight="1" x14ac:dyDescent="0.3">
      <c r="A9" s="21" t="b">
        <v>1</v>
      </c>
      <c r="B9" s="22" t="s">
        <v>74</v>
      </c>
      <c r="C9" s="21">
        <v>4</v>
      </c>
      <c r="D9" s="23">
        <v>343</v>
      </c>
      <c r="E9" s="23">
        <v>165</v>
      </c>
    </row>
    <row r="10" spans="1:5" ht="16.5" customHeight="1" x14ac:dyDescent="0.3">
      <c r="A10" s="21" t="b">
        <v>1</v>
      </c>
      <c r="B10" s="22" t="s">
        <v>75</v>
      </c>
      <c r="C10" s="21">
        <v>5</v>
      </c>
      <c r="D10" s="23">
        <v>508</v>
      </c>
      <c r="E10" s="23">
        <v>259</v>
      </c>
    </row>
    <row r="11" spans="1:5" ht="16.5" customHeight="1" x14ac:dyDescent="0.3">
      <c r="A11" s="21" t="b">
        <v>1</v>
      </c>
      <c r="B11" s="22" t="s">
        <v>76</v>
      </c>
      <c r="C11" s="21">
        <v>6</v>
      </c>
      <c r="D11" s="23">
        <v>767</v>
      </c>
      <c r="E11" s="23">
        <v>315</v>
      </c>
    </row>
    <row r="12" spans="1:5" ht="16.5" customHeight="1" x14ac:dyDescent="0.3">
      <c r="A12" s="21" t="b">
        <v>1</v>
      </c>
      <c r="B12" s="22" t="s">
        <v>77</v>
      </c>
      <c r="C12" s="21">
        <v>7</v>
      </c>
      <c r="D12" s="23">
        <v>1082</v>
      </c>
      <c r="E12" s="23">
        <v>374</v>
      </c>
    </row>
    <row r="13" spans="1:5" ht="16.5" customHeight="1" x14ac:dyDescent="0.3">
      <c r="A13" s="21" t="b">
        <v>1</v>
      </c>
      <c r="B13" s="22" t="s">
        <v>78</v>
      </c>
      <c r="C13" s="21">
        <v>8</v>
      </c>
      <c r="D13" s="23">
        <v>1456</v>
      </c>
      <c r="E13" s="23">
        <v>486</v>
      </c>
    </row>
    <row r="14" spans="1:5" ht="16.5" customHeight="1" x14ac:dyDescent="0.3">
      <c r="A14" s="21" t="b">
        <v>1</v>
      </c>
      <c r="B14" s="22" t="s">
        <v>79</v>
      </c>
      <c r="C14" s="21">
        <v>9</v>
      </c>
      <c r="D14" s="23">
        <v>1942</v>
      </c>
      <c r="E14" s="23">
        <v>604</v>
      </c>
    </row>
    <row r="15" spans="1:5" ht="16.5" customHeight="1" x14ac:dyDescent="0.3">
      <c r="A15" s="21" t="b">
        <v>1</v>
      </c>
      <c r="B15" s="22" t="s">
        <v>80</v>
      </c>
      <c r="C15" s="21">
        <v>10</v>
      </c>
      <c r="D15" s="23">
        <v>2546</v>
      </c>
      <c r="E15" s="23">
        <v>756</v>
      </c>
    </row>
    <row r="16" spans="1:5" ht="16.5" customHeight="1" x14ac:dyDescent="0.3">
      <c r="A16" s="21" t="b">
        <v>1</v>
      </c>
      <c r="B16" s="22" t="s">
        <v>81</v>
      </c>
      <c r="C16" s="21">
        <v>11</v>
      </c>
      <c r="D16" s="23">
        <v>3302</v>
      </c>
      <c r="E16" s="23">
        <v>1009</v>
      </c>
    </row>
    <row r="17" spans="1:5" ht="16.5" customHeight="1" x14ac:dyDescent="0.3">
      <c r="A17" s="21" t="b">
        <v>1</v>
      </c>
      <c r="B17" s="22" t="s">
        <v>82</v>
      </c>
      <c r="C17" s="21">
        <v>12</v>
      </c>
      <c r="D17" s="23">
        <v>4311</v>
      </c>
      <c r="E17" s="23">
        <v>1247</v>
      </c>
    </row>
    <row r="18" spans="1:5" ht="16.5" customHeight="1" x14ac:dyDescent="0.3">
      <c r="A18" s="21" t="b">
        <v>1</v>
      </c>
      <c r="B18" s="22" t="s">
        <v>83</v>
      </c>
      <c r="C18" s="21">
        <v>13</v>
      </c>
      <c r="D18" s="23">
        <v>5558</v>
      </c>
      <c r="E18" s="23">
        <v>1437</v>
      </c>
    </row>
    <row r="19" spans="1:5" ht="16.5" customHeight="1" x14ac:dyDescent="0.3">
      <c r="A19" s="21" t="b">
        <v>1</v>
      </c>
      <c r="B19" s="22" t="s">
        <v>84</v>
      </c>
      <c r="C19" s="21">
        <v>14</v>
      </c>
      <c r="D19" s="23">
        <v>6995</v>
      </c>
      <c r="E19" s="23">
        <v>1775</v>
      </c>
    </row>
    <row r="20" spans="1:5" ht="16.5" customHeight="1" x14ac:dyDescent="0.3">
      <c r="A20" s="21" t="b">
        <v>1</v>
      </c>
      <c r="B20" s="22" t="s">
        <v>85</v>
      </c>
      <c r="C20" s="21">
        <v>15</v>
      </c>
      <c r="D20" s="23">
        <v>8770</v>
      </c>
      <c r="E20" s="23">
        <v>2066</v>
      </c>
    </row>
    <row r="21" spans="1:5" ht="16.5" customHeight="1" x14ac:dyDescent="0.3">
      <c r="A21" s="21" t="b">
        <v>1</v>
      </c>
      <c r="B21" s="22" t="s">
        <v>86</v>
      </c>
      <c r="C21" s="21">
        <v>16</v>
      </c>
      <c r="D21" s="23">
        <v>10836</v>
      </c>
      <c r="E21" s="23">
        <v>2376</v>
      </c>
    </row>
    <row r="22" spans="1:5" ht="16.5" customHeight="1" x14ac:dyDescent="0.3">
      <c r="A22" s="21" t="b">
        <v>1</v>
      </c>
      <c r="B22" s="22" t="s">
        <v>87</v>
      </c>
      <c r="C22" s="21">
        <v>17</v>
      </c>
      <c r="D22" s="23">
        <v>13212</v>
      </c>
      <c r="E22" s="23">
        <v>2779</v>
      </c>
    </row>
    <row r="23" spans="1:5" ht="16.5" customHeight="1" x14ac:dyDescent="0.3">
      <c r="A23" s="21" t="b">
        <v>1</v>
      </c>
      <c r="B23" s="22" t="s">
        <v>88</v>
      </c>
      <c r="C23" s="21">
        <v>18</v>
      </c>
      <c r="D23" s="23">
        <v>15991</v>
      </c>
      <c r="E23" s="23">
        <v>3207</v>
      </c>
    </row>
    <row r="24" spans="1:5" ht="16.5" customHeight="1" x14ac:dyDescent="0.3">
      <c r="A24" s="21" t="b">
        <v>1</v>
      </c>
      <c r="B24" s="22" t="s">
        <v>89</v>
      </c>
      <c r="C24" s="21">
        <v>19</v>
      </c>
      <c r="D24" s="23">
        <v>19198</v>
      </c>
      <c r="E24" s="23">
        <v>3658</v>
      </c>
    </row>
    <row r="25" spans="1:5" ht="16.5" customHeight="1" x14ac:dyDescent="0.3">
      <c r="A25" s="21" t="b">
        <v>1</v>
      </c>
      <c r="B25" s="22" t="s">
        <v>90</v>
      </c>
      <c r="C25" s="21">
        <v>20</v>
      </c>
      <c r="D25" s="23">
        <v>22856</v>
      </c>
      <c r="E25" s="23">
        <v>4365</v>
      </c>
    </row>
    <row r="26" spans="1:5" ht="16.5" customHeight="1" x14ac:dyDescent="0.3">
      <c r="A26" s="21" t="b">
        <v>1</v>
      </c>
      <c r="B26" s="22" t="s">
        <v>91</v>
      </c>
      <c r="C26" s="21">
        <v>21</v>
      </c>
      <c r="D26" s="23">
        <v>27221</v>
      </c>
      <c r="E26" s="23">
        <v>5292</v>
      </c>
    </row>
    <row r="27" spans="1:5" ht="16.5" customHeight="1" x14ac:dyDescent="0.3">
      <c r="A27" s="21" t="b">
        <v>1</v>
      </c>
      <c r="B27" s="22" t="s">
        <v>92</v>
      </c>
      <c r="C27" s="21">
        <v>22</v>
      </c>
      <c r="D27" s="23">
        <v>32513</v>
      </c>
      <c r="E27" s="23">
        <v>6071</v>
      </c>
    </row>
    <row r="28" spans="1:5" ht="16.5" customHeight="1" x14ac:dyDescent="0.3">
      <c r="A28" s="21" t="b">
        <v>1</v>
      </c>
      <c r="B28" s="22" t="s">
        <v>93</v>
      </c>
      <c r="C28" s="21">
        <v>23</v>
      </c>
      <c r="D28" s="23">
        <v>38584</v>
      </c>
      <c r="E28" s="23">
        <v>6899</v>
      </c>
    </row>
    <row r="29" spans="1:5" ht="16.5" customHeight="1" x14ac:dyDescent="0.3">
      <c r="A29" s="21" t="b">
        <v>1</v>
      </c>
      <c r="B29" s="22" t="s">
        <v>94</v>
      </c>
      <c r="C29" s="21">
        <v>24</v>
      </c>
      <c r="D29" s="23">
        <v>45483</v>
      </c>
      <c r="E29" s="23">
        <v>7889</v>
      </c>
    </row>
    <row r="30" spans="1:5" ht="16.5" customHeight="1" x14ac:dyDescent="0.3">
      <c r="A30" s="21" t="b">
        <v>1</v>
      </c>
      <c r="B30" s="22" t="s">
        <v>95</v>
      </c>
      <c r="C30" s="21">
        <v>25</v>
      </c>
      <c r="D30" s="23">
        <v>53372</v>
      </c>
      <c r="E30" s="23">
        <v>8937</v>
      </c>
    </row>
    <row r="31" spans="1:5" ht="16.5" customHeight="1" x14ac:dyDescent="0.3">
      <c r="A31" s="21" t="b">
        <v>1</v>
      </c>
      <c r="B31" s="22" t="s">
        <v>96</v>
      </c>
      <c r="C31" s="21">
        <v>26</v>
      </c>
      <c r="D31" s="23">
        <v>62309</v>
      </c>
      <c r="E31" s="23">
        <v>10168</v>
      </c>
    </row>
    <row r="32" spans="1:5" ht="16.5" customHeight="1" x14ac:dyDescent="0.3">
      <c r="A32" s="21" t="b">
        <v>1</v>
      </c>
      <c r="B32" s="22" t="s">
        <v>97</v>
      </c>
      <c r="C32" s="21">
        <v>27</v>
      </c>
      <c r="D32" s="23">
        <v>72477</v>
      </c>
      <c r="E32" s="23">
        <v>11466</v>
      </c>
    </row>
    <row r="33" spans="1:5" ht="16.5" customHeight="1" x14ac:dyDescent="0.3">
      <c r="A33" s="21" t="b">
        <v>1</v>
      </c>
      <c r="B33" s="22" t="s">
        <v>98</v>
      </c>
      <c r="C33" s="21">
        <v>28</v>
      </c>
      <c r="D33" s="23">
        <v>83943</v>
      </c>
      <c r="E33" s="23">
        <v>12834</v>
      </c>
    </row>
    <row r="34" spans="1:5" ht="16.5" customHeight="1" x14ac:dyDescent="0.3">
      <c r="A34" s="21" t="b">
        <v>1</v>
      </c>
      <c r="B34" s="22" t="s">
        <v>99</v>
      </c>
      <c r="C34" s="21">
        <v>29</v>
      </c>
      <c r="D34" s="23">
        <v>96777</v>
      </c>
      <c r="E34" s="23">
        <v>14269</v>
      </c>
    </row>
    <row r="35" spans="1:5" ht="16.5" customHeight="1" x14ac:dyDescent="0.3">
      <c r="A35" s="21" t="b">
        <v>1</v>
      </c>
      <c r="B35" s="22" t="s">
        <v>100</v>
      </c>
      <c r="C35" s="21">
        <v>30</v>
      </c>
      <c r="D35" s="23">
        <v>111046</v>
      </c>
      <c r="E35" s="23">
        <v>16465</v>
      </c>
    </row>
  </sheetData>
  <phoneticPr fontId="3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5"/>
    </sheetView>
  </sheetViews>
  <sheetFormatPr defaultColWidth="9" defaultRowHeight="16.5" customHeight="1" x14ac:dyDescent="0.3"/>
  <cols>
    <col min="1" max="1" width="22.625" bestFit="1" customWidth="1"/>
    <col min="2" max="2" width="22.625" style="1" bestFit="1" customWidth="1"/>
    <col min="3" max="3" width="17.125" style="1" bestFit="1" customWidth="1"/>
    <col min="4" max="4" width="20.625" style="1" bestFit="1" customWidth="1"/>
    <col min="5" max="5" width="21.875" style="1" bestFit="1" customWidth="1"/>
    <col min="6" max="6" width="13.875" bestFit="1" customWidth="1"/>
    <col min="7" max="7" width="13.375" bestFit="1" customWidth="1"/>
    <col min="8" max="8" width="21.125" bestFit="1" customWidth="1"/>
    <col min="9" max="9" width="12.125" bestFit="1" customWidth="1"/>
    <col min="10" max="10" width="10.5" bestFit="1" customWidth="1"/>
    <col min="11" max="11" width="15.875" bestFit="1" customWidth="1"/>
  </cols>
  <sheetData>
    <row r="1" spans="1:11" ht="16.5" customHeight="1" x14ac:dyDescent="0.3">
      <c r="A1" s="6" t="s">
        <v>171</v>
      </c>
      <c r="B1" s="2" t="s">
        <v>171</v>
      </c>
      <c r="C1" s="7"/>
      <c r="D1" s="8"/>
      <c r="E1" s="8"/>
    </row>
    <row r="2" spans="1:11" ht="50.1" customHeight="1" x14ac:dyDescent="0.3">
      <c r="A2" s="9" t="s">
        <v>70</v>
      </c>
      <c r="B2" s="9" t="s">
        <v>70</v>
      </c>
      <c r="C2" s="17" t="s">
        <v>172</v>
      </c>
      <c r="D2" s="9" t="s">
        <v>119</v>
      </c>
      <c r="E2" s="9" t="s">
        <v>120</v>
      </c>
      <c r="F2" s="9" t="s">
        <v>70</v>
      </c>
      <c r="G2" s="9" t="s">
        <v>70</v>
      </c>
      <c r="H2" s="17" t="s">
        <v>116</v>
      </c>
      <c r="I2" s="9" t="s">
        <v>70</v>
      </c>
      <c r="J2" s="9" t="s">
        <v>70</v>
      </c>
      <c r="K2" s="18" t="s">
        <v>117</v>
      </c>
    </row>
    <row r="3" spans="1:11" ht="16.5" customHeight="1" x14ac:dyDescent="0.3">
      <c r="A3" s="10" t="s">
        <v>23</v>
      </c>
      <c r="B3" s="11" t="s">
        <v>23</v>
      </c>
      <c r="C3" s="27" t="s">
        <v>24</v>
      </c>
      <c r="D3" s="27" t="s">
        <v>24</v>
      </c>
      <c r="E3" s="27" t="s">
        <v>24</v>
      </c>
      <c r="F3" s="27" t="s">
        <v>24</v>
      </c>
      <c r="G3" s="19" t="s">
        <v>24</v>
      </c>
      <c r="H3" s="19" t="s">
        <v>24</v>
      </c>
      <c r="I3" s="19" t="s">
        <v>24</v>
      </c>
      <c r="J3" s="19" t="s">
        <v>24</v>
      </c>
      <c r="K3" s="20" t="s">
        <v>24</v>
      </c>
    </row>
    <row r="4" spans="1:11" ht="40.5" x14ac:dyDescent="0.3">
      <c r="A4" s="28" t="s">
        <v>25</v>
      </c>
      <c r="B4" s="28" t="s">
        <v>26</v>
      </c>
      <c r="C4" s="28" t="s">
        <v>27</v>
      </c>
      <c r="D4" s="28" t="s">
        <v>27</v>
      </c>
      <c r="E4" s="28" t="s">
        <v>27</v>
      </c>
      <c r="F4" s="28" t="s">
        <v>27</v>
      </c>
      <c r="G4" s="29" t="s">
        <v>27</v>
      </c>
      <c r="H4" s="29" t="s">
        <v>27</v>
      </c>
      <c r="I4" s="29" t="s">
        <v>27</v>
      </c>
      <c r="J4" s="30" t="s">
        <v>118</v>
      </c>
      <c r="K4" s="31" t="s">
        <v>112</v>
      </c>
    </row>
    <row r="5" spans="1:11" ht="16.5" customHeight="1" x14ac:dyDescent="0.3">
      <c r="A5" s="32" t="s">
        <v>29</v>
      </c>
      <c r="B5" s="32" t="s">
        <v>30</v>
      </c>
      <c r="C5" s="33" t="s">
        <v>31</v>
      </c>
      <c r="D5" s="49" t="s">
        <v>32</v>
      </c>
      <c r="E5" s="49" t="s">
        <v>173</v>
      </c>
      <c r="F5" s="33" t="s">
        <v>159</v>
      </c>
      <c r="G5" s="34" t="s">
        <v>33</v>
      </c>
      <c r="H5" s="34" t="s">
        <v>174</v>
      </c>
      <c r="I5" s="34" t="s">
        <v>175</v>
      </c>
      <c r="J5" s="32" t="s">
        <v>176</v>
      </c>
      <c r="K5" s="35" t="s">
        <v>177</v>
      </c>
    </row>
    <row r="6" spans="1:11" ht="16.5" customHeight="1" x14ac:dyDescent="0.3">
      <c r="A6" s="21" t="b">
        <v>1</v>
      </c>
      <c r="B6" s="22" t="s">
        <v>178</v>
      </c>
      <c r="C6" s="24">
        <v>200600001</v>
      </c>
      <c r="D6" s="25" t="s">
        <v>179</v>
      </c>
      <c r="E6" s="25" t="s">
        <v>180</v>
      </c>
      <c r="F6" s="26">
        <v>1</v>
      </c>
      <c r="G6" s="26">
        <v>6</v>
      </c>
      <c r="H6" s="26">
        <v>160001002</v>
      </c>
      <c r="I6" s="26">
        <v>50</v>
      </c>
      <c r="J6" s="26" t="s">
        <v>115</v>
      </c>
      <c r="K6" s="26">
        <v>-1</v>
      </c>
    </row>
    <row r="7" spans="1:11" ht="16.5" customHeight="1" x14ac:dyDescent="0.3">
      <c r="A7" s="21" t="b">
        <v>1</v>
      </c>
      <c r="B7" s="22" t="s">
        <v>113</v>
      </c>
      <c r="C7" s="26">
        <f t="shared" ref="C7:E8" si="0">C6+1</f>
        <v>200600002</v>
      </c>
      <c r="D7" s="26">
        <f t="shared" si="0"/>
        <v>54202</v>
      </c>
      <c r="E7" s="26">
        <f t="shared" si="0"/>
        <v>55202</v>
      </c>
      <c r="F7" s="26">
        <v>2</v>
      </c>
      <c r="G7" s="26">
        <v>6</v>
      </c>
      <c r="H7" s="26">
        <v>160001002</v>
      </c>
      <c r="I7" s="26">
        <v>100</v>
      </c>
      <c r="J7" s="26" t="s">
        <v>115</v>
      </c>
      <c r="K7" s="26">
        <v>-1</v>
      </c>
    </row>
    <row r="8" spans="1:11" ht="16.5" customHeight="1" x14ac:dyDescent="0.3">
      <c r="A8" s="21" t="b">
        <v>1</v>
      </c>
      <c r="B8" s="22" t="s">
        <v>114</v>
      </c>
      <c r="C8" s="26">
        <f t="shared" si="0"/>
        <v>200600003</v>
      </c>
      <c r="D8" s="26">
        <f t="shared" si="0"/>
        <v>54203</v>
      </c>
      <c r="E8" s="26">
        <f t="shared" si="0"/>
        <v>55203</v>
      </c>
      <c r="F8" s="26">
        <v>3</v>
      </c>
      <c r="G8" s="26">
        <v>3</v>
      </c>
      <c r="H8" s="26">
        <v>160001002</v>
      </c>
      <c r="I8" s="26">
        <v>200</v>
      </c>
      <c r="J8" s="26" t="s">
        <v>115</v>
      </c>
      <c r="K8" s="26">
        <v>-1</v>
      </c>
    </row>
  </sheetData>
  <phoneticPr fontId="30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5"/>
    </sheetView>
  </sheetViews>
  <sheetFormatPr defaultRowHeight="16.5" x14ac:dyDescent="0.3"/>
  <cols>
    <col min="1" max="1" width="17.875" bestFit="1" customWidth="1"/>
    <col min="2" max="2" width="20.5" bestFit="1" customWidth="1"/>
    <col min="3" max="3" width="15.5" bestFit="1" customWidth="1"/>
    <col min="4" max="4" width="13.5" bestFit="1" customWidth="1"/>
    <col min="5" max="5" width="13.625" bestFit="1" customWidth="1"/>
    <col min="6" max="6" width="28.75" bestFit="1" customWidth="1"/>
  </cols>
  <sheetData>
    <row r="1" spans="1:6" x14ac:dyDescent="0.3">
      <c r="A1" s="6" t="s">
        <v>240</v>
      </c>
      <c r="B1" s="2" t="s">
        <v>240</v>
      </c>
      <c r="C1" s="7"/>
    </row>
    <row r="2" spans="1:6" ht="27" x14ac:dyDescent="0.3">
      <c r="A2" s="9" t="s">
        <v>70</v>
      </c>
      <c r="B2" s="9" t="s">
        <v>70</v>
      </c>
      <c r="C2" s="9" t="s">
        <v>241</v>
      </c>
      <c r="D2" s="14" t="s">
        <v>242</v>
      </c>
      <c r="E2" s="14" t="s">
        <v>243</v>
      </c>
      <c r="F2" s="14" t="s">
        <v>244</v>
      </c>
    </row>
    <row r="3" spans="1:6" x14ac:dyDescent="0.3">
      <c r="A3" s="10" t="s">
        <v>23</v>
      </c>
      <c r="B3" s="11" t="s">
        <v>23</v>
      </c>
      <c r="C3" s="27" t="s">
        <v>24</v>
      </c>
      <c r="D3" s="27"/>
      <c r="E3" s="19"/>
      <c r="F3" s="19"/>
    </row>
    <row r="4" spans="1:6" x14ac:dyDescent="0.3">
      <c r="A4" s="28" t="s">
        <v>25</v>
      </c>
      <c r="B4" s="28" t="s">
        <v>26</v>
      </c>
      <c r="C4" s="28" t="s">
        <v>27</v>
      </c>
      <c r="D4" s="28" t="s">
        <v>27</v>
      </c>
      <c r="E4" s="28" t="s">
        <v>27</v>
      </c>
      <c r="F4" s="28" t="s">
        <v>27</v>
      </c>
    </row>
    <row r="5" spans="1:6" x14ac:dyDescent="0.3">
      <c r="A5" s="32" t="s">
        <v>29</v>
      </c>
      <c r="B5" s="32" t="s">
        <v>30</v>
      </c>
      <c r="C5" s="33" t="s">
        <v>31</v>
      </c>
      <c r="D5" s="33" t="s">
        <v>245</v>
      </c>
      <c r="E5" s="33" t="s">
        <v>246</v>
      </c>
      <c r="F5" s="32" t="s">
        <v>247</v>
      </c>
    </row>
    <row r="6" spans="1:6" x14ac:dyDescent="0.3">
      <c r="A6" s="12" t="b">
        <v>1</v>
      </c>
      <c r="B6" s="13" t="s">
        <v>203</v>
      </c>
      <c r="C6" s="15">
        <v>1010101</v>
      </c>
      <c r="D6" s="15">
        <v>1</v>
      </c>
      <c r="E6" s="16">
        <v>25</v>
      </c>
      <c r="F6" s="16">
        <f>C$6+10000</f>
        <v>1020101</v>
      </c>
    </row>
    <row r="7" spans="1:6" x14ac:dyDescent="0.3">
      <c r="A7" s="12" t="b">
        <v>1</v>
      </c>
      <c r="B7" s="13" t="s">
        <v>204</v>
      </c>
      <c r="C7" s="12">
        <f>C6+1</f>
        <v>1010102</v>
      </c>
      <c r="D7" s="12">
        <f>E6+1</f>
        <v>26</v>
      </c>
      <c r="E7" s="16">
        <v>40</v>
      </c>
      <c r="F7" s="16">
        <f>C$6+20000</f>
        <v>1030101</v>
      </c>
    </row>
    <row r="8" spans="1:6" x14ac:dyDescent="0.3">
      <c r="A8" s="12" t="b">
        <v>1</v>
      </c>
      <c r="B8" s="13" t="s">
        <v>205</v>
      </c>
      <c r="C8" s="12">
        <f>C7+1</f>
        <v>1010103</v>
      </c>
      <c r="D8" s="12">
        <f>E7+1</f>
        <v>41</v>
      </c>
      <c r="E8" s="16">
        <v>50</v>
      </c>
      <c r="F8" s="16">
        <f>C$6+30000</f>
        <v>1040101</v>
      </c>
    </row>
  </sheetData>
  <phoneticPr fontId="30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workbookViewId="0">
      <pane ySplit="5" topLeftCell="A30" activePane="bottomLeft" state="frozen"/>
      <selection pane="bottomLeft" activeCell="J49" sqref="J49"/>
    </sheetView>
  </sheetViews>
  <sheetFormatPr defaultColWidth="9" defaultRowHeight="16.5" customHeight="1" x14ac:dyDescent="0.3"/>
  <cols>
    <col min="1" max="1" width="24.5" bestFit="1" customWidth="1"/>
    <col min="2" max="2" width="30.375" style="1" bestFit="1" customWidth="1"/>
    <col min="3" max="3" width="15.5" style="1" bestFit="1" customWidth="1"/>
    <col min="4" max="4" width="20" style="1" bestFit="1" customWidth="1"/>
    <col min="5" max="5" width="10.5" bestFit="1" customWidth="1"/>
    <col min="6" max="6" width="27.625" customWidth="1"/>
    <col min="7" max="7" width="15.625" bestFit="1" customWidth="1"/>
    <col min="8" max="8" width="9.625" bestFit="1" customWidth="1"/>
    <col min="9" max="9" width="12.75" bestFit="1" customWidth="1"/>
    <col min="10" max="10" width="10.25" bestFit="1" customWidth="1"/>
  </cols>
  <sheetData>
    <row r="1" spans="1:10" ht="16.5" customHeight="1" x14ac:dyDescent="0.3">
      <c r="A1" s="6" t="s">
        <v>206</v>
      </c>
      <c r="B1" s="2" t="s">
        <v>206</v>
      </c>
      <c r="C1" s="7"/>
      <c r="D1" s="7"/>
    </row>
    <row r="2" spans="1:10" ht="50.1" customHeight="1" x14ac:dyDescent="0.3">
      <c r="A2" s="9" t="s">
        <v>70</v>
      </c>
      <c r="B2" s="9" t="s">
        <v>70</v>
      </c>
      <c r="C2" s="9" t="s">
        <v>207</v>
      </c>
      <c r="D2" s="14" t="s">
        <v>208</v>
      </c>
      <c r="E2" s="14" t="s">
        <v>209</v>
      </c>
      <c r="F2" s="17" t="s">
        <v>210</v>
      </c>
      <c r="G2" s="14" t="s">
        <v>211</v>
      </c>
      <c r="H2" s="18" t="s">
        <v>212</v>
      </c>
      <c r="I2" s="18" t="s">
        <v>213</v>
      </c>
      <c r="J2" s="18" t="s">
        <v>214</v>
      </c>
    </row>
    <row r="3" spans="1:10" ht="16.5" customHeight="1" x14ac:dyDescent="0.3">
      <c r="A3" s="10" t="s">
        <v>23</v>
      </c>
      <c r="B3" s="11" t="s">
        <v>23</v>
      </c>
      <c r="C3" s="27" t="s">
        <v>24</v>
      </c>
      <c r="D3" s="27"/>
      <c r="E3" s="27" t="s">
        <v>24</v>
      </c>
      <c r="F3" s="19" t="s">
        <v>24</v>
      </c>
      <c r="G3" s="19" t="s">
        <v>24</v>
      </c>
      <c r="H3" s="20" t="s">
        <v>24</v>
      </c>
      <c r="I3" s="19" t="s">
        <v>24</v>
      </c>
      <c r="J3" s="20" t="s">
        <v>24</v>
      </c>
    </row>
    <row r="4" spans="1:10" ht="40.5" x14ac:dyDescent="0.3">
      <c r="A4" s="28" t="s">
        <v>25</v>
      </c>
      <c r="B4" s="28" t="s">
        <v>26</v>
      </c>
      <c r="C4" s="28" t="s">
        <v>27</v>
      </c>
      <c r="D4" s="28"/>
      <c r="E4" s="28" t="s">
        <v>27</v>
      </c>
      <c r="F4" s="29" t="s">
        <v>27</v>
      </c>
      <c r="G4" s="30" t="s">
        <v>118</v>
      </c>
      <c r="H4" s="31" t="s">
        <v>112</v>
      </c>
      <c r="I4" s="30" t="s">
        <v>118</v>
      </c>
      <c r="J4" s="31" t="s">
        <v>112</v>
      </c>
    </row>
    <row r="5" spans="1:10" ht="16.5" customHeight="1" x14ac:dyDescent="0.3">
      <c r="A5" s="32" t="s">
        <v>29</v>
      </c>
      <c r="B5" s="32" t="s">
        <v>30</v>
      </c>
      <c r="C5" s="33" t="s">
        <v>31</v>
      </c>
      <c r="D5" s="33" t="s">
        <v>215</v>
      </c>
      <c r="E5" s="33" t="s">
        <v>216</v>
      </c>
      <c r="F5" s="34" t="s">
        <v>122</v>
      </c>
      <c r="G5" s="32" t="s">
        <v>217</v>
      </c>
      <c r="H5" s="35" t="s">
        <v>121</v>
      </c>
      <c r="I5" s="36" t="s">
        <v>218</v>
      </c>
      <c r="J5" s="35" t="s">
        <v>219</v>
      </c>
    </row>
    <row r="6" spans="1:10" ht="16.5" customHeight="1" x14ac:dyDescent="0.3">
      <c r="A6" s="37" t="b">
        <v>1</v>
      </c>
      <c r="B6" s="38" t="s">
        <v>220</v>
      </c>
      <c r="C6" s="39">
        <f>D6+1000000</f>
        <v>2020101</v>
      </c>
      <c r="D6" s="39">
        <f>ServantPieceStore!$F$6</f>
        <v>1020101</v>
      </c>
      <c r="E6" s="39">
        <v>1</v>
      </c>
      <c r="F6" s="40">
        <v>50</v>
      </c>
      <c r="G6" s="41">
        <v>155101001</v>
      </c>
      <c r="H6" s="40">
        <v>1</v>
      </c>
      <c r="I6" s="40" t="str">
        <f t="shared" ref="I6:I69" si="0">IF(J6&lt;1000,"Gem",IF(J6&gt;1000,"Gold"))</f>
        <v>Gem</v>
      </c>
      <c r="J6" s="40">
        <f>H6*30</f>
        <v>30</v>
      </c>
    </row>
    <row r="7" spans="1:10" ht="16.5" customHeight="1" x14ac:dyDescent="0.3">
      <c r="A7" s="37" t="b">
        <v>1</v>
      </c>
      <c r="B7" s="38" t="s">
        <v>220</v>
      </c>
      <c r="C7" s="40">
        <f>C6+1</f>
        <v>2020102</v>
      </c>
      <c r="D7" s="40">
        <f>ServantPieceStore!$F$6</f>
        <v>1020101</v>
      </c>
      <c r="E7" s="40">
        <f>E6</f>
        <v>1</v>
      </c>
      <c r="F7" s="40">
        <v>30</v>
      </c>
      <c r="G7" s="40">
        <f>G6+1</f>
        <v>155101002</v>
      </c>
      <c r="H7" s="40">
        <v>2</v>
      </c>
      <c r="I7" s="40" t="str">
        <f t="shared" si="0"/>
        <v>Gem</v>
      </c>
      <c r="J7" s="40">
        <f t="shared" ref="J7:J8" si="1">H7*30</f>
        <v>60</v>
      </c>
    </row>
    <row r="8" spans="1:10" ht="16.5" customHeight="1" x14ac:dyDescent="0.3">
      <c r="A8" s="37" t="b">
        <v>1</v>
      </c>
      <c r="B8" s="38" t="s">
        <v>220</v>
      </c>
      <c r="C8" s="40">
        <f>C7+1</f>
        <v>2020103</v>
      </c>
      <c r="D8" s="40">
        <f>ServantPieceStore!$F$6</f>
        <v>1020101</v>
      </c>
      <c r="E8" s="40">
        <f>E7</f>
        <v>1</v>
      </c>
      <c r="F8" s="40">
        <v>20</v>
      </c>
      <c r="G8" s="40">
        <f>G7+1</f>
        <v>155101003</v>
      </c>
      <c r="H8" s="40">
        <v>1</v>
      </c>
      <c r="I8" s="40" t="str">
        <f t="shared" si="0"/>
        <v>Gem</v>
      </c>
      <c r="J8" s="40">
        <f t="shared" si="1"/>
        <v>30</v>
      </c>
    </row>
    <row r="9" spans="1:10" ht="16.5" customHeight="1" x14ac:dyDescent="0.3">
      <c r="A9" s="42" t="b">
        <v>1</v>
      </c>
      <c r="B9" s="43" t="s">
        <v>221</v>
      </c>
      <c r="C9" s="39">
        <f>C6+100</f>
        <v>2020201</v>
      </c>
      <c r="D9" s="44">
        <f>ServantPieceStore!$F$6</f>
        <v>1020101</v>
      </c>
      <c r="E9" s="39">
        <f>E6+1</f>
        <v>2</v>
      </c>
      <c r="F9" s="44">
        <v>40</v>
      </c>
      <c r="G9" s="45">
        <v>155101001</v>
      </c>
      <c r="H9" s="44">
        <v>1</v>
      </c>
      <c r="I9" s="44" t="str">
        <f t="shared" si="0"/>
        <v>Gold</v>
      </c>
      <c r="J9" s="44">
        <f>H9*10000</f>
        <v>10000</v>
      </c>
    </row>
    <row r="10" spans="1:10" ht="16.5" customHeight="1" x14ac:dyDescent="0.3">
      <c r="A10" s="42" t="b">
        <v>1</v>
      </c>
      <c r="B10" s="43" t="s">
        <v>221</v>
      </c>
      <c r="C10" s="44">
        <f>C9+1</f>
        <v>2020202</v>
      </c>
      <c r="D10" s="44">
        <f>ServantPieceStore!$F$6</f>
        <v>1020101</v>
      </c>
      <c r="E10" s="44">
        <f>E9</f>
        <v>2</v>
      </c>
      <c r="F10" s="44">
        <v>30</v>
      </c>
      <c r="G10" s="44">
        <f>G9+1</f>
        <v>155101002</v>
      </c>
      <c r="H10" s="44">
        <v>2</v>
      </c>
      <c r="I10" s="44" t="str">
        <f t="shared" si="0"/>
        <v>Gold</v>
      </c>
      <c r="J10" s="44">
        <f>H10*10000</f>
        <v>20000</v>
      </c>
    </row>
    <row r="11" spans="1:10" ht="16.5" customHeight="1" x14ac:dyDescent="0.3">
      <c r="A11" s="42" t="b">
        <v>1</v>
      </c>
      <c r="B11" s="43" t="s">
        <v>221</v>
      </c>
      <c r="C11" s="44">
        <f>C10+1</f>
        <v>2020203</v>
      </c>
      <c r="D11" s="44">
        <f>ServantPieceStore!$F$6</f>
        <v>1020101</v>
      </c>
      <c r="E11" s="44">
        <f>E10</f>
        <v>2</v>
      </c>
      <c r="F11" s="44">
        <v>15</v>
      </c>
      <c r="G11" s="44">
        <f>G10+1</f>
        <v>155101003</v>
      </c>
      <c r="H11" s="44">
        <v>1</v>
      </c>
      <c r="I11" s="44" t="str">
        <f t="shared" si="0"/>
        <v>Gold</v>
      </c>
      <c r="J11" s="44">
        <f>H11*10000</f>
        <v>10000</v>
      </c>
    </row>
    <row r="12" spans="1:10" ht="16.5" customHeight="1" x14ac:dyDescent="0.3">
      <c r="A12" s="42" t="b">
        <v>1</v>
      </c>
      <c r="B12" s="43" t="s">
        <v>221</v>
      </c>
      <c r="C12" s="44">
        <f>C11+1</f>
        <v>2020204</v>
      </c>
      <c r="D12" s="44">
        <f>ServantPieceStore!$F$6</f>
        <v>1020101</v>
      </c>
      <c r="E12" s="44">
        <f>E11</f>
        <v>2</v>
      </c>
      <c r="F12" s="44">
        <v>5</v>
      </c>
      <c r="G12" s="44">
        <f>G11+1</f>
        <v>155101004</v>
      </c>
      <c r="H12" s="44">
        <v>2</v>
      </c>
      <c r="I12" s="44" t="str">
        <f t="shared" si="0"/>
        <v>Gem</v>
      </c>
      <c r="J12" s="44">
        <f>H12*40</f>
        <v>80</v>
      </c>
    </row>
    <row r="13" spans="1:10" ht="16.5" customHeight="1" x14ac:dyDescent="0.3">
      <c r="A13" s="42" t="b">
        <v>1</v>
      </c>
      <c r="B13" s="43" t="s">
        <v>221</v>
      </c>
      <c r="C13" s="44">
        <f>C12+1</f>
        <v>2020205</v>
      </c>
      <c r="D13" s="44">
        <f>ServantPieceStore!$F$6</f>
        <v>1020101</v>
      </c>
      <c r="E13" s="44">
        <f>E12</f>
        <v>2</v>
      </c>
      <c r="F13" s="44">
        <v>5</v>
      </c>
      <c r="G13" s="44">
        <f>G12+1</f>
        <v>155101005</v>
      </c>
      <c r="H13" s="44">
        <v>1</v>
      </c>
      <c r="I13" s="44" t="str">
        <f t="shared" si="0"/>
        <v>Gem</v>
      </c>
      <c r="J13" s="44">
        <f>H13*40</f>
        <v>40</v>
      </c>
    </row>
    <row r="14" spans="1:10" ht="16.5" customHeight="1" x14ac:dyDescent="0.3">
      <c r="A14" s="42" t="b">
        <v>1</v>
      </c>
      <c r="B14" s="43" t="s">
        <v>221</v>
      </c>
      <c r="C14" s="44">
        <f>C13+1</f>
        <v>2020206</v>
      </c>
      <c r="D14" s="44">
        <f>ServantPieceStore!$F$6</f>
        <v>1020101</v>
      </c>
      <c r="E14" s="44">
        <f>E13</f>
        <v>2</v>
      </c>
      <c r="F14" s="44">
        <v>5</v>
      </c>
      <c r="G14" s="44">
        <f>G13+1</f>
        <v>155101006</v>
      </c>
      <c r="H14" s="44">
        <v>2</v>
      </c>
      <c r="I14" s="44" t="str">
        <f t="shared" si="0"/>
        <v>Gem</v>
      </c>
      <c r="J14" s="44">
        <f>H14*40</f>
        <v>80</v>
      </c>
    </row>
    <row r="15" spans="1:10" ht="16.5" customHeight="1" x14ac:dyDescent="0.3">
      <c r="A15" s="37" t="b">
        <v>1</v>
      </c>
      <c r="B15" s="38" t="s">
        <v>222</v>
      </c>
      <c r="C15" s="39">
        <f>C9+100</f>
        <v>2020301</v>
      </c>
      <c r="D15" s="40">
        <f>ServantPieceStore!$F$6</f>
        <v>1020101</v>
      </c>
      <c r="E15" s="39">
        <f>E9+1</f>
        <v>3</v>
      </c>
      <c r="F15" s="40">
        <v>20</v>
      </c>
      <c r="G15" s="45">
        <v>155101001</v>
      </c>
      <c r="H15" s="40">
        <v>1</v>
      </c>
      <c r="I15" s="40" t="str">
        <f t="shared" si="0"/>
        <v>Gold</v>
      </c>
      <c r="J15" s="40">
        <f>H15*10000</f>
        <v>10000</v>
      </c>
    </row>
    <row r="16" spans="1:10" ht="16.5" customHeight="1" x14ac:dyDescent="0.3">
      <c r="A16" s="37" t="b">
        <v>1</v>
      </c>
      <c r="B16" s="38" t="s">
        <v>222</v>
      </c>
      <c r="C16" s="40">
        <f>C15+1</f>
        <v>2020302</v>
      </c>
      <c r="D16" s="40">
        <f>ServantPieceStore!$F$6</f>
        <v>1020101</v>
      </c>
      <c r="E16" s="40">
        <f>E15</f>
        <v>3</v>
      </c>
      <c r="F16" s="40">
        <v>20</v>
      </c>
      <c r="G16" s="40">
        <f>G15+1</f>
        <v>155101002</v>
      </c>
      <c r="H16" s="40">
        <v>2</v>
      </c>
      <c r="I16" s="40" t="str">
        <f t="shared" si="0"/>
        <v>Gem</v>
      </c>
      <c r="J16" s="40">
        <f>H16*30</f>
        <v>60</v>
      </c>
    </row>
    <row r="17" spans="1:10" ht="16.5" customHeight="1" x14ac:dyDescent="0.3">
      <c r="A17" s="37" t="b">
        <v>1</v>
      </c>
      <c r="B17" s="38" t="s">
        <v>222</v>
      </c>
      <c r="C17" s="40">
        <f>C16+1</f>
        <v>2020303</v>
      </c>
      <c r="D17" s="40">
        <f>ServantPieceStore!$F$6</f>
        <v>1020101</v>
      </c>
      <c r="E17" s="40">
        <f>E16</f>
        <v>3</v>
      </c>
      <c r="F17" s="40">
        <v>20</v>
      </c>
      <c r="G17" s="40">
        <f>G16+1</f>
        <v>155101003</v>
      </c>
      <c r="H17" s="40">
        <v>1</v>
      </c>
      <c r="I17" s="40" t="str">
        <f t="shared" si="0"/>
        <v>Gold</v>
      </c>
      <c r="J17" s="40">
        <f>H17*10000</f>
        <v>10000</v>
      </c>
    </row>
    <row r="18" spans="1:10" ht="16.5" customHeight="1" x14ac:dyDescent="0.3">
      <c r="A18" s="37" t="b">
        <v>1</v>
      </c>
      <c r="B18" s="38" t="s">
        <v>222</v>
      </c>
      <c r="C18" s="40">
        <f>C17+1</f>
        <v>2020304</v>
      </c>
      <c r="D18" s="40">
        <f>ServantPieceStore!$F$6</f>
        <v>1020101</v>
      </c>
      <c r="E18" s="40">
        <f>E17</f>
        <v>3</v>
      </c>
      <c r="F18" s="40">
        <v>20</v>
      </c>
      <c r="G18" s="40">
        <f>G17+1</f>
        <v>155101004</v>
      </c>
      <c r="H18" s="40">
        <v>2</v>
      </c>
      <c r="I18" s="40" t="str">
        <f t="shared" si="0"/>
        <v>Gem</v>
      </c>
      <c r="J18" s="40">
        <f>H18*30</f>
        <v>60</v>
      </c>
    </row>
    <row r="19" spans="1:10" ht="16.5" customHeight="1" x14ac:dyDescent="0.3">
      <c r="A19" s="37" t="b">
        <v>1</v>
      </c>
      <c r="B19" s="38" t="s">
        <v>222</v>
      </c>
      <c r="C19" s="40">
        <f>C18+1</f>
        <v>2020305</v>
      </c>
      <c r="D19" s="40">
        <f>ServantPieceStore!$F$6</f>
        <v>1020101</v>
      </c>
      <c r="E19" s="40">
        <f>E18</f>
        <v>3</v>
      </c>
      <c r="F19" s="40">
        <v>20</v>
      </c>
      <c r="G19" s="40">
        <f>G18+1</f>
        <v>155101005</v>
      </c>
      <c r="H19" s="40">
        <v>1</v>
      </c>
      <c r="I19" s="40" t="str">
        <f t="shared" si="0"/>
        <v>Gold</v>
      </c>
      <c r="J19" s="40">
        <f>H19*10000</f>
        <v>10000</v>
      </c>
    </row>
    <row r="20" spans="1:10" ht="16.5" customHeight="1" x14ac:dyDescent="0.3">
      <c r="A20" s="37" t="b">
        <v>1</v>
      </c>
      <c r="B20" s="38" t="s">
        <v>222</v>
      </c>
      <c r="C20" s="40">
        <f>C19+1</f>
        <v>2020306</v>
      </c>
      <c r="D20" s="40">
        <f>ServantPieceStore!$F$6</f>
        <v>1020101</v>
      </c>
      <c r="E20" s="40">
        <f>E19</f>
        <v>3</v>
      </c>
      <c r="F20" s="40">
        <v>20</v>
      </c>
      <c r="G20" s="40">
        <f>G19+1</f>
        <v>155101006</v>
      </c>
      <c r="H20" s="40">
        <v>2</v>
      </c>
      <c r="I20" s="40" t="str">
        <f t="shared" si="0"/>
        <v>Gem</v>
      </c>
      <c r="J20" s="40">
        <f>H20*30</f>
        <v>60</v>
      </c>
    </row>
    <row r="21" spans="1:10" ht="16.5" customHeight="1" x14ac:dyDescent="0.3">
      <c r="A21" s="42" t="b">
        <v>1</v>
      </c>
      <c r="B21" s="43" t="s">
        <v>223</v>
      </c>
      <c r="C21" s="39">
        <f>C15+100</f>
        <v>2020401</v>
      </c>
      <c r="D21" s="44">
        <f>ServantPieceStore!$F$6</f>
        <v>1020101</v>
      </c>
      <c r="E21" s="39">
        <f>E15+1</f>
        <v>4</v>
      </c>
      <c r="F21" s="44">
        <v>20</v>
      </c>
      <c r="G21" s="45">
        <v>155101001</v>
      </c>
      <c r="H21" s="44">
        <v>1</v>
      </c>
      <c r="I21" s="44" t="str">
        <f t="shared" si="0"/>
        <v>Gold</v>
      </c>
      <c r="J21" s="44">
        <f>H21*10000</f>
        <v>10000</v>
      </c>
    </row>
    <row r="22" spans="1:10" ht="16.5" customHeight="1" x14ac:dyDescent="0.3">
      <c r="A22" s="42" t="b">
        <v>1</v>
      </c>
      <c r="B22" s="43" t="s">
        <v>223</v>
      </c>
      <c r="C22" s="44">
        <f>C21+1</f>
        <v>2020402</v>
      </c>
      <c r="D22" s="44">
        <f>ServantPieceStore!$F$6</f>
        <v>1020101</v>
      </c>
      <c r="E22" s="44">
        <f>E21</f>
        <v>4</v>
      </c>
      <c r="F22" s="44">
        <v>20</v>
      </c>
      <c r="G22" s="44">
        <f>G21+1</f>
        <v>155101002</v>
      </c>
      <c r="H22" s="44">
        <v>2</v>
      </c>
      <c r="I22" s="44" t="str">
        <f t="shared" si="0"/>
        <v>Gem</v>
      </c>
      <c r="J22" s="44">
        <f>H22*30</f>
        <v>60</v>
      </c>
    </row>
    <row r="23" spans="1:10" ht="16.5" customHeight="1" x14ac:dyDescent="0.3">
      <c r="A23" s="42" t="b">
        <v>1</v>
      </c>
      <c r="B23" s="43" t="s">
        <v>223</v>
      </c>
      <c r="C23" s="44">
        <f>C22+1</f>
        <v>2020403</v>
      </c>
      <c r="D23" s="44">
        <f>ServantPieceStore!$F$6</f>
        <v>1020101</v>
      </c>
      <c r="E23" s="44">
        <f>E22</f>
        <v>4</v>
      </c>
      <c r="F23" s="44">
        <v>20</v>
      </c>
      <c r="G23" s="44">
        <f>G22+1</f>
        <v>155101003</v>
      </c>
      <c r="H23" s="44">
        <v>1</v>
      </c>
      <c r="I23" s="44" t="str">
        <f t="shared" si="0"/>
        <v>Gold</v>
      </c>
      <c r="J23" s="44">
        <f>H23*10000</f>
        <v>10000</v>
      </c>
    </row>
    <row r="24" spans="1:10" ht="16.5" customHeight="1" x14ac:dyDescent="0.3">
      <c r="A24" s="42" t="b">
        <v>1</v>
      </c>
      <c r="B24" s="43" t="s">
        <v>223</v>
      </c>
      <c r="C24" s="44">
        <f>C23+1</f>
        <v>2020404</v>
      </c>
      <c r="D24" s="44">
        <f>ServantPieceStore!$F$6</f>
        <v>1020101</v>
      </c>
      <c r="E24" s="44">
        <f>E23</f>
        <v>4</v>
      </c>
      <c r="F24" s="44">
        <v>20</v>
      </c>
      <c r="G24" s="44">
        <f>G23+1</f>
        <v>155101004</v>
      </c>
      <c r="H24" s="44">
        <v>2</v>
      </c>
      <c r="I24" s="44" t="str">
        <f t="shared" si="0"/>
        <v>Gem</v>
      </c>
      <c r="J24" s="44">
        <f>H24*30</f>
        <v>60</v>
      </c>
    </row>
    <row r="25" spans="1:10" ht="16.5" customHeight="1" x14ac:dyDescent="0.3">
      <c r="A25" s="42" t="b">
        <v>1</v>
      </c>
      <c r="B25" s="43" t="s">
        <v>223</v>
      </c>
      <c r="C25" s="44">
        <f>C24+1</f>
        <v>2020405</v>
      </c>
      <c r="D25" s="44">
        <f>ServantPieceStore!$F$6</f>
        <v>1020101</v>
      </c>
      <c r="E25" s="44">
        <f>E24</f>
        <v>4</v>
      </c>
      <c r="F25" s="44">
        <v>20</v>
      </c>
      <c r="G25" s="44">
        <f>G24+1</f>
        <v>155101005</v>
      </c>
      <c r="H25" s="44">
        <v>1</v>
      </c>
      <c r="I25" s="44" t="str">
        <f t="shared" si="0"/>
        <v>Gold</v>
      </c>
      <c r="J25" s="44">
        <f>H25*10000</f>
        <v>10000</v>
      </c>
    </row>
    <row r="26" spans="1:10" ht="16.5" customHeight="1" x14ac:dyDescent="0.3">
      <c r="A26" s="42" t="b">
        <v>1</v>
      </c>
      <c r="B26" s="43" t="s">
        <v>223</v>
      </c>
      <c r="C26" s="44">
        <f>C25+1</f>
        <v>2020406</v>
      </c>
      <c r="D26" s="44">
        <f>ServantPieceStore!$F$6</f>
        <v>1020101</v>
      </c>
      <c r="E26" s="44">
        <f>E25</f>
        <v>4</v>
      </c>
      <c r="F26" s="44">
        <v>20</v>
      </c>
      <c r="G26" s="44">
        <f>G25+1</f>
        <v>155101006</v>
      </c>
      <c r="H26" s="44">
        <v>2</v>
      </c>
      <c r="I26" s="44" t="str">
        <f t="shared" si="0"/>
        <v>Gem</v>
      </c>
      <c r="J26" s="44">
        <f>H26*30</f>
        <v>60</v>
      </c>
    </row>
    <row r="27" spans="1:10" ht="16.5" customHeight="1" x14ac:dyDescent="0.3">
      <c r="A27" s="37" t="b">
        <v>1</v>
      </c>
      <c r="B27" s="38" t="s">
        <v>224</v>
      </c>
      <c r="C27" s="39">
        <f>C21+100</f>
        <v>2020501</v>
      </c>
      <c r="D27" s="40">
        <f>ServantPieceStore!$F$6</f>
        <v>1020101</v>
      </c>
      <c r="E27" s="39">
        <f>E21+1</f>
        <v>5</v>
      </c>
      <c r="F27" s="40">
        <v>5</v>
      </c>
      <c r="G27" s="45">
        <v>155101001</v>
      </c>
      <c r="H27" s="40">
        <v>1</v>
      </c>
      <c r="I27" s="40" t="str">
        <f t="shared" si="0"/>
        <v>Gold</v>
      </c>
      <c r="J27" s="40">
        <f>H27*10000</f>
        <v>10000</v>
      </c>
    </row>
    <row r="28" spans="1:10" ht="16.5" customHeight="1" x14ac:dyDescent="0.3">
      <c r="A28" s="37" t="b">
        <v>1</v>
      </c>
      <c r="B28" s="38" t="s">
        <v>224</v>
      </c>
      <c r="C28" s="40">
        <f>C27+1</f>
        <v>2020502</v>
      </c>
      <c r="D28" s="40">
        <f>ServantPieceStore!$F$6</f>
        <v>1020101</v>
      </c>
      <c r="E28" s="40">
        <f>E27</f>
        <v>5</v>
      </c>
      <c r="F28" s="40">
        <v>5</v>
      </c>
      <c r="G28" s="40">
        <f>G27+1</f>
        <v>155101002</v>
      </c>
      <c r="H28" s="40">
        <v>2</v>
      </c>
      <c r="I28" s="40" t="str">
        <f t="shared" si="0"/>
        <v>Gem</v>
      </c>
      <c r="J28" s="40">
        <f>H28*30</f>
        <v>60</v>
      </c>
    </row>
    <row r="29" spans="1:10" ht="16.5" customHeight="1" x14ac:dyDescent="0.3">
      <c r="A29" s="37" t="b">
        <v>1</v>
      </c>
      <c r="B29" s="38" t="s">
        <v>224</v>
      </c>
      <c r="C29" s="40">
        <f>C28+1</f>
        <v>2020503</v>
      </c>
      <c r="D29" s="40">
        <f>ServantPieceStore!$F$6</f>
        <v>1020101</v>
      </c>
      <c r="E29" s="40">
        <f>E28</f>
        <v>5</v>
      </c>
      <c r="F29" s="40">
        <v>5</v>
      </c>
      <c r="G29" s="40">
        <f>G28+1</f>
        <v>155101003</v>
      </c>
      <c r="H29" s="40">
        <v>1</v>
      </c>
      <c r="I29" s="40" t="str">
        <f t="shared" si="0"/>
        <v>Gold</v>
      </c>
      <c r="J29" s="40">
        <f>H29*10000</f>
        <v>10000</v>
      </c>
    </row>
    <row r="30" spans="1:10" ht="16.5" customHeight="1" x14ac:dyDescent="0.3">
      <c r="A30" s="37" t="b">
        <v>1</v>
      </c>
      <c r="B30" s="38" t="s">
        <v>224</v>
      </c>
      <c r="C30" s="40">
        <f>C29+1</f>
        <v>2020504</v>
      </c>
      <c r="D30" s="40">
        <f>ServantPieceStore!$F$6</f>
        <v>1020101</v>
      </c>
      <c r="E30" s="40">
        <f>E29</f>
        <v>5</v>
      </c>
      <c r="F30" s="40">
        <v>15</v>
      </c>
      <c r="G30" s="40">
        <f>G29+1</f>
        <v>155101004</v>
      </c>
      <c r="H30" s="40">
        <v>2</v>
      </c>
      <c r="I30" s="40" t="str">
        <f t="shared" si="0"/>
        <v>Gem</v>
      </c>
      <c r="J30" s="40">
        <f>H30*30</f>
        <v>60</v>
      </c>
    </row>
    <row r="31" spans="1:10" ht="16.5" customHeight="1" x14ac:dyDescent="0.3">
      <c r="A31" s="37" t="b">
        <v>1</v>
      </c>
      <c r="B31" s="38" t="s">
        <v>224</v>
      </c>
      <c r="C31" s="40">
        <f>C30+1</f>
        <v>2020505</v>
      </c>
      <c r="D31" s="40">
        <f>ServantPieceStore!$F$6</f>
        <v>1020101</v>
      </c>
      <c r="E31" s="40">
        <f>E30</f>
        <v>5</v>
      </c>
      <c r="F31" s="40">
        <v>30</v>
      </c>
      <c r="G31" s="40">
        <f>G30+1</f>
        <v>155101005</v>
      </c>
      <c r="H31" s="40">
        <v>1</v>
      </c>
      <c r="I31" s="40" t="str">
        <f t="shared" si="0"/>
        <v>Gold</v>
      </c>
      <c r="J31" s="40">
        <f>H31*10000</f>
        <v>10000</v>
      </c>
    </row>
    <row r="32" spans="1:10" ht="16.5" customHeight="1" x14ac:dyDescent="0.3">
      <c r="A32" s="37" t="b">
        <v>1</v>
      </c>
      <c r="B32" s="38" t="s">
        <v>224</v>
      </c>
      <c r="C32" s="40">
        <f>C31+1</f>
        <v>2020506</v>
      </c>
      <c r="D32" s="40">
        <f>ServantPieceStore!$F$6</f>
        <v>1020101</v>
      </c>
      <c r="E32" s="40">
        <f>E31</f>
        <v>5</v>
      </c>
      <c r="F32" s="40">
        <v>40</v>
      </c>
      <c r="G32" s="40">
        <f>G31+1</f>
        <v>155101006</v>
      </c>
      <c r="H32" s="40">
        <v>2</v>
      </c>
      <c r="I32" s="40" t="str">
        <f t="shared" si="0"/>
        <v>Gem</v>
      </c>
      <c r="J32" s="40">
        <f>H32*30</f>
        <v>60</v>
      </c>
    </row>
    <row r="33" spans="1:10" ht="16.5" customHeight="1" x14ac:dyDescent="0.3">
      <c r="A33" s="42" t="b">
        <v>1</v>
      </c>
      <c r="B33" s="43" t="s">
        <v>225</v>
      </c>
      <c r="C33" s="39">
        <f>C27+100</f>
        <v>2020601</v>
      </c>
      <c r="D33" s="44">
        <f>ServantPieceStore!$F$6</f>
        <v>1020101</v>
      </c>
      <c r="E33" s="39">
        <f>E27+1</f>
        <v>6</v>
      </c>
      <c r="F33" s="44">
        <v>50</v>
      </c>
      <c r="G33" s="45">
        <v>155101004</v>
      </c>
      <c r="H33" s="44">
        <v>1</v>
      </c>
      <c r="I33" s="44" t="str">
        <f t="shared" si="0"/>
        <v>Gem</v>
      </c>
      <c r="J33" s="44">
        <f t="shared" ref="J33:J38" si="2">H33*30</f>
        <v>30</v>
      </c>
    </row>
    <row r="34" spans="1:10" ht="16.5" customHeight="1" x14ac:dyDescent="0.3">
      <c r="A34" s="42" t="b">
        <v>1</v>
      </c>
      <c r="B34" s="43" t="s">
        <v>225</v>
      </c>
      <c r="C34" s="44">
        <f>C33+1</f>
        <v>2020602</v>
      </c>
      <c r="D34" s="44">
        <f>ServantPieceStore!$F$6</f>
        <v>1020101</v>
      </c>
      <c r="E34" s="44">
        <f>E33</f>
        <v>6</v>
      </c>
      <c r="F34" s="44">
        <v>30</v>
      </c>
      <c r="G34" s="44">
        <f>G33+1</f>
        <v>155101005</v>
      </c>
      <c r="H34" s="44">
        <v>2</v>
      </c>
      <c r="I34" s="44" t="str">
        <f t="shared" si="0"/>
        <v>Gem</v>
      </c>
      <c r="J34" s="44">
        <f t="shared" si="2"/>
        <v>60</v>
      </c>
    </row>
    <row r="35" spans="1:10" ht="16.5" customHeight="1" x14ac:dyDescent="0.3">
      <c r="A35" s="42" t="b">
        <v>1</v>
      </c>
      <c r="B35" s="43" t="s">
        <v>225</v>
      </c>
      <c r="C35" s="44">
        <f>C34+1</f>
        <v>2020603</v>
      </c>
      <c r="D35" s="44">
        <f>ServantPieceStore!$F$6</f>
        <v>1020101</v>
      </c>
      <c r="E35" s="44">
        <f>E34</f>
        <v>6</v>
      </c>
      <c r="F35" s="44">
        <v>20</v>
      </c>
      <c r="G35" s="44">
        <f>G34+1</f>
        <v>155101006</v>
      </c>
      <c r="H35" s="44">
        <v>1</v>
      </c>
      <c r="I35" s="44" t="str">
        <f t="shared" si="0"/>
        <v>Gem</v>
      </c>
      <c r="J35" s="44">
        <f t="shared" si="2"/>
        <v>30</v>
      </c>
    </row>
    <row r="36" spans="1:10" ht="16.5" customHeight="1" x14ac:dyDescent="0.3">
      <c r="A36" s="37" t="b">
        <v>1</v>
      </c>
      <c r="B36" s="38" t="s">
        <v>226</v>
      </c>
      <c r="C36" s="39">
        <f>D36+1000000</f>
        <v>2030101</v>
      </c>
      <c r="D36" s="39">
        <f>ServantPieceStore!$F$7</f>
        <v>1030101</v>
      </c>
      <c r="E36" s="39">
        <v>1</v>
      </c>
      <c r="F36" s="40">
        <v>50</v>
      </c>
      <c r="G36" s="45" t="s">
        <v>152</v>
      </c>
      <c r="H36" s="40">
        <v>1</v>
      </c>
      <c r="I36" s="40" t="str">
        <f t="shared" si="0"/>
        <v>Gem</v>
      </c>
      <c r="J36" s="40">
        <f t="shared" si="2"/>
        <v>30</v>
      </c>
    </row>
    <row r="37" spans="1:10" ht="16.5" customHeight="1" x14ac:dyDescent="0.3">
      <c r="A37" s="37" t="b">
        <v>1</v>
      </c>
      <c r="B37" s="38" t="s">
        <v>226</v>
      </c>
      <c r="C37" s="40">
        <f>C36+1</f>
        <v>2030102</v>
      </c>
      <c r="D37" s="40">
        <f>ServantPieceStore!$F$7</f>
        <v>1030101</v>
      </c>
      <c r="E37" s="40">
        <f>E36</f>
        <v>1</v>
      </c>
      <c r="F37" s="40">
        <v>30</v>
      </c>
      <c r="G37" s="40">
        <f>G36+1</f>
        <v>155102002</v>
      </c>
      <c r="H37" s="40">
        <v>2</v>
      </c>
      <c r="I37" s="40" t="str">
        <f t="shared" si="0"/>
        <v>Gem</v>
      </c>
      <c r="J37" s="40">
        <f t="shared" si="2"/>
        <v>60</v>
      </c>
    </row>
    <row r="38" spans="1:10" ht="16.5" customHeight="1" x14ac:dyDescent="0.3">
      <c r="A38" s="37" t="b">
        <v>1</v>
      </c>
      <c r="B38" s="38" t="s">
        <v>226</v>
      </c>
      <c r="C38" s="40">
        <f>C37+1</f>
        <v>2030103</v>
      </c>
      <c r="D38" s="40">
        <f>ServantPieceStore!$F$7</f>
        <v>1030101</v>
      </c>
      <c r="E38" s="40">
        <f>E37</f>
        <v>1</v>
      </c>
      <c r="F38" s="40">
        <v>20</v>
      </c>
      <c r="G38" s="40">
        <f>G37+1</f>
        <v>155102003</v>
      </c>
      <c r="H38" s="40">
        <v>2</v>
      </c>
      <c r="I38" s="40" t="str">
        <f t="shared" si="0"/>
        <v>Gem</v>
      </c>
      <c r="J38" s="40">
        <f t="shared" si="2"/>
        <v>60</v>
      </c>
    </row>
    <row r="39" spans="1:10" ht="16.5" customHeight="1" x14ac:dyDescent="0.3">
      <c r="A39" s="46" t="b">
        <v>1</v>
      </c>
      <c r="B39" s="47" t="s">
        <v>227</v>
      </c>
      <c r="C39" s="39">
        <f>C36+100</f>
        <v>2030201</v>
      </c>
      <c r="D39" s="48">
        <f>ServantPieceStore!$F$7</f>
        <v>1030101</v>
      </c>
      <c r="E39" s="39">
        <f>E36+1</f>
        <v>2</v>
      </c>
      <c r="F39" s="48">
        <v>40</v>
      </c>
      <c r="G39" s="45">
        <v>155101001</v>
      </c>
      <c r="H39" s="48">
        <v>1</v>
      </c>
      <c r="I39" s="48" t="str">
        <f t="shared" si="0"/>
        <v>Gem</v>
      </c>
      <c r="J39" s="48">
        <f>H39*30</f>
        <v>30</v>
      </c>
    </row>
    <row r="40" spans="1:10" ht="16.5" customHeight="1" x14ac:dyDescent="0.3">
      <c r="A40" s="46" t="b">
        <v>1</v>
      </c>
      <c r="B40" s="47" t="s">
        <v>227</v>
      </c>
      <c r="C40" s="48">
        <f t="shared" ref="C40:C50" si="3">C39+1</f>
        <v>2030202</v>
      </c>
      <c r="D40" s="48">
        <f>ServantPieceStore!$F$7</f>
        <v>1030101</v>
      </c>
      <c r="E40" s="48">
        <f t="shared" ref="E40:E50" si="4">E39</f>
        <v>2</v>
      </c>
      <c r="F40" s="48">
        <v>30</v>
      </c>
      <c r="G40" s="48">
        <f>G39+1</f>
        <v>155101002</v>
      </c>
      <c r="H40" s="48">
        <v>2</v>
      </c>
      <c r="I40" s="48" t="str">
        <f t="shared" si="0"/>
        <v>Gold</v>
      </c>
      <c r="J40" s="48">
        <f>H40*10000</f>
        <v>20000</v>
      </c>
    </row>
    <row r="41" spans="1:10" ht="16.5" customHeight="1" x14ac:dyDescent="0.3">
      <c r="A41" s="46" t="b">
        <v>1</v>
      </c>
      <c r="B41" s="47" t="s">
        <v>227</v>
      </c>
      <c r="C41" s="48">
        <f t="shared" si="3"/>
        <v>2030203</v>
      </c>
      <c r="D41" s="48">
        <f>ServantPieceStore!$F$7</f>
        <v>1030101</v>
      </c>
      <c r="E41" s="48">
        <f t="shared" si="4"/>
        <v>2</v>
      </c>
      <c r="F41" s="48">
        <v>20</v>
      </c>
      <c r="G41" s="48">
        <f>G40+1</f>
        <v>155101003</v>
      </c>
      <c r="H41" s="48">
        <v>2</v>
      </c>
      <c r="I41" s="48" t="str">
        <f t="shared" si="0"/>
        <v>Gem</v>
      </c>
      <c r="J41" s="48">
        <f>H41*30</f>
        <v>60</v>
      </c>
    </row>
    <row r="42" spans="1:10" ht="16.5" customHeight="1" x14ac:dyDescent="0.3">
      <c r="A42" s="46" t="b">
        <v>1</v>
      </c>
      <c r="B42" s="47" t="s">
        <v>227</v>
      </c>
      <c r="C42" s="48">
        <f t="shared" si="3"/>
        <v>2030204</v>
      </c>
      <c r="D42" s="48">
        <f>ServantPieceStore!$F$7</f>
        <v>1030101</v>
      </c>
      <c r="E42" s="48">
        <f t="shared" si="4"/>
        <v>2</v>
      </c>
      <c r="F42" s="48">
        <v>20</v>
      </c>
      <c r="G42" s="48">
        <f>G41+1</f>
        <v>155101004</v>
      </c>
      <c r="H42" s="48">
        <v>1</v>
      </c>
      <c r="I42" s="48" t="str">
        <f t="shared" si="0"/>
        <v>Gold</v>
      </c>
      <c r="J42" s="48">
        <f>H42*10000</f>
        <v>10000</v>
      </c>
    </row>
    <row r="43" spans="1:10" ht="16.5" customHeight="1" x14ac:dyDescent="0.3">
      <c r="A43" s="46" t="b">
        <v>1</v>
      </c>
      <c r="B43" s="47" t="s">
        <v>227</v>
      </c>
      <c r="C43" s="48">
        <f t="shared" si="3"/>
        <v>2030205</v>
      </c>
      <c r="D43" s="48">
        <f>ServantPieceStore!$F$7</f>
        <v>1030101</v>
      </c>
      <c r="E43" s="48">
        <f t="shared" si="4"/>
        <v>2</v>
      </c>
      <c r="F43" s="48">
        <v>10</v>
      </c>
      <c r="G43" s="48">
        <f>G42+1</f>
        <v>155101005</v>
      </c>
      <c r="H43" s="48">
        <v>2</v>
      </c>
      <c r="I43" s="48" t="str">
        <f t="shared" si="0"/>
        <v>Gem</v>
      </c>
      <c r="J43" s="48">
        <f>H43*30</f>
        <v>60</v>
      </c>
    </row>
    <row r="44" spans="1:10" ht="16.5" customHeight="1" x14ac:dyDescent="0.3">
      <c r="A44" s="46" t="b">
        <v>1</v>
      </c>
      <c r="B44" s="47" t="s">
        <v>227</v>
      </c>
      <c r="C44" s="48">
        <f t="shared" si="3"/>
        <v>2030206</v>
      </c>
      <c r="D44" s="48">
        <f>ServantPieceStore!$F$7</f>
        <v>1030101</v>
      </c>
      <c r="E44" s="48">
        <f t="shared" si="4"/>
        <v>2</v>
      </c>
      <c r="F44" s="48">
        <v>10</v>
      </c>
      <c r="G44" s="48">
        <f>G43+1</f>
        <v>155101006</v>
      </c>
      <c r="H44" s="48">
        <v>2</v>
      </c>
      <c r="I44" s="48" t="str">
        <f t="shared" si="0"/>
        <v>Gold</v>
      </c>
      <c r="J44" s="48">
        <f>H44*10000</f>
        <v>20000</v>
      </c>
    </row>
    <row r="45" spans="1:10" ht="16.5" customHeight="1" x14ac:dyDescent="0.3">
      <c r="A45" s="46" t="b">
        <v>1</v>
      </c>
      <c r="B45" s="47" t="s">
        <v>227</v>
      </c>
      <c r="C45" s="48">
        <f t="shared" si="3"/>
        <v>2030207</v>
      </c>
      <c r="D45" s="48">
        <f>ServantPieceStore!$F$7</f>
        <v>1030101</v>
      </c>
      <c r="E45" s="48">
        <f t="shared" si="4"/>
        <v>2</v>
      </c>
      <c r="F45" s="48">
        <v>10</v>
      </c>
      <c r="G45" s="45" t="s">
        <v>152</v>
      </c>
      <c r="H45" s="48">
        <v>1</v>
      </c>
      <c r="I45" s="48" t="str">
        <f t="shared" si="0"/>
        <v>Gem</v>
      </c>
      <c r="J45" s="48">
        <f t="shared" ref="J45:J46" si="5">H45*30</f>
        <v>30</v>
      </c>
    </row>
    <row r="46" spans="1:10" ht="16.5" customHeight="1" x14ac:dyDescent="0.3">
      <c r="A46" s="46" t="b">
        <v>1</v>
      </c>
      <c r="B46" s="47" t="s">
        <v>227</v>
      </c>
      <c r="C46" s="48">
        <f t="shared" si="3"/>
        <v>2030208</v>
      </c>
      <c r="D46" s="48">
        <f>ServantPieceStore!$F$7</f>
        <v>1030101</v>
      </c>
      <c r="E46" s="48">
        <f t="shared" si="4"/>
        <v>2</v>
      </c>
      <c r="F46" s="48">
        <v>5</v>
      </c>
      <c r="G46" s="48">
        <f>G45+1</f>
        <v>155102002</v>
      </c>
      <c r="H46" s="48">
        <v>2</v>
      </c>
      <c r="I46" s="48" t="str">
        <f t="shared" si="0"/>
        <v>Gem</v>
      </c>
      <c r="J46" s="48">
        <f t="shared" si="5"/>
        <v>60</v>
      </c>
    </row>
    <row r="47" spans="1:10" ht="16.5" customHeight="1" x14ac:dyDescent="0.3">
      <c r="A47" s="46" t="b">
        <v>1</v>
      </c>
      <c r="B47" s="47" t="s">
        <v>227</v>
      </c>
      <c r="C47" s="48">
        <f t="shared" si="3"/>
        <v>2030209</v>
      </c>
      <c r="D47" s="48">
        <f>ServantPieceStore!$F$7</f>
        <v>1030101</v>
      </c>
      <c r="E47" s="48">
        <f t="shared" si="4"/>
        <v>2</v>
      </c>
      <c r="F47" s="48">
        <v>5</v>
      </c>
      <c r="G47" s="48">
        <f>G46+1</f>
        <v>155102003</v>
      </c>
      <c r="H47" s="48">
        <v>2</v>
      </c>
      <c r="I47" s="48" t="str">
        <f t="shared" si="0"/>
        <v>Gold</v>
      </c>
      <c r="J47" s="48">
        <f>H47*10000</f>
        <v>20000</v>
      </c>
    </row>
    <row r="48" spans="1:10" ht="16.5" customHeight="1" x14ac:dyDescent="0.3">
      <c r="A48" s="46" t="b">
        <v>1</v>
      </c>
      <c r="B48" s="47" t="s">
        <v>227</v>
      </c>
      <c r="C48" s="48">
        <f t="shared" si="3"/>
        <v>2030210</v>
      </c>
      <c r="D48" s="48">
        <f>ServantPieceStore!$F$7</f>
        <v>1030101</v>
      </c>
      <c r="E48" s="48">
        <f t="shared" si="4"/>
        <v>2</v>
      </c>
      <c r="F48" s="48">
        <v>5</v>
      </c>
      <c r="G48" s="48">
        <f>G47+1</f>
        <v>155102004</v>
      </c>
      <c r="H48" s="48">
        <v>1</v>
      </c>
      <c r="I48" s="48" t="str">
        <f t="shared" si="0"/>
        <v>Gem</v>
      </c>
      <c r="J48" s="48">
        <f t="shared" ref="J48:J49" si="6">H48*30</f>
        <v>30</v>
      </c>
    </row>
    <row r="49" spans="1:10" ht="16.5" customHeight="1" x14ac:dyDescent="0.3">
      <c r="A49" s="46" t="b">
        <v>1</v>
      </c>
      <c r="B49" s="47" t="s">
        <v>227</v>
      </c>
      <c r="C49" s="48">
        <f t="shared" si="3"/>
        <v>2030211</v>
      </c>
      <c r="D49" s="48">
        <f>ServantPieceStore!$F$7</f>
        <v>1030101</v>
      </c>
      <c r="E49" s="48">
        <f t="shared" si="4"/>
        <v>2</v>
      </c>
      <c r="F49" s="48">
        <v>5</v>
      </c>
      <c r="G49" s="48">
        <f>G48+1</f>
        <v>155102005</v>
      </c>
      <c r="H49" s="48">
        <v>2</v>
      </c>
      <c r="I49" s="48" t="str">
        <f t="shared" si="0"/>
        <v>Gem</v>
      </c>
      <c r="J49" s="48">
        <f t="shared" si="6"/>
        <v>60</v>
      </c>
    </row>
    <row r="50" spans="1:10" ht="16.5" customHeight="1" x14ac:dyDescent="0.3">
      <c r="A50" s="46" t="b">
        <v>1</v>
      </c>
      <c r="B50" s="47" t="s">
        <v>227</v>
      </c>
      <c r="C50" s="48">
        <f t="shared" si="3"/>
        <v>2030212</v>
      </c>
      <c r="D50" s="48">
        <f>ServantPieceStore!$F$7</f>
        <v>1030101</v>
      </c>
      <c r="E50" s="48">
        <f t="shared" si="4"/>
        <v>2</v>
      </c>
      <c r="F50" s="48">
        <v>5</v>
      </c>
      <c r="G50" s="48">
        <f>G49+1</f>
        <v>155102006</v>
      </c>
      <c r="H50" s="48">
        <v>2</v>
      </c>
      <c r="I50" s="48" t="str">
        <f t="shared" si="0"/>
        <v>Gold</v>
      </c>
      <c r="J50" s="48">
        <f>H50*10000</f>
        <v>20000</v>
      </c>
    </row>
    <row r="51" spans="1:10" ht="16.5" customHeight="1" x14ac:dyDescent="0.3">
      <c r="A51" s="37" t="b">
        <v>1</v>
      </c>
      <c r="B51" s="38" t="s">
        <v>228</v>
      </c>
      <c r="C51" s="39">
        <f>C39+100</f>
        <v>2030301</v>
      </c>
      <c r="D51" s="40">
        <f>ServantPieceStore!$F$7</f>
        <v>1030101</v>
      </c>
      <c r="E51" s="39">
        <f>E39+1</f>
        <v>3</v>
      </c>
      <c r="F51" s="40">
        <v>20</v>
      </c>
      <c r="G51" s="45">
        <v>155101001</v>
      </c>
      <c r="H51" s="40">
        <v>1</v>
      </c>
      <c r="I51" s="40" t="str">
        <f t="shared" si="0"/>
        <v>Gem</v>
      </c>
      <c r="J51" s="40">
        <f>H51*30</f>
        <v>30</v>
      </c>
    </row>
    <row r="52" spans="1:10" ht="16.5" customHeight="1" x14ac:dyDescent="0.3">
      <c r="A52" s="37" t="b">
        <v>1</v>
      </c>
      <c r="B52" s="38" t="s">
        <v>228</v>
      </c>
      <c r="C52" s="40">
        <f t="shared" ref="C52:C62" si="7">C51+1</f>
        <v>2030302</v>
      </c>
      <c r="D52" s="40">
        <f>ServantPieceStore!$F$7</f>
        <v>1030101</v>
      </c>
      <c r="E52" s="40">
        <f t="shared" ref="E52:E62" si="8">E51</f>
        <v>3</v>
      </c>
      <c r="F52" s="40">
        <v>20</v>
      </c>
      <c r="G52" s="40">
        <f>G51+1</f>
        <v>155101002</v>
      </c>
      <c r="H52" s="40">
        <v>2</v>
      </c>
      <c r="I52" s="40" t="str">
        <f t="shared" si="0"/>
        <v>Gold</v>
      </c>
      <c r="J52" s="40">
        <f>H52*10000</f>
        <v>20000</v>
      </c>
    </row>
    <row r="53" spans="1:10" ht="16.5" customHeight="1" x14ac:dyDescent="0.3">
      <c r="A53" s="37" t="b">
        <v>1</v>
      </c>
      <c r="B53" s="38" t="s">
        <v>228</v>
      </c>
      <c r="C53" s="40">
        <f t="shared" si="7"/>
        <v>2030303</v>
      </c>
      <c r="D53" s="40">
        <f>ServantPieceStore!$F$7</f>
        <v>1030101</v>
      </c>
      <c r="E53" s="40">
        <f t="shared" si="8"/>
        <v>3</v>
      </c>
      <c r="F53" s="40">
        <v>20</v>
      </c>
      <c r="G53" s="40">
        <f>G52+1</f>
        <v>155101003</v>
      </c>
      <c r="H53" s="40">
        <v>2</v>
      </c>
      <c r="I53" s="40" t="str">
        <f t="shared" si="0"/>
        <v>Gem</v>
      </c>
      <c r="J53" s="40">
        <f>H53*30</f>
        <v>60</v>
      </c>
    </row>
    <row r="54" spans="1:10" ht="16.5" customHeight="1" x14ac:dyDescent="0.3">
      <c r="A54" s="37" t="b">
        <v>1</v>
      </c>
      <c r="B54" s="38" t="s">
        <v>228</v>
      </c>
      <c r="C54" s="40">
        <f t="shared" si="7"/>
        <v>2030304</v>
      </c>
      <c r="D54" s="40">
        <f>ServantPieceStore!$F$7</f>
        <v>1030101</v>
      </c>
      <c r="E54" s="40">
        <f t="shared" si="8"/>
        <v>3</v>
      </c>
      <c r="F54" s="40">
        <v>20</v>
      </c>
      <c r="G54" s="40">
        <f>G53+1</f>
        <v>155101004</v>
      </c>
      <c r="H54" s="40">
        <v>1</v>
      </c>
      <c r="I54" s="40" t="str">
        <f t="shared" si="0"/>
        <v>Gold</v>
      </c>
      <c r="J54" s="40">
        <f>H54*10000</f>
        <v>10000</v>
      </c>
    </row>
    <row r="55" spans="1:10" ht="16.5" customHeight="1" x14ac:dyDescent="0.3">
      <c r="A55" s="37" t="b">
        <v>1</v>
      </c>
      <c r="B55" s="38" t="s">
        <v>228</v>
      </c>
      <c r="C55" s="40">
        <f t="shared" si="7"/>
        <v>2030305</v>
      </c>
      <c r="D55" s="40">
        <f>ServantPieceStore!$F$7</f>
        <v>1030101</v>
      </c>
      <c r="E55" s="40">
        <f t="shared" si="8"/>
        <v>3</v>
      </c>
      <c r="F55" s="40">
        <v>20</v>
      </c>
      <c r="G55" s="40">
        <f>G54+1</f>
        <v>155101005</v>
      </c>
      <c r="H55" s="40">
        <v>2</v>
      </c>
      <c r="I55" s="40" t="str">
        <f t="shared" si="0"/>
        <v>Gem</v>
      </c>
      <c r="J55" s="40">
        <f>H55*30</f>
        <v>60</v>
      </c>
    </row>
    <row r="56" spans="1:10" ht="16.5" customHeight="1" x14ac:dyDescent="0.3">
      <c r="A56" s="37" t="b">
        <v>1</v>
      </c>
      <c r="B56" s="38" t="s">
        <v>228</v>
      </c>
      <c r="C56" s="40">
        <f t="shared" si="7"/>
        <v>2030306</v>
      </c>
      <c r="D56" s="40">
        <f>ServantPieceStore!$F$7</f>
        <v>1030101</v>
      </c>
      <c r="E56" s="40">
        <f t="shared" si="8"/>
        <v>3</v>
      </c>
      <c r="F56" s="40">
        <v>20</v>
      </c>
      <c r="G56" s="40">
        <f>G55+1</f>
        <v>155101006</v>
      </c>
      <c r="H56" s="40">
        <v>2</v>
      </c>
      <c r="I56" s="40" t="str">
        <f t="shared" si="0"/>
        <v>Gold</v>
      </c>
      <c r="J56" s="40">
        <f>H56*10000</f>
        <v>20000</v>
      </c>
    </row>
    <row r="57" spans="1:10" ht="16.5" customHeight="1" x14ac:dyDescent="0.3">
      <c r="A57" s="37" t="b">
        <v>1</v>
      </c>
      <c r="B57" s="38" t="s">
        <v>228</v>
      </c>
      <c r="C57" s="40">
        <f t="shared" si="7"/>
        <v>2030307</v>
      </c>
      <c r="D57" s="40">
        <f>ServantPieceStore!$F$7</f>
        <v>1030101</v>
      </c>
      <c r="E57" s="40">
        <f t="shared" si="8"/>
        <v>3</v>
      </c>
      <c r="F57" s="40">
        <v>20</v>
      </c>
      <c r="G57" s="45" t="s">
        <v>152</v>
      </c>
      <c r="H57" s="40">
        <v>1</v>
      </c>
      <c r="I57" s="40" t="str">
        <f t="shared" si="0"/>
        <v>Gem</v>
      </c>
      <c r="J57" s="40">
        <f t="shared" ref="J57:J58" si="9">H57*30</f>
        <v>30</v>
      </c>
    </row>
    <row r="58" spans="1:10" ht="16.5" customHeight="1" x14ac:dyDescent="0.3">
      <c r="A58" s="37" t="b">
        <v>1</v>
      </c>
      <c r="B58" s="38" t="s">
        <v>228</v>
      </c>
      <c r="C58" s="40">
        <f t="shared" si="7"/>
        <v>2030308</v>
      </c>
      <c r="D58" s="40">
        <f>ServantPieceStore!$F$7</f>
        <v>1030101</v>
      </c>
      <c r="E58" s="40">
        <f t="shared" si="8"/>
        <v>3</v>
      </c>
      <c r="F58" s="40">
        <v>20</v>
      </c>
      <c r="G58" s="40">
        <f>G57+1</f>
        <v>155102002</v>
      </c>
      <c r="H58" s="40">
        <v>2</v>
      </c>
      <c r="I58" s="40" t="str">
        <f t="shared" si="0"/>
        <v>Gem</v>
      </c>
      <c r="J58" s="40">
        <f t="shared" si="9"/>
        <v>60</v>
      </c>
    </row>
    <row r="59" spans="1:10" ht="16.5" customHeight="1" x14ac:dyDescent="0.3">
      <c r="A59" s="37" t="b">
        <v>1</v>
      </c>
      <c r="B59" s="38" t="s">
        <v>228</v>
      </c>
      <c r="C59" s="40">
        <f t="shared" si="7"/>
        <v>2030309</v>
      </c>
      <c r="D59" s="40">
        <f>ServantPieceStore!$F$7</f>
        <v>1030101</v>
      </c>
      <c r="E59" s="40">
        <f t="shared" si="8"/>
        <v>3</v>
      </c>
      <c r="F59" s="40">
        <v>20</v>
      </c>
      <c r="G59" s="40">
        <f>G58+1</f>
        <v>155102003</v>
      </c>
      <c r="H59" s="40">
        <v>2</v>
      </c>
      <c r="I59" s="40" t="str">
        <f t="shared" si="0"/>
        <v>Gold</v>
      </c>
      <c r="J59" s="40">
        <f>H59*10000</f>
        <v>20000</v>
      </c>
    </row>
    <row r="60" spans="1:10" ht="16.5" customHeight="1" x14ac:dyDescent="0.3">
      <c r="A60" s="37" t="b">
        <v>1</v>
      </c>
      <c r="B60" s="38" t="s">
        <v>228</v>
      </c>
      <c r="C60" s="40">
        <f t="shared" si="7"/>
        <v>2030310</v>
      </c>
      <c r="D60" s="40">
        <f>ServantPieceStore!$F$7</f>
        <v>1030101</v>
      </c>
      <c r="E60" s="40">
        <f t="shared" si="8"/>
        <v>3</v>
      </c>
      <c r="F60" s="40">
        <v>20</v>
      </c>
      <c r="G60" s="40">
        <f>G59+1</f>
        <v>155102004</v>
      </c>
      <c r="H60" s="40">
        <v>1</v>
      </c>
      <c r="I60" s="40" t="str">
        <f t="shared" si="0"/>
        <v>Gem</v>
      </c>
      <c r="J60" s="40">
        <f t="shared" ref="J60:J61" si="10">H60*30</f>
        <v>30</v>
      </c>
    </row>
    <row r="61" spans="1:10" ht="16.5" customHeight="1" x14ac:dyDescent="0.3">
      <c r="A61" s="37" t="b">
        <v>1</v>
      </c>
      <c r="B61" s="38" t="s">
        <v>228</v>
      </c>
      <c r="C61" s="40">
        <f t="shared" si="7"/>
        <v>2030311</v>
      </c>
      <c r="D61" s="40">
        <f>ServantPieceStore!$F$7</f>
        <v>1030101</v>
      </c>
      <c r="E61" s="40">
        <f t="shared" si="8"/>
        <v>3</v>
      </c>
      <c r="F61" s="40">
        <v>20</v>
      </c>
      <c r="G61" s="40">
        <f>G60+1</f>
        <v>155102005</v>
      </c>
      <c r="H61" s="40">
        <v>2</v>
      </c>
      <c r="I61" s="40" t="str">
        <f t="shared" si="0"/>
        <v>Gem</v>
      </c>
      <c r="J61" s="40">
        <f t="shared" si="10"/>
        <v>60</v>
      </c>
    </row>
    <row r="62" spans="1:10" ht="16.5" customHeight="1" x14ac:dyDescent="0.3">
      <c r="A62" s="37" t="b">
        <v>1</v>
      </c>
      <c r="B62" s="38" t="s">
        <v>228</v>
      </c>
      <c r="C62" s="40">
        <f t="shared" si="7"/>
        <v>2030312</v>
      </c>
      <c r="D62" s="40">
        <f>ServantPieceStore!$F$7</f>
        <v>1030101</v>
      </c>
      <c r="E62" s="40">
        <f t="shared" si="8"/>
        <v>3</v>
      </c>
      <c r="F62" s="40">
        <v>20</v>
      </c>
      <c r="G62" s="40">
        <f>G61+1</f>
        <v>155102006</v>
      </c>
      <c r="H62" s="40">
        <v>2</v>
      </c>
      <c r="I62" s="40" t="str">
        <f t="shared" si="0"/>
        <v>Gold</v>
      </c>
      <c r="J62" s="40">
        <f>H62*10000</f>
        <v>20000</v>
      </c>
    </row>
    <row r="63" spans="1:10" ht="16.5" customHeight="1" x14ac:dyDescent="0.3">
      <c r="A63" s="46" t="b">
        <v>1</v>
      </c>
      <c r="B63" s="47" t="s">
        <v>229</v>
      </c>
      <c r="C63" s="39">
        <f>C51+100</f>
        <v>2030401</v>
      </c>
      <c r="D63" s="48">
        <f>ServantPieceStore!$F$7</f>
        <v>1030101</v>
      </c>
      <c r="E63" s="39">
        <f>E51+1</f>
        <v>4</v>
      </c>
      <c r="F63" s="48">
        <v>20</v>
      </c>
      <c r="G63" s="45">
        <v>155101001</v>
      </c>
      <c r="H63" s="48">
        <v>1</v>
      </c>
      <c r="I63" s="48" t="str">
        <f t="shared" si="0"/>
        <v>Gem</v>
      </c>
      <c r="J63" s="48">
        <f>H63*30</f>
        <v>30</v>
      </c>
    </row>
    <row r="64" spans="1:10" ht="16.5" customHeight="1" x14ac:dyDescent="0.3">
      <c r="A64" s="46" t="b">
        <v>1</v>
      </c>
      <c r="B64" s="47" t="s">
        <v>229</v>
      </c>
      <c r="C64" s="48">
        <f t="shared" ref="C64:C74" si="11">C63+1</f>
        <v>2030402</v>
      </c>
      <c r="D64" s="48">
        <f>ServantPieceStore!$F$7</f>
        <v>1030101</v>
      </c>
      <c r="E64" s="48">
        <f t="shared" ref="E64:E74" si="12">E63</f>
        <v>4</v>
      </c>
      <c r="F64" s="48">
        <v>20</v>
      </c>
      <c r="G64" s="48">
        <f>G63+1</f>
        <v>155101002</v>
      </c>
      <c r="H64" s="48">
        <v>2</v>
      </c>
      <c r="I64" s="48" t="str">
        <f t="shared" si="0"/>
        <v>Gold</v>
      </c>
      <c r="J64" s="48">
        <f>H64*10000</f>
        <v>20000</v>
      </c>
    </row>
    <row r="65" spans="1:10" ht="16.5" customHeight="1" x14ac:dyDescent="0.3">
      <c r="A65" s="46" t="b">
        <v>1</v>
      </c>
      <c r="B65" s="47" t="s">
        <v>229</v>
      </c>
      <c r="C65" s="48">
        <f t="shared" si="11"/>
        <v>2030403</v>
      </c>
      <c r="D65" s="48">
        <f>ServantPieceStore!$F$7</f>
        <v>1030101</v>
      </c>
      <c r="E65" s="48">
        <f t="shared" si="12"/>
        <v>4</v>
      </c>
      <c r="F65" s="48">
        <v>20</v>
      </c>
      <c r="G65" s="48">
        <f>G64+1</f>
        <v>155101003</v>
      </c>
      <c r="H65" s="48">
        <v>2</v>
      </c>
      <c r="I65" s="48" t="str">
        <f t="shared" si="0"/>
        <v>Gem</v>
      </c>
      <c r="J65" s="48">
        <f>H65*30</f>
        <v>60</v>
      </c>
    </row>
    <row r="66" spans="1:10" ht="16.5" customHeight="1" x14ac:dyDescent="0.3">
      <c r="A66" s="46" t="b">
        <v>1</v>
      </c>
      <c r="B66" s="47" t="s">
        <v>229</v>
      </c>
      <c r="C66" s="48">
        <f t="shared" si="11"/>
        <v>2030404</v>
      </c>
      <c r="D66" s="48">
        <f>ServantPieceStore!$F$7</f>
        <v>1030101</v>
      </c>
      <c r="E66" s="48">
        <f t="shared" si="12"/>
        <v>4</v>
      </c>
      <c r="F66" s="48">
        <v>20</v>
      </c>
      <c r="G66" s="48">
        <f>G65+1</f>
        <v>155101004</v>
      </c>
      <c r="H66" s="48">
        <v>1</v>
      </c>
      <c r="I66" s="48" t="str">
        <f t="shared" si="0"/>
        <v>Gold</v>
      </c>
      <c r="J66" s="48">
        <f>H66*10000</f>
        <v>10000</v>
      </c>
    </row>
    <row r="67" spans="1:10" ht="16.5" customHeight="1" x14ac:dyDescent="0.3">
      <c r="A67" s="46" t="b">
        <v>1</v>
      </c>
      <c r="B67" s="47" t="s">
        <v>229</v>
      </c>
      <c r="C67" s="48">
        <f t="shared" si="11"/>
        <v>2030405</v>
      </c>
      <c r="D67" s="48">
        <f>ServantPieceStore!$F$7</f>
        <v>1030101</v>
      </c>
      <c r="E67" s="48">
        <f t="shared" si="12"/>
        <v>4</v>
      </c>
      <c r="F67" s="48">
        <v>20</v>
      </c>
      <c r="G67" s="48">
        <f>G66+1</f>
        <v>155101005</v>
      </c>
      <c r="H67" s="48">
        <v>2</v>
      </c>
      <c r="I67" s="48" t="str">
        <f t="shared" si="0"/>
        <v>Gem</v>
      </c>
      <c r="J67" s="48">
        <f>H67*30</f>
        <v>60</v>
      </c>
    </row>
    <row r="68" spans="1:10" ht="16.5" customHeight="1" x14ac:dyDescent="0.3">
      <c r="A68" s="46" t="b">
        <v>1</v>
      </c>
      <c r="B68" s="47" t="s">
        <v>229</v>
      </c>
      <c r="C68" s="48">
        <f t="shared" si="11"/>
        <v>2030406</v>
      </c>
      <c r="D68" s="48">
        <f>ServantPieceStore!$F$7</f>
        <v>1030101</v>
      </c>
      <c r="E68" s="48">
        <f t="shared" si="12"/>
        <v>4</v>
      </c>
      <c r="F68" s="48">
        <v>20</v>
      </c>
      <c r="G68" s="48">
        <f>G67+1</f>
        <v>155101006</v>
      </c>
      <c r="H68" s="48">
        <v>2</v>
      </c>
      <c r="I68" s="48" t="str">
        <f t="shared" si="0"/>
        <v>Gold</v>
      </c>
      <c r="J68" s="48">
        <f>H68*10000</f>
        <v>20000</v>
      </c>
    </row>
    <row r="69" spans="1:10" ht="16.5" customHeight="1" x14ac:dyDescent="0.3">
      <c r="A69" s="46" t="b">
        <v>1</v>
      </c>
      <c r="B69" s="47" t="s">
        <v>229</v>
      </c>
      <c r="C69" s="48">
        <f t="shared" si="11"/>
        <v>2030407</v>
      </c>
      <c r="D69" s="48">
        <f>ServantPieceStore!$F$7</f>
        <v>1030101</v>
      </c>
      <c r="E69" s="48">
        <f t="shared" si="12"/>
        <v>4</v>
      </c>
      <c r="F69" s="48">
        <v>20</v>
      </c>
      <c r="G69" s="45" t="s">
        <v>152</v>
      </c>
      <c r="H69" s="48">
        <v>1</v>
      </c>
      <c r="I69" s="48" t="str">
        <f t="shared" si="0"/>
        <v>Gem</v>
      </c>
      <c r="J69" s="48">
        <f>H69*30</f>
        <v>30</v>
      </c>
    </row>
    <row r="70" spans="1:10" ht="16.5" customHeight="1" x14ac:dyDescent="0.3">
      <c r="A70" s="46" t="b">
        <v>1</v>
      </c>
      <c r="B70" s="47" t="s">
        <v>229</v>
      </c>
      <c r="C70" s="48">
        <f t="shared" si="11"/>
        <v>2030408</v>
      </c>
      <c r="D70" s="48">
        <f>ServantPieceStore!$F$7</f>
        <v>1030101</v>
      </c>
      <c r="E70" s="48">
        <f t="shared" si="12"/>
        <v>4</v>
      </c>
      <c r="F70" s="48">
        <v>20</v>
      </c>
      <c r="G70" s="48">
        <f>G69+1</f>
        <v>155102002</v>
      </c>
      <c r="H70" s="48">
        <v>2</v>
      </c>
      <c r="I70" s="48" t="str">
        <f t="shared" ref="I70:I133" si="13">IF(J70&lt;1000,"Gem",IF(J70&gt;1000,"Gold"))</f>
        <v>Gem</v>
      </c>
      <c r="J70" s="48">
        <f>H70*30</f>
        <v>60</v>
      </c>
    </row>
    <row r="71" spans="1:10" ht="16.5" customHeight="1" x14ac:dyDescent="0.3">
      <c r="A71" s="46" t="b">
        <v>1</v>
      </c>
      <c r="B71" s="47" t="s">
        <v>229</v>
      </c>
      <c r="C71" s="48">
        <f t="shared" si="11"/>
        <v>2030409</v>
      </c>
      <c r="D71" s="48">
        <f>ServantPieceStore!$F$7</f>
        <v>1030101</v>
      </c>
      <c r="E71" s="48">
        <f t="shared" si="12"/>
        <v>4</v>
      </c>
      <c r="F71" s="48">
        <v>20</v>
      </c>
      <c r="G71" s="48">
        <f>G70+1</f>
        <v>155102003</v>
      </c>
      <c r="H71" s="48">
        <v>2</v>
      </c>
      <c r="I71" s="48" t="str">
        <f t="shared" si="13"/>
        <v>Gold</v>
      </c>
      <c r="J71" s="48">
        <f>H71*10000</f>
        <v>20000</v>
      </c>
    </row>
    <row r="72" spans="1:10" ht="16.5" customHeight="1" x14ac:dyDescent="0.3">
      <c r="A72" s="46" t="b">
        <v>1</v>
      </c>
      <c r="B72" s="47" t="s">
        <v>229</v>
      </c>
      <c r="C72" s="48">
        <f t="shared" si="11"/>
        <v>2030410</v>
      </c>
      <c r="D72" s="48">
        <f>ServantPieceStore!$F$7</f>
        <v>1030101</v>
      </c>
      <c r="E72" s="48">
        <f t="shared" si="12"/>
        <v>4</v>
      </c>
      <c r="F72" s="48">
        <v>20</v>
      </c>
      <c r="G72" s="48">
        <f>G71+1</f>
        <v>155102004</v>
      </c>
      <c r="H72" s="48">
        <v>1</v>
      </c>
      <c r="I72" s="48" t="str">
        <f t="shared" si="13"/>
        <v>Gem</v>
      </c>
      <c r="J72" s="48">
        <f>H72*30</f>
        <v>30</v>
      </c>
    </row>
    <row r="73" spans="1:10" ht="16.5" customHeight="1" x14ac:dyDescent="0.3">
      <c r="A73" s="46" t="b">
        <v>1</v>
      </c>
      <c r="B73" s="47" t="s">
        <v>229</v>
      </c>
      <c r="C73" s="48">
        <f t="shared" si="11"/>
        <v>2030411</v>
      </c>
      <c r="D73" s="48">
        <f>ServantPieceStore!$F$7</f>
        <v>1030101</v>
      </c>
      <c r="E73" s="48">
        <f t="shared" si="12"/>
        <v>4</v>
      </c>
      <c r="F73" s="48">
        <v>20</v>
      </c>
      <c r="G73" s="48">
        <f>G72+1</f>
        <v>155102005</v>
      </c>
      <c r="H73" s="48">
        <v>2</v>
      </c>
      <c r="I73" s="48" t="str">
        <f t="shared" si="13"/>
        <v>Gem</v>
      </c>
      <c r="J73" s="48">
        <f>H73*30</f>
        <v>60</v>
      </c>
    </row>
    <row r="74" spans="1:10" ht="16.5" customHeight="1" x14ac:dyDescent="0.3">
      <c r="A74" s="46" t="b">
        <v>1</v>
      </c>
      <c r="B74" s="47" t="s">
        <v>229</v>
      </c>
      <c r="C74" s="48">
        <f t="shared" si="11"/>
        <v>2030412</v>
      </c>
      <c r="D74" s="48">
        <f>ServantPieceStore!$F$7</f>
        <v>1030101</v>
      </c>
      <c r="E74" s="48">
        <f t="shared" si="12"/>
        <v>4</v>
      </c>
      <c r="F74" s="48">
        <v>20</v>
      </c>
      <c r="G74" s="48">
        <f>G73+1</f>
        <v>155102006</v>
      </c>
      <c r="H74" s="48">
        <v>2</v>
      </c>
      <c r="I74" s="48" t="str">
        <f t="shared" si="13"/>
        <v>Gold</v>
      </c>
      <c r="J74" s="48">
        <f>H74*10000</f>
        <v>20000</v>
      </c>
    </row>
    <row r="75" spans="1:10" ht="16.5" customHeight="1" x14ac:dyDescent="0.3">
      <c r="A75" s="37" t="b">
        <v>1</v>
      </c>
      <c r="B75" s="38" t="s">
        <v>230</v>
      </c>
      <c r="C75" s="39">
        <f>C63+100</f>
        <v>2030501</v>
      </c>
      <c r="D75" s="40">
        <f>ServantPieceStore!$F$7</f>
        <v>1030101</v>
      </c>
      <c r="E75" s="39">
        <f>E63+1</f>
        <v>5</v>
      </c>
      <c r="F75" s="40">
        <v>5</v>
      </c>
      <c r="G75" s="45">
        <v>155101001</v>
      </c>
      <c r="H75" s="40">
        <v>1</v>
      </c>
      <c r="I75" s="40" t="str">
        <f t="shared" si="13"/>
        <v>Gem</v>
      </c>
      <c r="J75" s="40">
        <f>H75*30</f>
        <v>30</v>
      </c>
    </row>
    <row r="76" spans="1:10" ht="16.5" customHeight="1" x14ac:dyDescent="0.3">
      <c r="A76" s="37" t="b">
        <v>1</v>
      </c>
      <c r="B76" s="38" t="s">
        <v>230</v>
      </c>
      <c r="C76" s="40">
        <f t="shared" ref="C76:C86" si="14">C75+1</f>
        <v>2030502</v>
      </c>
      <c r="D76" s="40">
        <f>ServantPieceStore!$F$7</f>
        <v>1030101</v>
      </c>
      <c r="E76" s="40">
        <f t="shared" ref="E76:E86" si="15">E75</f>
        <v>5</v>
      </c>
      <c r="F76" s="40">
        <v>5</v>
      </c>
      <c r="G76" s="40">
        <f>G75+1</f>
        <v>155101002</v>
      </c>
      <c r="H76" s="40">
        <v>2</v>
      </c>
      <c r="I76" s="40" t="str">
        <f t="shared" si="13"/>
        <v>Gold</v>
      </c>
      <c r="J76" s="40">
        <f>H76*10000</f>
        <v>20000</v>
      </c>
    </row>
    <row r="77" spans="1:10" ht="16.5" customHeight="1" x14ac:dyDescent="0.3">
      <c r="A77" s="37" t="b">
        <v>1</v>
      </c>
      <c r="B77" s="38" t="s">
        <v>230</v>
      </c>
      <c r="C77" s="40">
        <f t="shared" si="14"/>
        <v>2030503</v>
      </c>
      <c r="D77" s="40">
        <f>ServantPieceStore!$F$7</f>
        <v>1030101</v>
      </c>
      <c r="E77" s="40">
        <f t="shared" si="15"/>
        <v>5</v>
      </c>
      <c r="F77" s="40">
        <v>5</v>
      </c>
      <c r="G77" s="40">
        <f>G76+1</f>
        <v>155101003</v>
      </c>
      <c r="H77" s="40">
        <v>2</v>
      </c>
      <c r="I77" s="40" t="str">
        <f t="shared" si="13"/>
        <v>Gem</v>
      </c>
      <c r="J77" s="40">
        <f>H77*30</f>
        <v>60</v>
      </c>
    </row>
    <row r="78" spans="1:10" ht="16.5" customHeight="1" x14ac:dyDescent="0.3">
      <c r="A78" s="37" t="b">
        <v>1</v>
      </c>
      <c r="B78" s="38" t="s">
        <v>230</v>
      </c>
      <c r="C78" s="40">
        <f t="shared" si="14"/>
        <v>2030504</v>
      </c>
      <c r="D78" s="40">
        <f>ServantPieceStore!$F$7</f>
        <v>1030101</v>
      </c>
      <c r="E78" s="40">
        <f t="shared" si="15"/>
        <v>5</v>
      </c>
      <c r="F78" s="40">
        <v>5</v>
      </c>
      <c r="G78" s="40">
        <f>G77+1</f>
        <v>155101004</v>
      </c>
      <c r="H78" s="40">
        <v>1</v>
      </c>
      <c r="I78" s="40" t="str">
        <f t="shared" si="13"/>
        <v>Gold</v>
      </c>
      <c r="J78" s="40">
        <f>H78*10000</f>
        <v>10000</v>
      </c>
    </row>
    <row r="79" spans="1:10" ht="16.5" customHeight="1" x14ac:dyDescent="0.3">
      <c r="A79" s="37" t="b">
        <v>1</v>
      </c>
      <c r="B79" s="38" t="s">
        <v>230</v>
      </c>
      <c r="C79" s="40">
        <f t="shared" si="14"/>
        <v>2030505</v>
      </c>
      <c r="D79" s="40">
        <f>ServantPieceStore!$F$7</f>
        <v>1030101</v>
      </c>
      <c r="E79" s="40">
        <f t="shared" si="15"/>
        <v>5</v>
      </c>
      <c r="F79" s="40">
        <v>5</v>
      </c>
      <c r="G79" s="40">
        <f>G78+1</f>
        <v>155101005</v>
      </c>
      <c r="H79" s="40">
        <v>2</v>
      </c>
      <c r="I79" s="40" t="str">
        <f t="shared" si="13"/>
        <v>Gem</v>
      </c>
      <c r="J79" s="40">
        <f>H79*30</f>
        <v>60</v>
      </c>
    </row>
    <row r="80" spans="1:10" ht="16.5" customHeight="1" x14ac:dyDescent="0.3">
      <c r="A80" s="37" t="b">
        <v>1</v>
      </c>
      <c r="B80" s="38" t="s">
        <v>230</v>
      </c>
      <c r="C80" s="40">
        <f t="shared" si="14"/>
        <v>2030506</v>
      </c>
      <c r="D80" s="40">
        <f>ServantPieceStore!$F$7</f>
        <v>1030101</v>
      </c>
      <c r="E80" s="40">
        <f t="shared" si="15"/>
        <v>5</v>
      </c>
      <c r="F80" s="40">
        <v>10</v>
      </c>
      <c r="G80" s="40">
        <f>G79+1</f>
        <v>155101006</v>
      </c>
      <c r="H80" s="40">
        <v>2</v>
      </c>
      <c r="I80" s="40" t="str">
        <f t="shared" si="13"/>
        <v>Gold</v>
      </c>
      <c r="J80" s="40">
        <f>H80*10000</f>
        <v>20000</v>
      </c>
    </row>
    <row r="81" spans="1:10" ht="16.5" customHeight="1" x14ac:dyDescent="0.3">
      <c r="A81" s="37" t="b">
        <v>1</v>
      </c>
      <c r="B81" s="38" t="s">
        <v>230</v>
      </c>
      <c r="C81" s="40">
        <f t="shared" si="14"/>
        <v>2030507</v>
      </c>
      <c r="D81" s="40">
        <f>ServantPieceStore!$F$7</f>
        <v>1030101</v>
      </c>
      <c r="E81" s="40">
        <f t="shared" si="15"/>
        <v>5</v>
      </c>
      <c r="F81" s="40">
        <v>10</v>
      </c>
      <c r="G81" s="45" t="s">
        <v>152</v>
      </c>
      <c r="H81" s="40">
        <v>1</v>
      </c>
      <c r="I81" s="40" t="str">
        <f t="shared" si="13"/>
        <v>Gem</v>
      </c>
      <c r="J81" s="40">
        <f t="shared" ref="J81:J82" si="16">H81*30</f>
        <v>30</v>
      </c>
    </row>
    <row r="82" spans="1:10" ht="16.5" customHeight="1" x14ac:dyDescent="0.3">
      <c r="A82" s="37" t="b">
        <v>1</v>
      </c>
      <c r="B82" s="38" t="s">
        <v>230</v>
      </c>
      <c r="C82" s="40">
        <f t="shared" si="14"/>
        <v>2030508</v>
      </c>
      <c r="D82" s="40">
        <f>ServantPieceStore!$F$7</f>
        <v>1030101</v>
      </c>
      <c r="E82" s="40">
        <f t="shared" si="15"/>
        <v>5</v>
      </c>
      <c r="F82" s="40">
        <v>10</v>
      </c>
      <c r="G82" s="40">
        <f>G81+1</f>
        <v>155102002</v>
      </c>
      <c r="H82" s="40">
        <v>2</v>
      </c>
      <c r="I82" s="40" t="str">
        <f t="shared" si="13"/>
        <v>Gem</v>
      </c>
      <c r="J82" s="40">
        <f t="shared" si="16"/>
        <v>60</v>
      </c>
    </row>
    <row r="83" spans="1:10" ht="16.5" customHeight="1" x14ac:dyDescent="0.3">
      <c r="A83" s="37" t="b">
        <v>1</v>
      </c>
      <c r="B83" s="38" t="s">
        <v>230</v>
      </c>
      <c r="C83" s="40">
        <f t="shared" si="14"/>
        <v>2030509</v>
      </c>
      <c r="D83" s="40">
        <f>ServantPieceStore!$F$7</f>
        <v>1030101</v>
      </c>
      <c r="E83" s="40">
        <f t="shared" si="15"/>
        <v>5</v>
      </c>
      <c r="F83" s="40">
        <v>20</v>
      </c>
      <c r="G83" s="40">
        <f>G82+1</f>
        <v>155102003</v>
      </c>
      <c r="H83" s="40">
        <v>2</v>
      </c>
      <c r="I83" s="40" t="str">
        <f t="shared" si="13"/>
        <v>Gold</v>
      </c>
      <c r="J83" s="40">
        <f>H83*10000</f>
        <v>20000</v>
      </c>
    </row>
    <row r="84" spans="1:10" ht="16.5" customHeight="1" x14ac:dyDescent="0.3">
      <c r="A84" s="37" t="b">
        <v>1</v>
      </c>
      <c r="B84" s="38" t="s">
        <v>230</v>
      </c>
      <c r="C84" s="40">
        <f t="shared" si="14"/>
        <v>2030510</v>
      </c>
      <c r="D84" s="40">
        <f>ServantPieceStore!$F$7</f>
        <v>1030101</v>
      </c>
      <c r="E84" s="40">
        <f t="shared" si="15"/>
        <v>5</v>
      </c>
      <c r="F84" s="40">
        <v>20</v>
      </c>
      <c r="G84" s="40">
        <f>G83+1</f>
        <v>155102004</v>
      </c>
      <c r="H84" s="40">
        <v>1</v>
      </c>
      <c r="I84" s="40" t="str">
        <f t="shared" si="13"/>
        <v>Gem</v>
      </c>
      <c r="J84" s="40">
        <f t="shared" ref="J84:J85" si="17">H84*30</f>
        <v>30</v>
      </c>
    </row>
    <row r="85" spans="1:10" ht="16.5" customHeight="1" x14ac:dyDescent="0.3">
      <c r="A85" s="37" t="b">
        <v>1</v>
      </c>
      <c r="B85" s="38" t="s">
        <v>230</v>
      </c>
      <c r="C85" s="40">
        <f t="shared" si="14"/>
        <v>2030511</v>
      </c>
      <c r="D85" s="40">
        <f>ServantPieceStore!$F$7</f>
        <v>1030101</v>
      </c>
      <c r="E85" s="40">
        <f t="shared" si="15"/>
        <v>5</v>
      </c>
      <c r="F85" s="40">
        <v>30</v>
      </c>
      <c r="G85" s="40">
        <f>G84+1</f>
        <v>155102005</v>
      </c>
      <c r="H85" s="40">
        <v>2</v>
      </c>
      <c r="I85" s="40" t="str">
        <f t="shared" si="13"/>
        <v>Gem</v>
      </c>
      <c r="J85" s="40">
        <f t="shared" si="17"/>
        <v>60</v>
      </c>
    </row>
    <row r="86" spans="1:10" ht="16.5" customHeight="1" x14ac:dyDescent="0.3">
      <c r="A86" s="37" t="b">
        <v>1</v>
      </c>
      <c r="B86" s="38" t="s">
        <v>230</v>
      </c>
      <c r="C86" s="40">
        <f t="shared" si="14"/>
        <v>2030512</v>
      </c>
      <c r="D86" s="40">
        <f>ServantPieceStore!$F$7</f>
        <v>1030101</v>
      </c>
      <c r="E86" s="40">
        <f t="shared" si="15"/>
        <v>5</v>
      </c>
      <c r="F86" s="40">
        <v>40</v>
      </c>
      <c r="G86" s="40">
        <f>G85+1</f>
        <v>155102006</v>
      </c>
      <c r="H86" s="40">
        <v>2</v>
      </c>
      <c r="I86" s="40" t="str">
        <f t="shared" si="13"/>
        <v>Gold</v>
      </c>
      <c r="J86" s="40">
        <f>H86*10000</f>
        <v>20000</v>
      </c>
    </row>
    <row r="87" spans="1:10" ht="16.5" customHeight="1" x14ac:dyDescent="0.3">
      <c r="A87" s="46" t="b">
        <v>1</v>
      </c>
      <c r="B87" s="47" t="s">
        <v>231</v>
      </c>
      <c r="C87" s="39">
        <f>C75+100</f>
        <v>2030601</v>
      </c>
      <c r="D87" s="48">
        <f>ServantPieceStore!$F$7</f>
        <v>1030101</v>
      </c>
      <c r="E87" s="39">
        <f>E75+1</f>
        <v>6</v>
      </c>
      <c r="F87" s="48">
        <v>10</v>
      </c>
      <c r="G87" s="41" t="s">
        <v>135</v>
      </c>
      <c r="H87" s="48">
        <v>1</v>
      </c>
      <c r="I87" s="48" t="str">
        <f t="shared" si="13"/>
        <v>Gem</v>
      </c>
      <c r="J87" s="48">
        <f t="shared" ref="J87:J89" si="18">H87*30</f>
        <v>30</v>
      </c>
    </row>
    <row r="88" spans="1:10" ht="16.5" customHeight="1" x14ac:dyDescent="0.3">
      <c r="A88" s="46" t="b">
        <v>1</v>
      </c>
      <c r="B88" s="47" t="s">
        <v>231</v>
      </c>
      <c r="C88" s="48">
        <f>C87+1</f>
        <v>2030602</v>
      </c>
      <c r="D88" s="48">
        <f>ServantPieceStore!$F$7</f>
        <v>1030101</v>
      </c>
      <c r="E88" s="48">
        <f>E87</f>
        <v>6</v>
      </c>
      <c r="F88" s="48">
        <v>10</v>
      </c>
      <c r="G88" s="48">
        <f>G87+1</f>
        <v>155102005</v>
      </c>
      <c r="H88" s="48">
        <v>2</v>
      </c>
      <c r="I88" s="48" t="str">
        <f t="shared" si="13"/>
        <v>Gem</v>
      </c>
      <c r="J88" s="48">
        <f t="shared" si="18"/>
        <v>60</v>
      </c>
    </row>
    <row r="89" spans="1:10" ht="16.5" customHeight="1" x14ac:dyDescent="0.3">
      <c r="A89" s="46" t="b">
        <v>1</v>
      </c>
      <c r="B89" s="47" t="s">
        <v>231</v>
      </c>
      <c r="C89" s="48">
        <f>C88+1</f>
        <v>2030603</v>
      </c>
      <c r="D89" s="48">
        <f>ServantPieceStore!$F$7</f>
        <v>1030101</v>
      </c>
      <c r="E89" s="48">
        <f>E88</f>
        <v>6</v>
      </c>
      <c r="F89" s="48">
        <v>20</v>
      </c>
      <c r="G89" s="48">
        <f>G88+1</f>
        <v>155102006</v>
      </c>
      <c r="H89" s="48">
        <v>2</v>
      </c>
      <c r="I89" s="48" t="str">
        <f t="shared" si="13"/>
        <v>Gem</v>
      </c>
      <c r="J89" s="48">
        <f t="shared" si="18"/>
        <v>60</v>
      </c>
    </row>
    <row r="90" spans="1:10" ht="16.5" customHeight="1" x14ac:dyDescent="0.3">
      <c r="A90" s="37" t="b">
        <v>1</v>
      </c>
      <c r="B90" s="38" t="s">
        <v>232</v>
      </c>
      <c r="C90" s="39">
        <f>D90+1000000</f>
        <v>2040101</v>
      </c>
      <c r="D90" s="39">
        <f>ServantPieceStore!$F$8</f>
        <v>1040101</v>
      </c>
      <c r="E90" s="39">
        <v>1</v>
      </c>
      <c r="F90" s="40">
        <v>50</v>
      </c>
      <c r="G90" s="45" t="s">
        <v>153</v>
      </c>
      <c r="H90" s="40">
        <v>3</v>
      </c>
      <c r="I90" s="40" t="str">
        <f t="shared" si="13"/>
        <v>Gem</v>
      </c>
      <c r="J90" s="40">
        <f>H90*30</f>
        <v>90</v>
      </c>
    </row>
    <row r="91" spans="1:10" ht="16.5" customHeight="1" x14ac:dyDescent="0.3">
      <c r="A91" s="37" t="b">
        <v>1</v>
      </c>
      <c r="B91" s="38" t="s">
        <v>232</v>
      </c>
      <c r="C91" s="40">
        <f>C90+1</f>
        <v>2040102</v>
      </c>
      <c r="D91" s="40">
        <f>ServantPieceStore!$F$8</f>
        <v>1040101</v>
      </c>
      <c r="E91" s="40">
        <f>E90</f>
        <v>1</v>
      </c>
      <c r="F91" s="40">
        <v>30</v>
      </c>
      <c r="G91" s="40">
        <f>G90+1</f>
        <v>155103002</v>
      </c>
      <c r="H91" s="40">
        <v>2</v>
      </c>
      <c r="I91" s="40" t="str">
        <f t="shared" si="13"/>
        <v>Gem</v>
      </c>
      <c r="J91" s="40">
        <f>H91*30</f>
        <v>60</v>
      </c>
    </row>
    <row r="92" spans="1:10" ht="16.5" customHeight="1" x14ac:dyDescent="0.3">
      <c r="A92" s="42" t="b">
        <v>1</v>
      </c>
      <c r="B92" s="43" t="s">
        <v>233</v>
      </c>
      <c r="C92" s="39">
        <f>C90+100</f>
        <v>2040201</v>
      </c>
      <c r="D92" s="44">
        <f>ServantPieceStore!$F$8</f>
        <v>1040101</v>
      </c>
      <c r="E92" s="39">
        <f>E90+1</f>
        <v>2</v>
      </c>
      <c r="F92" s="44">
        <v>40</v>
      </c>
      <c r="G92" s="45">
        <v>155101001</v>
      </c>
      <c r="H92" s="44">
        <v>1</v>
      </c>
      <c r="I92" s="44" t="str">
        <f t="shared" si="13"/>
        <v>Gem</v>
      </c>
      <c r="J92" s="44">
        <f>H92*30</f>
        <v>30</v>
      </c>
    </row>
    <row r="93" spans="1:10" ht="16.5" customHeight="1" x14ac:dyDescent="0.3">
      <c r="A93" s="42" t="b">
        <v>1</v>
      </c>
      <c r="B93" s="43" t="s">
        <v>233</v>
      </c>
      <c r="C93" s="44">
        <f t="shared" ref="C93:C107" si="19">C92+1</f>
        <v>2040202</v>
      </c>
      <c r="D93" s="44">
        <f>ServantPieceStore!$F$8</f>
        <v>1040101</v>
      </c>
      <c r="E93" s="44">
        <f t="shared" ref="E93:E107" si="20">E92</f>
        <v>2</v>
      </c>
      <c r="F93" s="44">
        <v>30</v>
      </c>
      <c r="G93" s="44">
        <f>G92+1</f>
        <v>155101002</v>
      </c>
      <c r="H93" s="44">
        <v>2</v>
      </c>
      <c r="I93" s="44" t="str">
        <f t="shared" si="13"/>
        <v>Gold</v>
      </c>
      <c r="J93" s="44">
        <f>H93*10000</f>
        <v>20000</v>
      </c>
    </row>
    <row r="94" spans="1:10" ht="16.5" customHeight="1" x14ac:dyDescent="0.3">
      <c r="A94" s="42" t="b">
        <v>1</v>
      </c>
      <c r="B94" s="43" t="s">
        <v>233</v>
      </c>
      <c r="C94" s="44">
        <f t="shared" si="19"/>
        <v>2040203</v>
      </c>
      <c r="D94" s="44">
        <f>ServantPieceStore!$F$8</f>
        <v>1040101</v>
      </c>
      <c r="E94" s="44">
        <f t="shared" si="20"/>
        <v>2</v>
      </c>
      <c r="F94" s="44">
        <v>20</v>
      </c>
      <c r="G94" s="44">
        <f>G93+1</f>
        <v>155101003</v>
      </c>
      <c r="H94" s="44">
        <v>1</v>
      </c>
      <c r="I94" s="44" t="str">
        <f t="shared" si="13"/>
        <v>Gem</v>
      </c>
      <c r="J94" s="44">
        <f>H94*30</f>
        <v>30</v>
      </c>
    </row>
    <row r="95" spans="1:10" ht="16.5" customHeight="1" x14ac:dyDescent="0.3">
      <c r="A95" s="42" t="b">
        <v>1</v>
      </c>
      <c r="B95" s="43" t="s">
        <v>233</v>
      </c>
      <c r="C95" s="44">
        <f t="shared" si="19"/>
        <v>2040204</v>
      </c>
      <c r="D95" s="44">
        <f>ServantPieceStore!$F$8</f>
        <v>1040101</v>
      </c>
      <c r="E95" s="44">
        <f t="shared" si="20"/>
        <v>2</v>
      </c>
      <c r="F95" s="44">
        <v>20</v>
      </c>
      <c r="G95" s="44">
        <f>G94+1</f>
        <v>155101004</v>
      </c>
      <c r="H95" s="44">
        <v>2</v>
      </c>
      <c r="I95" s="44" t="str">
        <f t="shared" si="13"/>
        <v>Gold</v>
      </c>
      <c r="J95" s="44">
        <f>H95*10000</f>
        <v>20000</v>
      </c>
    </row>
    <row r="96" spans="1:10" ht="16.5" customHeight="1" x14ac:dyDescent="0.3">
      <c r="A96" s="42" t="b">
        <v>1</v>
      </c>
      <c r="B96" s="43" t="s">
        <v>233</v>
      </c>
      <c r="C96" s="44">
        <f t="shared" si="19"/>
        <v>2040205</v>
      </c>
      <c r="D96" s="44">
        <f>ServantPieceStore!$F$8</f>
        <v>1040101</v>
      </c>
      <c r="E96" s="44">
        <f t="shared" si="20"/>
        <v>2</v>
      </c>
      <c r="F96" s="44">
        <v>20</v>
      </c>
      <c r="G96" s="44">
        <f>G95+1</f>
        <v>155101005</v>
      </c>
      <c r="H96" s="44">
        <v>1</v>
      </c>
      <c r="I96" s="44" t="str">
        <f t="shared" si="13"/>
        <v>Gem</v>
      </c>
      <c r="J96" s="44">
        <f>H96*30</f>
        <v>30</v>
      </c>
    </row>
    <row r="97" spans="1:10" ht="16.5" customHeight="1" x14ac:dyDescent="0.3">
      <c r="A97" s="42" t="b">
        <v>1</v>
      </c>
      <c r="B97" s="43" t="s">
        <v>233</v>
      </c>
      <c r="C97" s="44">
        <f t="shared" si="19"/>
        <v>2040206</v>
      </c>
      <c r="D97" s="44">
        <f>ServantPieceStore!$F$8</f>
        <v>1040101</v>
      </c>
      <c r="E97" s="44">
        <f t="shared" si="20"/>
        <v>2</v>
      </c>
      <c r="F97" s="44">
        <v>20</v>
      </c>
      <c r="G97" s="44">
        <f>G96+1</f>
        <v>155101006</v>
      </c>
      <c r="H97" s="44">
        <v>2</v>
      </c>
      <c r="I97" s="44" t="str">
        <f t="shared" si="13"/>
        <v>Gold</v>
      </c>
      <c r="J97" s="44">
        <f>H97*10000</f>
        <v>20000</v>
      </c>
    </row>
    <row r="98" spans="1:10" ht="16.5" customHeight="1" x14ac:dyDescent="0.3">
      <c r="A98" s="42" t="b">
        <v>1</v>
      </c>
      <c r="B98" s="43" t="s">
        <v>233</v>
      </c>
      <c r="C98" s="44">
        <f t="shared" si="19"/>
        <v>2040207</v>
      </c>
      <c r="D98" s="44">
        <f>ServantPieceStore!$F$8</f>
        <v>1040101</v>
      </c>
      <c r="E98" s="44">
        <f t="shared" si="20"/>
        <v>2</v>
      </c>
      <c r="F98" s="44">
        <v>10</v>
      </c>
      <c r="G98" s="45" t="s">
        <v>152</v>
      </c>
      <c r="H98" s="44">
        <v>1</v>
      </c>
      <c r="I98" s="44" t="str">
        <f t="shared" si="13"/>
        <v>Gem</v>
      </c>
      <c r="J98" s="44">
        <f t="shared" ref="J98:J99" si="21">H98*30</f>
        <v>30</v>
      </c>
    </row>
    <row r="99" spans="1:10" ht="16.5" customHeight="1" x14ac:dyDescent="0.3">
      <c r="A99" s="42" t="b">
        <v>1</v>
      </c>
      <c r="B99" s="43" t="s">
        <v>233</v>
      </c>
      <c r="C99" s="44">
        <f t="shared" si="19"/>
        <v>2040208</v>
      </c>
      <c r="D99" s="44">
        <f>ServantPieceStore!$F$8</f>
        <v>1040101</v>
      </c>
      <c r="E99" s="44">
        <f t="shared" si="20"/>
        <v>2</v>
      </c>
      <c r="F99" s="44">
        <v>10</v>
      </c>
      <c r="G99" s="44">
        <f>G98+1</f>
        <v>155102002</v>
      </c>
      <c r="H99" s="44">
        <v>2</v>
      </c>
      <c r="I99" s="44" t="str">
        <f t="shared" si="13"/>
        <v>Gem</v>
      </c>
      <c r="J99" s="44">
        <f t="shared" si="21"/>
        <v>60</v>
      </c>
    </row>
    <row r="100" spans="1:10" ht="16.5" customHeight="1" x14ac:dyDescent="0.3">
      <c r="A100" s="42" t="b">
        <v>1</v>
      </c>
      <c r="B100" s="43" t="s">
        <v>233</v>
      </c>
      <c r="C100" s="44">
        <f t="shared" si="19"/>
        <v>2040209</v>
      </c>
      <c r="D100" s="44">
        <f>ServantPieceStore!$F$8</f>
        <v>1040101</v>
      </c>
      <c r="E100" s="44">
        <f t="shared" si="20"/>
        <v>2</v>
      </c>
      <c r="F100" s="44">
        <v>10</v>
      </c>
      <c r="G100" s="44">
        <f>G99+1</f>
        <v>155102003</v>
      </c>
      <c r="H100" s="44">
        <v>2</v>
      </c>
      <c r="I100" s="44" t="str">
        <f t="shared" si="13"/>
        <v>Gold</v>
      </c>
      <c r="J100" s="44">
        <f>H100*10000</f>
        <v>20000</v>
      </c>
    </row>
    <row r="101" spans="1:10" ht="16.5" customHeight="1" x14ac:dyDescent="0.3">
      <c r="A101" s="42" t="b">
        <v>1</v>
      </c>
      <c r="B101" s="43" t="s">
        <v>233</v>
      </c>
      <c r="C101" s="44">
        <f t="shared" si="19"/>
        <v>2040210</v>
      </c>
      <c r="D101" s="44">
        <f>ServantPieceStore!$F$8</f>
        <v>1040101</v>
      </c>
      <c r="E101" s="44">
        <f t="shared" si="20"/>
        <v>2</v>
      </c>
      <c r="F101" s="44">
        <v>10</v>
      </c>
      <c r="G101" s="44">
        <f>G100+1</f>
        <v>155102004</v>
      </c>
      <c r="H101" s="44">
        <v>1</v>
      </c>
      <c r="I101" s="44" t="str">
        <f t="shared" si="13"/>
        <v>Gem</v>
      </c>
      <c r="J101" s="44">
        <f t="shared" ref="J101:J102" si="22">H101*30</f>
        <v>30</v>
      </c>
    </row>
    <row r="102" spans="1:10" ht="16.5" customHeight="1" x14ac:dyDescent="0.3">
      <c r="A102" s="42" t="b">
        <v>1</v>
      </c>
      <c r="B102" s="43" t="s">
        <v>233</v>
      </c>
      <c r="C102" s="44">
        <f t="shared" si="19"/>
        <v>2040211</v>
      </c>
      <c r="D102" s="44">
        <f>ServantPieceStore!$F$8</f>
        <v>1040101</v>
      </c>
      <c r="E102" s="44">
        <f t="shared" si="20"/>
        <v>2</v>
      </c>
      <c r="F102" s="44">
        <v>10</v>
      </c>
      <c r="G102" s="44">
        <f>G101+1</f>
        <v>155102005</v>
      </c>
      <c r="H102" s="44">
        <v>2</v>
      </c>
      <c r="I102" s="44" t="str">
        <f t="shared" si="13"/>
        <v>Gem</v>
      </c>
      <c r="J102" s="44">
        <f t="shared" si="22"/>
        <v>60</v>
      </c>
    </row>
    <row r="103" spans="1:10" ht="16.5" customHeight="1" x14ac:dyDescent="0.3">
      <c r="A103" s="42" t="b">
        <v>1</v>
      </c>
      <c r="B103" s="43" t="s">
        <v>233</v>
      </c>
      <c r="C103" s="44">
        <f t="shared" si="19"/>
        <v>2040212</v>
      </c>
      <c r="D103" s="44">
        <f>ServantPieceStore!$F$8</f>
        <v>1040101</v>
      </c>
      <c r="E103" s="44">
        <f t="shared" si="20"/>
        <v>2</v>
      </c>
      <c r="F103" s="44">
        <v>10</v>
      </c>
      <c r="G103" s="44">
        <f>G102+1</f>
        <v>155102006</v>
      </c>
      <c r="H103" s="44">
        <v>2</v>
      </c>
      <c r="I103" s="44" t="str">
        <f t="shared" si="13"/>
        <v>Gold</v>
      </c>
      <c r="J103" s="44">
        <f>H103*10000</f>
        <v>20000</v>
      </c>
    </row>
    <row r="104" spans="1:10" ht="16.5" customHeight="1" x14ac:dyDescent="0.3">
      <c r="A104" s="42" t="b">
        <v>1</v>
      </c>
      <c r="B104" s="43" t="s">
        <v>233</v>
      </c>
      <c r="C104" s="44">
        <f t="shared" si="19"/>
        <v>2040213</v>
      </c>
      <c r="D104" s="44">
        <f>ServantPieceStore!$F$8</f>
        <v>1040101</v>
      </c>
      <c r="E104" s="44">
        <f t="shared" si="20"/>
        <v>2</v>
      </c>
      <c r="F104" s="44">
        <v>5</v>
      </c>
      <c r="G104" s="41" t="s">
        <v>153</v>
      </c>
      <c r="H104" s="44">
        <v>2</v>
      </c>
      <c r="I104" s="44" t="str">
        <f t="shared" si="13"/>
        <v>Gem</v>
      </c>
      <c r="J104" s="44">
        <f t="shared" ref="J104:J105" si="23">H104*30</f>
        <v>60</v>
      </c>
    </row>
    <row r="105" spans="1:10" ht="16.5" customHeight="1" x14ac:dyDescent="0.3">
      <c r="A105" s="42" t="b">
        <v>1</v>
      </c>
      <c r="B105" s="43" t="s">
        <v>233</v>
      </c>
      <c r="C105" s="44">
        <f t="shared" si="19"/>
        <v>2040214</v>
      </c>
      <c r="D105" s="44">
        <f>ServantPieceStore!$F$8</f>
        <v>1040101</v>
      </c>
      <c r="E105" s="44">
        <f t="shared" si="20"/>
        <v>2</v>
      </c>
      <c r="F105" s="44">
        <v>5</v>
      </c>
      <c r="G105" s="44">
        <f>G104+1</f>
        <v>155103002</v>
      </c>
      <c r="H105" s="44">
        <v>3</v>
      </c>
      <c r="I105" s="44" t="str">
        <f t="shared" si="13"/>
        <v>Gem</v>
      </c>
      <c r="J105" s="44">
        <f t="shared" si="23"/>
        <v>90</v>
      </c>
    </row>
    <row r="106" spans="1:10" ht="16.5" customHeight="1" x14ac:dyDescent="0.3">
      <c r="A106" s="42" t="b">
        <v>1</v>
      </c>
      <c r="B106" s="43" t="s">
        <v>233</v>
      </c>
      <c r="C106" s="44">
        <f t="shared" si="19"/>
        <v>2040215</v>
      </c>
      <c r="D106" s="44">
        <f>ServantPieceStore!$F$8</f>
        <v>1040101</v>
      </c>
      <c r="E106" s="44">
        <f t="shared" si="20"/>
        <v>2</v>
      </c>
      <c r="F106" s="44">
        <v>5</v>
      </c>
      <c r="G106" s="44">
        <f>G105+1</f>
        <v>155103003</v>
      </c>
      <c r="H106" s="44">
        <v>2</v>
      </c>
      <c r="I106" s="44" t="str">
        <f t="shared" si="13"/>
        <v>Gold</v>
      </c>
      <c r="J106" s="44">
        <f>H106*10000</f>
        <v>20000</v>
      </c>
    </row>
    <row r="107" spans="1:10" ht="16.5" customHeight="1" x14ac:dyDescent="0.3">
      <c r="A107" s="42" t="b">
        <v>1</v>
      </c>
      <c r="B107" s="43" t="s">
        <v>233</v>
      </c>
      <c r="C107" s="44">
        <f t="shared" si="19"/>
        <v>2040216</v>
      </c>
      <c r="D107" s="44">
        <f>ServantPieceStore!$F$8</f>
        <v>1040101</v>
      </c>
      <c r="E107" s="44">
        <f t="shared" si="20"/>
        <v>2</v>
      </c>
      <c r="F107" s="44">
        <v>5</v>
      </c>
      <c r="G107" s="44">
        <f>G106+1</f>
        <v>155103004</v>
      </c>
      <c r="H107" s="44">
        <v>3</v>
      </c>
      <c r="I107" s="44" t="str">
        <f t="shared" si="13"/>
        <v>Gem</v>
      </c>
      <c r="J107" s="44">
        <f>H107*30</f>
        <v>90</v>
      </c>
    </row>
    <row r="108" spans="1:10" ht="16.5" customHeight="1" x14ac:dyDescent="0.3">
      <c r="A108" s="37" t="b">
        <v>1</v>
      </c>
      <c r="B108" s="38" t="s">
        <v>234</v>
      </c>
      <c r="C108" s="39">
        <f>C92+100</f>
        <v>2040301</v>
      </c>
      <c r="D108" s="40">
        <f>ServantPieceStore!$F$8</f>
        <v>1040101</v>
      </c>
      <c r="E108" s="39">
        <f>E92+1</f>
        <v>3</v>
      </c>
      <c r="F108" s="40">
        <v>20</v>
      </c>
      <c r="G108" s="45">
        <v>155101001</v>
      </c>
      <c r="H108" s="40">
        <v>1</v>
      </c>
      <c r="I108" s="40" t="str">
        <f t="shared" si="13"/>
        <v>Gem</v>
      </c>
      <c r="J108" s="40">
        <f>H108*30</f>
        <v>30</v>
      </c>
    </row>
    <row r="109" spans="1:10" ht="16.5" customHeight="1" x14ac:dyDescent="0.3">
      <c r="A109" s="37" t="b">
        <v>1</v>
      </c>
      <c r="B109" s="38" t="s">
        <v>234</v>
      </c>
      <c r="C109" s="40">
        <f t="shared" ref="C109:C123" si="24">C108+1</f>
        <v>2040302</v>
      </c>
      <c r="D109" s="40">
        <f>ServantPieceStore!$F$8</f>
        <v>1040101</v>
      </c>
      <c r="E109" s="40">
        <f t="shared" ref="E109:E123" si="25">E108</f>
        <v>3</v>
      </c>
      <c r="F109" s="40">
        <v>20</v>
      </c>
      <c r="G109" s="40">
        <f>G108+1</f>
        <v>155101002</v>
      </c>
      <c r="H109" s="40">
        <v>2</v>
      </c>
      <c r="I109" s="40" t="str">
        <f t="shared" si="13"/>
        <v>Gold</v>
      </c>
      <c r="J109" s="40">
        <f>H109*10000</f>
        <v>20000</v>
      </c>
    </row>
    <row r="110" spans="1:10" ht="16.5" customHeight="1" x14ac:dyDescent="0.3">
      <c r="A110" s="37" t="b">
        <v>1</v>
      </c>
      <c r="B110" s="38" t="s">
        <v>234</v>
      </c>
      <c r="C110" s="40">
        <f t="shared" si="24"/>
        <v>2040303</v>
      </c>
      <c r="D110" s="40">
        <f>ServantPieceStore!$F$8</f>
        <v>1040101</v>
      </c>
      <c r="E110" s="40">
        <f t="shared" si="25"/>
        <v>3</v>
      </c>
      <c r="F110" s="40">
        <v>20</v>
      </c>
      <c r="G110" s="40">
        <f>G109+1</f>
        <v>155101003</v>
      </c>
      <c r="H110" s="40">
        <v>1</v>
      </c>
      <c r="I110" s="40" t="str">
        <f t="shared" si="13"/>
        <v>Gem</v>
      </c>
      <c r="J110" s="40">
        <f>H110*30</f>
        <v>30</v>
      </c>
    </row>
    <row r="111" spans="1:10" ht="16.5" customHeight="1" x14ac:dyDescent="0.3">
      <c r="A111" s="37" t="b">
        <v>1</v>
      </c>
      <c r="B111" s="38" t="s">
        <v>234</v>
      </c>
      <c r="C111" s="40">
        <f t="shared" si="24"/>
        <v>2040304</v>
      </c>
      <c r="D111" s="40">
        <f>ServantPieceStore!$F$8</f>
        <v>1040101</v>
      </c>
      <c r="E111" s="40">
        <f t="shared" si="25"/>
        <v>3</v>
      </c>
      <c r="F111" s="40">
        <v>20</v>
      </c>
      <c r="G111" s="40">
        <f>G110+1</f>
        <v>155101004</v>
      </c>
      <c r="H111" s="40">
        <v>2</v>
      </c>
      <c r="I111" s="40" t="str">
        <f t="shared" si="13"/>
        <v>Gold</v>
      </c>
      <c r="J111" s="40">
        <f>H111*10000</f>
        <v>20000</v>
      </c>
    </row>
    <row r="112" spans="1:10" ht="16.5" customHeight="1" x14ac:dyDescent="0.3">
      <c r="A112" s="37" t="b">
        <v>1</v>
      </c>
      <c r="B112" s="38" t="s">
        <v>234</v>
      </c>
      <c r="C112" s="40">
        <f t="shared" si="24"/>
        <v>2040305</v>
      </c>
      <c r="D112" s="40">
        <f>ServantPieceStore!$F$8</f>
        <v>1040101</v>
      </c>
      <c r="E112" s="40">
        <f t="shared" si="25"/>
        <v>3</v>
      </c>
      <c r="F112" s="40">
        <v>20</v>
      </c>
      <c r="G112" s="40">
        <f>G111+1</f>
        <v>155101005</v>
      </c>
      <c r="H112" s="40">
        <v>1</v>
      </c>
      <c r="I112" s="40" t="str">
        <f t="shared" si="13"/>
        <v>Gem</v>
      </c>
      <c r="J112" s="40">
        <f>H112*30</f>
        <v>30</v>
      </c>
    </row>
    <row r="113" spans="1:10" ht="16.5" customHeight="1" x14ac:dyDescent="0.3">
      <c r="A113" s="37" t="b">
        <v>1</v>
      </c>
      <c r="B113" s="38" t="s">
        <v>234</v>
      </c>
      <c r="C113" s="40">
        <f t="shared" si="24"/>
        <v>2040306</v>
      </c>
      <c r="D113" s="40">
        <f>ServantPieceStore!$F$8</f>
        <v>1040101</v>
      </c>
      <c r="E113" s="40">
        <f t="shared" si="25"/>
        <v>3</v>
      </c>
      <c r="F113" s="40">
        <v>20</v>
      </c>
      <c r="G113" s="40">
        <f>G112+1</f>
        <v>155101006</v>
      </c>
      <c r="H113" s="40">
        <v>2</v>
      </c>
      <c r="I113" s="40" t="str">
        <f t="shared" si="13"/>
        <v>Gold</v>
      </c>
      <c r="J113" s="40">
        <f>H113*10000</f>
        <v>20000</v>
      </c>
    </row>
    <row r="114" spans="1:10" ht="16.5" customHeight="1" x14ac:dyDescent="0.3">
      <c r="A114" s="37" t="b">
        <v>1</v>
      </c>
      <c r="B114" s="38" t="s">
        <v>234</v>
      </c>
      <c r="C114" s="40">
        <f t="shared" si="24"/>
        <v>2040307</v>
      </c>
      <c r="D114" s="40">
        <f>ServantPieceStore!$F$8</f>
        <v>1040101</v>
      </c>
      <c r="E114" s="40">
        <f t="shared" si="25"/>
        <v>3</v>
      </c>
      <c r="F114" s="40">
        <v>20</v>
      </c>
      <c r="G114" s="45" t="s">
        <v>152</v>
      </c>
      <c r="H114" s="40">
        <v>1</v>
      </c>
      <c r="I114" s="40" t="str">
        <f t="shared" si="13"/>
        <v>Gem</v>
      </c>
      <c r="J114" s="40">
        <f t="shared" ref="J114:J115" si="26">H114*30</f>
        <v>30</v>
      </c>
    </row>
    <row r="115" spans="1:10" ht="16.5" customHeight="1" x14ac:dyDescent="0.3">
      <c r="A115" s="37" t="b">
        <v>1</v>
      </c>
      <c r="B115" s="38" t="s">
        <v>234</v>
      </c>
      <c r="C115" s="40">
        <f t="shared" si="24"/>
        <v>2040308</v>
      </c>
      <c r="D115" s="40">
        <f>ServantPieceStore!$F$8</f>
        <v>1040101</v>
      </c>
      <c r="E115" s="40">
        <f t="shared" si="25"/>
        <v>3</v>
      </c>
      <c r="F115" s="40">
        <v>20</v>
      </c>
      <c r="G115" s="40">
        <f>G114+1</f>
        <v>155102002</v>
      </c>
      <c r="H115" s="40">
        <v>2</v>
      </c>
      <c r="I115" s="40" t="str">
        <f t="shared" si="13"/>
        <v>Gem</v>
      </c>
      <c r="J115" s="40">
        <f t="shared" si="26"/>
        <v>60</v>
      </c>
    </row>
    <row r="116" spans="1:10" ht="16.5" customHeight="1" x14ac:dyDescent="0.3">
      <c r="A116" s="37" t="b">
        <v>1</v>
      </c>
      <c r="B116" s="38" t="s">
        <v>234</v>
      </c>
      <c r="C116" s="40">
        <f t="shared" si="24"/>
        <v>2040309</v>
      </c>
      <c r="D116" s="40">
        <f>ServantPieceStore!$F$8</f>
        <v>1040101</v>
      </c>
      <c r="E116" s="40">
        <f t="shared" si="25"/>
        <v>3</v>
      </c>
      <c r="F116" s="40">
        <v>20</v>
      </c>
      <c r="G116" s="40">
        <f>G115+1</f>
        <v>155102003</v>
      </c>
      <c r="H116" s="40">
        <v>2</v>
      </c>
      <c r="I116" s="40" t="str">
        <f t="shared" si="13"/>
        <v>Gold</v>
      </c>
      <c r="J116" s="40">
        <f>H116*10000</f>
        <v>20000</v>
      </c>
    </row>
    <row r="117" spans="1:10" ht="16.5" customHeight="1" x14ac:dyDescent="0.3">
      <c r="A117" s="37" t="b">
        <v>1</v>
      </c>
      <c r="B117" s="38" t="s">
        <v>234</v>
      </c>
      <c r="C117" s="40">
        <f t="shared" si="24"/>
        <v>2040310</v>
      </c>
      <c r="D117" s="40">
        <f>ServantPieceStore!$F$8</f>
        <v>1040101</v>
      </c>
      <c r="E117" s="40">
        <f t="shared" si="25"/>
        <v>3</v>
      </c>
      <c r="F117" s="40">
        <v>20</v>
      </c>
      <c r="G117" s="40">
        <f>G116+1</f>
        <v>155102004</v>
      </c>
      <c r="H117" s="40">
        <v>1</v>
      </c>
      <c r="I117" s="40" t="str">
        <f t="shared" si="13"/>
        <v>Gem</v>
      </c>
      <c r="J117" s="40">
        <f t="shared" ref="J117:J118" si="27">H117*30</f>
        <v>30</v>
      </c>
    </row>
    <row r="118" spans="1:10" ht="16.5" customHeight="1" x14ac:dyDescent="0.3">
      <c r="A118" s="37" t="b">
        <v>1</v>
      </c>
      <c r="B118" s="38" t="s">
        <v>234</v>
      </c>
      <c r="C118" s="40">
        <f t="shared" si="24"/>
        <v>2040311</v>
      </c>
      <c r="D118" s="40">
        <f>ServantPieceStore!$F$8</f>
        <v>1040101</v>
      </c>
      <c r="E118" s="40">
        <f t="shared" si="25"/>
        <v>3</v>
      </c>
      <c r="F118" s="40">
        <v>20</v>
      </c>
      <c r="G118" s="40">
        <f>G117+1</f>
        <v>155102005</v>
      </c>
      <c r="H118" s="40">
        <v>2</v>
      </c>
      <c r="I118" s="40" t="str">
        <f t="shared" si="13"/>
        <v>Gem</v>
      </c>
      <c r="J118" s="40">
        <f t="shared" si="27"/>
        <v>60</v>
      </c>
    </row>
    <row r="119" spans="1:10" ht="16.5" customHeight="1" x14ac:dyDescent="0.3">
      <c r="A119" s="37" t="b">
        <v>1</v>
      </c>
      <c r="B119" s="38" t="s">
        <v>234</v>
      </c>
      <c r="C119" s="40">
        <f t="shared" si="24"/>
        <v>2040312</v>
      </c>
      <c r="D119" s="40">
        <f>ServantPieceStore!$F$8</f>
        <v>1040101</v>
      </c>
      <c r="E119" s="40">
        <f t="shared" si="25"/>
        <v>3</v>
      </c>
      <c r="F119" s="40">
        <v>20</v>
      </c>
      <c r="G119" s="40">
        <f>G118+1</f>
        <v>155102006</v>
      </c>
      <c r="H119" s="40">
        <v>2</v>
      </c>
      <c r="I119" s="40" t="str">
        <f t="shared" si="13"/>
        <v>Gold</v>
      </c>
      <c r="J119" s="40">
        <f>H119*10000</f>
        <v>20000</v>
      </c>
    </row>
    <row r="120" spans="1:10" ht="16.5" customHeight="1" x14ac:dyDescent="0.3">
      <c r="A120" s="37" t="b">
        <v>1</v>
      </c>
      <c r="B120" s="38" t="s">
        <v>234</v>
      </c>
      <c r="C120" s="40">
        <f t="shared" si="24"/>
        <v>2040313</v>
      </c>
      <c r="D120" s="40">
        <f>ServantPieceStore!$F$8</f>
        <v>1040101</v>
      </c>
      <c r="E120" s="40">
        <f t="shared" si="25"/>
        <v>3</v>
      </c>
      <c r="F120" s="40">
        <v>20</v>
      </c>
      <c r="G120" s="41" t="s">
        <v>153</v>
      </c>
      <c r="H120" s="40">
        <v>2</v>
      </c>
      <c r="I120" s="40" t="str">
        <f t="shared" si="13"/>
        <v>Gem</v>
      </c>
      <c r="J120" s="40">
        <f t="shared" ref="J120:J121" si="28">H120*30</f>
        <v>60</v>
      </c>
    </row>
    <row r="121" spans="1:10" ht="16.5" customHeight="1" x14ac:dyDescent="0.3">
      <c r="A121" s="37" t="b">
        <v>1</v>
      </c>
      <c r="B121" s="38" t="s">
        <v>234</v>
      </c>
      <c r="C121" s="40">
        <f t="shared" si="24"/>
        <v>2040314</v>
      </c>
      <c r="D121" s="40">
        <f>ServantPieceStore!$F$8</f>
        <v>1040101</v>
      </c>
      <c r="E121" s="40">
        <f t="shared" si="25"/>
        <v>3</v>
      </c>
      <c r="F121" s="40">
        <v>20</v>
      </c>
      <c r="G121" s="40">
        <f>G120+1</f>
        <v>155103002</v>
      </c>
      <c r="H121" s="40">
        <v>3</v>
      </c>
      <c r="I121" s="40" t="str">
        <f t="shared" si="13"/>
        <v>Gem</v>
      </c>
      <c r="J121" s="40">
        <f t="shared" si="28"/>
        <v>90</v>
      </c>
    </row>
    <row r="122" spans="1:10" ht="16.5" customHeight="1" x14ac:dyDescent="0.3">
      <c r="A122" s="37" t="b">
        <v>1</v>
      </c>
      <c r="B122" s="38" t="s">
        <v>234</v>
      </c>
      <c r="C122" s="40">
        <f t="shared" si="24"/>
        <v>2040315</v>
      </c>
      <c r="D122" s="40">
        <f>ServantPieceStore!$F$8</f>
        <v>1040101</v>
      </c>
      <c r="E122" s="40">
        <f t="shared" si="25"/>
        <v>3</v>
      </c>
      <c r="F122" s="40">
        <v>20</v>
      </c>
      <c r="G122" s="40">
        <f>G121+1</f>
        <v>155103003</v>
      </c>
      <c r="H122" s="40">
        <v>2</v>
      </c>
      <c r="I122" s="40" t="str">
        <f t="shared" si="13"/>
        <v>Gold</v>
      </c>
      <c r="J122" s="40">
        <f>H122*10000</f>
        <v>20000</v>
      </c>
    </row>
    <row r="123" spans="1:10" ht="16.5" customHeight="1" x14ac:dyDescent="0.3">
      <c r="A123" s="37" t="b">
        <v>1</v>
      </c>
      <c r="B123" s="38" t="s">
        <v>234</v>
      </c>
      <c r="C123" s="40">
        <f t="shared" si="24"/>
        <v>2040316</v>
      </c>
      <c r="D123" s="40">
        <f>ServantPieceStore!$F$8</f>
        <v>1040101</v>
      </c>
      <c r="E123" s="40">
        <f t="shared" si="25"/>
        <v>3</v>
      </c>
      <c r="F123" s="40">
        <v>20</v>
      </c>
      <c r="G123" s="40">
        <f>G122+1</f>
        <v>155103004</v>
      </c>
      <c r="H123" s="40">
        <v>3</v>
      </c>
      <c r="I123" s="40" t="str">
        <f t="shared" si="13"/>
        <v>Gem</v>
      </c>
      <c r="J123" s="40">
        <f>H123*30</f>
        <v>90</v>
      </c>
    </row>
    <row r="124" spans="1:10" ht="16.5" customHeight="1" x14ac:dyDescent="0.3">
      <c r="A124" s="42" t="b">
        <v>1</v>
      </c>
      <c r="B124" s="43" t="s">
        <v>235</v>
      </c>
      <c r="C124" s="39">
        <f>C108+100</f>
        <v>2040401</v>
      </c>
      <c r="D124" s="44">
        <f>ServantPieceStore!$F$8</f>
        <v>1040101</v>
      </c>
      <c r="E124" s="39">
        <f>E108+1</f>
        <v>4</v>
      </c>
      <c r="F124" s="44">
        <v>20</v>
      </c>
      <c r="G124" s="45">
        <v>155101001</v>
      </c>
      <c r="H124" s="44">
        <v>1</v>
      </c>
      <c r="I124" s="44" t="str">
        <f t="shared" si="13"/>
        <v>Gem</v>
      </c>
      <c r="J124" s="44">
        <f>H124*30</f>
        <v>30</v>
      </c>
    </row>
    <row r="125" spans="1:10" ht="16.5" customHeight="1" x14ac:dyDescent="0.3">
      <c r="A125" s="42" t="b">
        <v>1</v>
      </c>
      <c r="B125" s="43" t="s">
        <v>235</v>
      </c>
      <c r="C125" s="44">
        <f t="shared" ref="C125:C139" si="29">C124+1</f>
        <v>2040402</v>
      </c>
      <c r="D125" s="44">
        <f>ServantPieceStore!$F$8</f>
        <v>1040101</v>
      </c>
      <c r="E125" s="44">
        <f t="shared" ref="E125:E139" si="30">E124</f>
        <v>4</v>
      </c>
      <c r="F125" s="44">
        <v>20</v>
      </c>
      <c r="G125" s="44">
        <f>G124+1</f>
        <v>155101002</v>
      </c>
      <c r="H125" s="44">
        <v>2</v>
      </c>
      <c r="I125" s="44" t="str">
        <f t="shared" si="13"/>
        <v>Gold</v>
      </c>
      <c r="J125" s="44">
        <f>H125*10000</f>
        <v>20000</v>
      </c>
    </row>
    <row r="126" spans="1:10" ht="16.5" customHeight="1" x14ac:dyDescent="0.3">
      <c r="A126" s="42" t="b">
        <v>1</v>
      </c>
      <c r="B126" s="43" t="s">
        <v>235</v>
      </c>
      <c r="C126" s="44">
        <f t="shared" si="29"/>
        <v>2040403</v>
      </c>
      <c r="D126" s="44">
        <f>ServantPieceStore!$F$8</f>
        <v>1040101</v>
      </c>
      <c r="E126" s="44">
        <f t="shared" si="30"/>
        <v>4</v>
      </c>
      <c r="F126" s="44">
        <v>20</v>
      </c>
      <c r="G126" s="44">
        <f>G125+1</f>
        <v>155101003</v>
      </c>
      <c r="H126" s="44">
        <v>1</v>
      </c>
      <c r="I126" s="44" t="str">
        <f t="shared" si="13"/>
        <v>Gem</v>
      </c>
      <c r="J126" s="44">
        <f>H126*30</f>
        <v>30</v>
      </c>
    </row>
    <row r="127" spans="1:10" ht="16.5" customHeight="1" x14ac:dyDescent="0.3">
      <c r="A127" s="42" t="b">
        <v>1</v>
      </c>
      <c r="B127" s="43" t="s">
        <v>235</v>
      </c>
      <c r="C127" s="44">
        <f t="shared" si="29"/>
        <v>2040404</v>
      </c>
      <c r="D127" s="44">
        <f>ServantPieceStore!$F$8</f>
        <v>1040101</v>
      </c>
      <c r="E127" s="44">
        <f t="shared" si="30"/>
        <v>4</v>
      </c>
      <c r="F127" s="44">
        <v>20</v>
      </c>
      <c r="G127" s="44">
        <f>G126+1</f>
        <v>155101004</v>
      </c>
      <c r="H127" s="44">
        <v>2</v>
      </c>
      <c r="I127" s="44" t="str">
        <f t="shared" si="13"/>
        <v>Gold</v>
      </c>
      <c r="J127" s="44">
        <f>H127*10000</f>
        <v>20000</v>
      </c>
    </row>
    <row r="128" spans="1:10" ht="16.5" customHeight="1" x14ac:dyDescent="0.3">
      <c r="A128" s="42" t="b">
        <v>1</v>
      </c>
      <c r="B128" s="43" t="s">
        <v>235</v>
      </c>
      <c r="C128" s="44">
        <f t="shared" si="29"/>
        <v>2040405</v>
      </c>
      <c r="D128" s="44">
        <f>ServantPieceStore!$F$8</f>
        <v>1040101</v>
      </c>
      <c r="E128" s="44">
        <f t="shared" si="30"/>
        <v>4</v>
      </c>
      <c r="F128" s="44">
        <v>20</v>
      </c>
      <c r="G128" s="44">
        <f>G127+1</f>
        <v>155101005</v>
      </c>
      <c r="H128" s="44">
        <v>1</v>
      </c>
      <c r="I128" s="44" t="str">
        <f t="shared" si="13"/>
        <v>Gem</v>
      </c>
      <c r="J128" s="44">
        <f>H128*30</f>
        <v>30</v>
      </c>
    </row>
    <row r="129" spans="1:10" ht="16.5" customHeight="1" x14ac:dyDescent="0.3">
      <c r="A129" s="42" t="b">
        <v>1</v>
      </c>
      <c r="B129" s="43" t="s">
        <v>235</v>
      </c>
      <c r="C129" s="44">
        <f t="shared" si="29"/>
        <v>2040406</v>
      </c>
      <c r="D129" s="44">
        <f>ServantPieceStore!$F$8</f>
        <v>1040101</v>
      </c>
      <c r="E129" s="44">
        <f t="shared" si="30"/>
        <v>4</v>
      </c>
      <c r="F129" s="44">
        <v>20</v>
      </c>
      <c r="G129" s="44">
        <f>G128+1</f>
        <v>155101006</v>
      </c>
      <c r="H129" s="44">
        <v>2</v>
      </c>
      <c r="I129" s="44" t="str">
        <f t="shared" si="13"/>
        <v>Gold</v>
      </c>
      <c r="J129" s="44">
        <f>H129*10000</f>
        <v>20000</v>
      </c>
    </row>
    <row r="130" spans="1:10" ht="16.5" customHeight="1" x14ac:dyDescent="0.3">
      <c r="A130" s="42" t="b">
        <v>1</v>
      </c>
      <c r="B130" s="43" t="s">
        <v>235</v>
      </c>
      <c r="C130" s="44">
        <f t="shared" si="29"/>
        <v>2040407</v>
      </c>
      <c r="D130" s="44">
        <f>ServantPieceStore!$F$8</f>
        <v>1040101</v>
      </c>
      <c r="E130" s="44">
        <f t="shared" si="30"/>
        <v>4</v>
      </c>
      <c r="F130" s="44">
        <v>20</v>
      </c>
      <c r="G130" s="45" t="s">
        <v>152</v>
      </c>
      <c r="H130" s="44">
        <v>1</v>
      </c>
      <c r="I130" s="44" t="str">
        <f t="shared" si="13"/>
        <v>Gem</v>
      </c>
      <c r="J130" s="44">
        <f t="shared" ref="J130:J131" si="31">H130*30</f>
        <v>30</v>
      </c>
    </row>
    <row r="131" spans="1:10" ht="16.5" customHeight="1" x14ac:dyDescent="0.3">
      <c r="A131" s="42" t="b">
        <v>1</v>
      </c>
      <c r="B131" s="43" t="s">
        <v>235</v>
      </c>
      <c r="C131" s="44">
        <f t="shared" si="29"/>
        <v>2040408</v>
      </c>
      <c r="D131" s="44">
        <f>ServantPieceStore!$F$8</f>
        <v>1040101</v>
      </c>
      <c r="E131" s="44">
        <f t="shared" si="30"/>
        <v>4</v>
      </c>
      <c r="F131" s="44">
        <v>20</v>
      </c>
      <c r="G131" s="44">
        <f>G130+1</f>
        <v>155102002</v>
      </c>
      <c r="H131" s="44">
        <v>2</v>
      </c>
      <c r="I131" s="44" t="str">
        <f t="shared" si="13"/>
        <v>Gem</v>
      </c>
      <c r="J131" s="44">
        <f t="shared" si="31"/>
        <v>60</v>
      </c>
    </row>
    <row r="132" spans="1:10" ht="16.5" customHeight="1" x14ac:dyDescent="0.3">
      <c r="A132" s="42" t="b">
        <v>1</v>
      </c>
      <c r="B132" s="43" t="s">
        <v>235</v>
      </c>
      <c r="C132" s="44">
        <f t="shared" si="29"/>
        <v>2040409</v>
      </c>
      <c r="D132" s="44">
        <f>ServantPieceStore!$F$8</f>
        <v>1040101</v>
      </c>
      <c r="E132" s="44">
        <f t="shared" si="30"/>
        <v>4</v>
      </c>
      <c r="F132" s="44">
        <v>20</v>
      </c>
      <c r="G132" s="44">
        <f>G131+1</f>
        <v>155102003</v>
      </c>
      <c r="H132" s="44">
        <v>2</v>
      </c>
      <c r="I132" s="44" t="str">
        <f t="shared" si="13"/>
        <v>Gold</v>
      </c>
      <c r="J132" s="44">
        <f>H132*10000</f>
        <v>20000</v>
      </c>
    </row>
    <row r="133" spans="1:10" ht="16.5" customHeight="1" x14ac:dyDescent="0.3">
      <c r="A133" s="42" t="b">
        <v>1</v>
      </c>
      <c r="B133" s="43" t="s">
        <v>235</v>
      </c>
      <c r="C133" s="44">
        <f t="shared" si="29"/>
        <v>2040410</v>
      </c>
      <c r="D133" s="44">
        <f>ServantPieceStore!$F$8</f>
        <v>1040101</v>
      </c>
      <c r="E133" s="44">
        <f t="shared" si="30"/>
        <v>4</v>
      </c>
      <c r="F133" s="44">
        <v>20</v>
      </c>
      <c r="G133" s="44">
        <f>G132+1</f>
        <v>155102004</v>
      </c>
      <c r="H133" s="44">
        <v>1</v>
      </c>
      <c r="I133" s="44" t="str">
        <f t="shared" si="13"/>
        <v>Gem</v>
      </c>
      <c r="J133" s="44">
        <f t="shared" ref="J133:J134" si="32">H133*30</f>
        <v>30</v>
      </c>
    </row>
    <row r="134" spans="1:10" ht="16.5" customHeight="1" x14ac:dyDescent="0.3">
      <c r="A134" s="42" t="b">
        <v>1</v>
      </c>
      <c r="B134" s="43" t="s">
        <v>235</v>
      </c>
      <c r="C134" s="44">
        <f t="shared" si="29"/>
        <v>2040411</v>
      </c>
      <c r="D134" s="44">
        <f>ServantPieceStore!$F$8</f>
        <v>1040101</v>
      </c>
      <c r="E134" s="44">
        <f t="shared" si="30"/>
        <v>4</v>
      </c>
      <c r="F134" s="44">
        <v>20</v>
      </c>
      <c r="G134" s="44">
        <f>G133+1</f>
        <v>155102005</v>
      </c>
      <c r="H134" s="44">
        <v>2</v>
      </c>
      <c r="I134" s="44" t="str">
        <f t="shared" ref="I134:I157" si="33">IF(J134&lt;1000,"Gem",IF(J134&gt;1000,"Gold"))</f>
        <v>Gem</v>
      </c>
      <c r="J134" s="44">
        <f t="shared" si="32"/>
        <v>60</v>
      </c>
    </row>
    <row r="135" spans="1:10" ht="16.5" customHeight="1" x14ac:dyDescent="0.3">
      <c r="A135" s="42" t="b">
        <v>1</v>
      </c>
      <c r="B135" s="43" t="s">
        <v>235</v>
      </c>
      <c r="C135" s="44">
        <f t="shared" si="29"/>
        <v>2040412</v>
      </c>
      <c r="D135" s="44">
        <f>ServantPieceStore!$F$8</f>
        <v>1040101</v>
      </c>
      <c r="E135" s="44">
        <f t="shared" si="30"/>
        <v>4</v>
      </c>
      <c r="F135" s="44">
        <v>20</v>
      </c>
      <c r="G135" s="44">
        <f>G134+1</f>
        <v>155102006</v>
      </c>
      <c r="H135" s="44">
        <v>2</v>
      </c>
      <c r="I135" s="44" t="str">
        <f t="shared" si="33"/>
        <v>Gold</v>
      </c>
      <c r="J135" s="44">
        <f>H135*10000</f>
        <v>20000</v>
      </c>
    </row>
    <row r="136" spans="1:10" ht="16.5" customHeight="1" x14ac:dyDescent="0.3">
      <c r="A136" s="42" t="b">
        <v>1</v>
      </c>
      <c r="B136" s="43" t="s">
        <v>235</v>
      </c>
      <c r="C136" s="44">
        <f t="shared" si="29"/>
        <v>2040413</v>
      </c>
      <c r="D136" s="44">
        <f>ServantPieceStore!$F$8</f>
        <v>1040101</v>
      </c>
      <c r="E136" s="44">
        <f t="shared" si="30"/>
        <v>4</v>
      </c>
      <c r="F136" s="44">
        <v>20</v>
      </c>
      <c r="G136" s="41" t="s">
        <v>153</v>
      </c>
      <c r="H136" s="44">
        <v>2</v>
      </c>
      <c r="I136" s="44" t="str">
        <f t="shared" si="33"/>
        <v>Gem</v>
      </c>
      <c r="J136" s="44">
        <f>H136*30</f>
        <v>60</v>
      </c>
    </row>
    <row r="137" spans="1:10" ht="16.5" customHeight="1" x14ac:dyDescent="0.3">
      <c r="A137" s="42" t="b">
        <v>1</v>
      </c>
      <c r="B137" s="43" t="s">
        <v>235</v>
      </c>
      <c r="C137" s="44">
        <f t="shared" si="29"/>
        <v>2040414</v>
      </c>
      <c r="D137" s="44">
        <f>ServantPieceStore!$F$8</f>
        <v>1040101</v>
      </c>
      <c r="E137" s="44">
        <f t="shared" si="30"/>
        <v>4</v>
      </c>
      <c r="F137" s="44">
        <v>20</v>
      </c>
      <c r="G137" s="44">
        <f>G136+1</f>
        <v>155103002</v>
      </c>
      <c r="H137" s="44">
        <v>3</v>
      </c>
      <c r="I137" s="44" t="str">
        <f t="shared" si="33"/>
        <v>Gem</v>
      </c>
      <c r="J137" s="44">
        <f>H137*30</f>
        <v>90</v>
      </c>
    </row>
    <row r="138" spans="1:10" ht="16.5" customHeight="1" x14ac:dyDescent="0.3">
      <c r="A138" s="42" t="b">
        <v>1</v>
      </c>
      <c r="B138" s="43" t="s">
        <v>235</v>
      </c>
      <c r="C138" s="44">
        <f t="shared" si="29"/>
        <v>2040415</v>
      </c>
      <c r="D138" s="44">
        <f>ServantPieceStore!$F$8</f>
        <v>1040101</v>
      </c>
      <c r="E138" s="44">
        <f t="shared" si="30"/>
        <v>4</v>
      </c>
      <c r="F138" s="44">
        <v>20</v>
      </c>
      <c r="G138" s="44">
        <f>G137+1</f>
        <v>155103003</v>
      </c>
      <c r="H138" s="44">
        <v>2</v>
      </c>
      <c r="I138" s="44" t="str">
        <f t="shared" si="33"/>
        <v>Gold</v>
      </c>
      <c r="J138" s="44">
        <f>H138*10000</f>
        <v>20000</v>
      </c>
    </row>
    <row r="139" spans="1:10" ht="16.5" customHeight="1" x14ac:dyDescent="0.3">
      <c r="A139" s="42" t="b">
        <v>1</v>
      </c>
      <c r="B139" s="43" t="s">
        <v>235</v>
      </c>
      <c r="C139" s="44">
        <f t="shared" si="29"/>
        <v>2040416</v>
      </c>
      <c r="D139" s="44">
        <f>ServantPieceStore!$F$8</f>
        <v>1040101</v>
      </c>
      <c r="E139" s="44">
        <f t="shared" si="30"/>
        <v>4</v>
      </c>
      <c r="F139" s="44">
        <v>20</v>
      </c>
      <c r="G139" s="44">
        <f>G138+1</f>
        <v>155103004</v>
      </c>
      <c r="H139" s="44">
        <v>3</v>
      </c>
      <c r="I139" s="44" t="str">
        <f t="shared" si="33"/>
        <v>Gem</v>
      </c>
      <c r="J139" s="44">
        <f>H139*30</f>
        <v>90</v>
      </c>
    </row>
    <row r="140" spans="1:10" ht="16.5" customHeight="1" x14ac:dyDescent="0.3">
      <c r="A140" s="37" t="b">
        <v>1</v>
      </c>
      <c r="B140" s="38" t="s">
        <v>236</v>
      </c>
      <c r="C140" s="39">
        <f>C124+100</f>
        <v>2040501</v>
      </c>
      <c r="D140" s="40">
        <f>ServantPieceStore!$F$8</f>
        <v>1040101</v>
      </c>
      <c r="E140" s="39">
        <f>E124+1</f>
        <v>5</v>
      </c>
      <c r="F140" s="40">
        <v>5</v>
      </c>
      <c r="G140" s="45">
        <v>155101001</v>
      </c>
      <c r="H140" s="40">
        <v>1</v>
      </c>
      <c r="I140" s="40" t="str">
        <f t="shared" si="33"/>
        <v>Gem</v>
      </c>
      <c r="J140" s="40">
        <f>H140*30</f>
        <v>30</v>
      </c>
    </row>
    <row r="141" spans="1:10" ht="16.5" customHeight="1" x14ac:dyDescent="0.3">
      <c r="A141" s="37" t="b">
        <v>1</v>
      </c>
      <c r="B141" s="38" t="s">
        <v>236</v>
      </c>
      <c r="C141" s="40">
        <f t="shared" ref="C141:C155" si="34">C140+1</f>
        <v>2040502</v>
      </c>
      <c r="D141" s="40">
        <f>ServantPieceStore!$F$8</f>
        <v>1040101</v>
      </c>
      <c r="E141" s="40">
        <f t="shared" ref="E141:E155" si="35">E140</f>
        <v>5</v>
      </c>
      <c r="F141" s="40">
        <v>5</v>
      </c>
      <c r="G141" s="40">
        <f>G140+1</f>
        <v>155101002</v>
      </c>
      <c r="H141" s="40">
        <v>2</v>
      </c>
      <c r="I141" s="40" t="str">
        <f t="shared" si="33"/>
        <v>Gold</v>
      </c>
      <c r="J141" s="40">
        <f>H141*10000</f>
        <v>20000</v>
      </c>
    </row>
    <row r="142" spans="1:10" ht="16.5" customHeight="1" x14ac:dyDescent="0.3">
      <c r="A142" s="37" t="b">
        <v>1</v>
      </c>
      <c r="B142" s="38" t="s">
        <v>236</v>
      </c>
      <c r="C142" s="40">
        <f t="shared" si="34"/>
        <v>2040503</v>
      </c>
      <c r="D142" s="40">
        <f>ServantPieceStore!$F$8</f>
        <v>1040101</v>
      </c>
      <c r="E142" s="40">
        <f t="shared" si="35"/>
        <v>5</v>
      </c>
      <c r="F142" s="40">
        <v>5</v>
      </c>
      <c r="G142" s="40">
        <f>G141+1</f>
        <v>155101003</v>
      </c>
      <c r="H142" s="40">
        <v>1</v>
      </c>
      <c r="I142" s="40" t="str">
        <f t="shared" si="33"/>
        <v>Gem</v>
      </c>
      <c r="J142" s="40">
        <f>H142*30</f>
        <v>30</v>
      </c>
    </row>
    <row r="143" spans="1:10" ht="16.5" customHeight="1" x14ac:dyDescent="0.3">
      <c r="A143" s="37" t="b">
        <v>1</v>
      </c>
      <c r="B143" s="38" t="s">
        <v>236</v>
      </c>
      <c r="C143" s="40">
        <f t="shared" si="34"/>
        <v>2040504</v>
      </c>
      <c r="D143" s="40">
        <f>ServantPieceStore!$F$8</f>
        <v>1040101</v>
      </c>
      <c r="E143" s="40">
        <f t="shared" si="35"/>
        <v>5</v>
      </c>
      <c r="F143" s="40">
        <v>5</v>
      </c>
      <c r="G143" s="40">
        <f>G142+1</f>
        <v>155101004</v>
      </c>
      <c r="H143" s="40">
        <v>2</v>
      </c>
      <c r="I143" s="40" t="str">
        <f t="shared" si="33"/>
        <v>Gold</v>
      </c>
      <c r="J143" s="40">
        <f>H143*10000</f>
        <v>20000</v>
      </c>
    </row>
    <row r="144" spans="1:10" ht="16.5" customHeight="1" x14ac:dyDescent="0.3">
      <c r="A144" s="37" t="b">
        <v>1</v>
      </c>
      <c r="B144" s="38" t="s">
        <v>236</v>
      </c>
      <c r="C144" s="40">
        <f t="shared" si="34"/>
        <v>2040505</v>
      </c>
      <c r="D144" s="40">
        <f>ServantPieceStore!$F$8</f>
        <v>1040101</v>
      </c>
      <c r="E144" s="40">
        <f t="shared" si="35"/>
        <v>5</v>
      </c>
      <c r="F144" s="40">
        <v>5</v>
      </c>
      <c r="G144" s="40">
        <f>G143+1</f>
        <v>155101005</v>
      </c>
      <c r="H144" s="40">
        <v>1</v>
      </c>
      <c r="I144" s="40" t="str">
        <f t="shared" si="33"/>
        <v>Gem</v>
      </c>
      <c r="J144" s="40">
        <f>H144*30</f>
        <v>30</v>
      </c>
    </row>
    <row r="145" spans="1:10" ht="16.5" customHeight="1" x14ac:dyDescent="0.3">
      <c r="A145" s="37" t="b">
        <v>1</v>
      </c>
      <c r="B145" s="38" t="s">
        <v>236</v>
      </c>
      <c r="C145" s="40">
        <f t="shared" si="34"/>
        <v>2040506</v>
      </c>
      <c r="D145" s="40">
        <f>ServantPieceStore!$F$8</f>
        <v>1040101</v>
      </c>
      <c r="E145" s="40">
        <f t="shared" si="35"/>
        <v>5</v>
      </c>
      <c r="F145" s="40">
        <v>5</v>
      </c>
      <c r="G145" s="40">
        <f>G144+1</f>
        <v>155101006</v>
      </c>
      <c r="H145" s="40">
        <v>2</v>
      </c>
      <c r="I145" s="40" t="str">
        <f t="shared" si="33"/>
        <v>Gold</v>
      </c>
      <c r="J145" s="40">
        <f>H145*10000</f>
        <v>20000</v>
      </c>
    </row>
    <row r="146" spans="1:10" ht="16.5" customHeight="1" x14ac:dyDescent="0.3">
      <c r="A146" s="37" t="b">
        <v>1</v>
      </c>
      <c r="B146" s="38" t="s">
        <v>236</v>
      </c>
      <c r="C146" s="40">
        <f t="shared" si="34"/>
        <v>2040507</v>
      </c>
      <c r="D146" s="40">
        <f>ServantPieceStore!$F$8</f>
        <v>1040101</v>
      </c>
      <c r="E146" s="40">
        <f t="shared" si="35"/>
        <v>5</v>
      </c>
      <c r="F146" s="40">
        <v>10</v>
      </c>
      <c r="G146" s="45" t="s">
        <v>152</v>
      </c>
      <c r="H146" s="40">
        <v>1</v>
      </c>
      <c r="I146" s="40" t="str">
        <f t="shared" si="33"/>
        <v>Gem</v>
      </c>
      <c r="J146" s="40">
        <f>H146*30</f>
        <v>30</v>
      </c>
    </row>
    <row r="147" spans="1:10" ht="16.5" customHeight="1" x14ac:dyDescent="0.3">
      <c r="A147" s="37" t="b">
        <v>1</v>
      </c>
      <c r="B147" s="38" t="s">
        <v>236</v>
      </c>
      <c r="C147" s="40">
        <f t="shared" si="34"/>
        <v>2040508</v>
      </c>
      <c r="D147" s="40">
        <f>ServantPieceStore!$F$8</f>
        <v>1040101</v>
      </c>
      <c r="E147" s="40">
        <f t="shared" si="35"/>
        <v>5</v>
      </c>
      <c r="F147" s="40">
        <v>10</v>
      </c>
      <c r="G147" s="40">
        <f>G146+1</f>
        <v>155102002</v>
      </c>
      <c r="H147" s="40">
        <v>2</v>
      </c>
      <c r="I147" s="40" t="str">
        <f t="shared" si="33"/>
        <v>Gem</v>
      </c>
      <c r="J147" s="40">
        <f>H147*30</f>
        <v>60</v>
      </c>
    </row>
    <row r="148" spans="1:10" ht="16.5" customHeight="1" x14ac:dyDescent="0.3">
      <c r="A148" s="37" t="b">
        <v>1</v>
      </c>
      <c r="B148" s="38" t="s">
        <v>236</v>
      </c>
      <c r="C148" s="40">
        <f t="shared" si="34"/>
        <v>2040509</v>
      </c>
      <c r="D148" s="40">
        <f>ServantPieceStore!$F$8</f>
        <v>1040101</v>
      </c>
      <c r="E148" s="40">
        <f t="shared" si="35"/>
        <v>5</v>
      </c>
      <c r="F148" s="40">
        <v>10</v>
      </c>
      <c r="G148" s="40">
        <f>G147+1</f>
        <v>155102003</v>
      </c>
      <c r="H148" s="40">
        <v>2</v>
      </c>
      <c r="I148" s="40" t="str">
        <f t="shared" si="33"/>
        <v>Gold</v>
      </c>
      <c r="J148" s="40">
        <f>H148*10000</f>
        <v>20000</v>
      </c>
    </row>
    <row r="149" spans="1:10" ht="16.5" customHeight="1" x14ac:dyDescent="0.3">
      <c r="A149" s="37" t="b">
        <v>1</v>
      </c>
      <c r="B149" s="38" t="s">
        <v>236</v>
      </c>
      <c r="C149" s="40">
        <f t="shared" si="34"/>
        <v>2040510</v>
      </c>
      <c r="D149" s="40">
        <f>ServantPieceStore!$F$8</f>
        <v>1040101</v>
      </c>
      <c r="E149" s="40">
        <f t="shared" si="35"/>
        <v>5</v>
      </c>
      <c r="F149" s="40">
        <v>10</v>
      </c>
      <c r="G149" s="40">
        <f>G148+1</f>
        <v>155102004</v>
      </c>
      <c r="H149" s="40">
        <v>1</v>
      </c>
      <c r="I149" s="40" t="str">
        <f t="shared" si="33"/>
        <v>Gem</v>
      </c>
      <c r="J149" s="40">
        <f t="shared" ref="J149:J150" si="36">H149*30</f>
        <v>30</v>
      </c>
    </row>
    <row r="150" spans="1:10" ht="16.5" customHeight="1" x14ac:dyDescent="0.3">
      <c r="A150" s="37" t="b">
        <v>1</v>
      </c>
      <c r="B150" s="38" t="s">
        <v>236</v>
      </c>
      <c r="C150" s="40">
        <f t="shared" si="34"/>
        <v>2040511</v>
      </c>
      <c r="D150" s="40">
        <f>ServantPieceStore!$F$8</f>
        <v>1040101</v>
      </c>
      <c r="E150" s="40">
        <f t="shared" si="35"/>
        <v>5</v>
      </c>
      <c r="F150" s="40">
        <v>10</v>
      </c>
      <c r="G150" s="40">
        <f>G149+1</f>
        <v>155102005</v>
      </c>
      <c r="H150" s="40">
        <v>2</v>
      </c>
      <c r="I150" s="40" t="str">
        <f t="shared" si="33"/>
        <v>Gem</v>
      </c>
      <c r="J150" s="40">
        <f t="shared" si="36"/>
        <v>60</v>
      </c>
    </row>
    <row r="151" spans="1:10" ht="16.5" customHeight="1" x14ac:dyDescent="0.3">
      <c r="A151" s="37" t="b">
        <v>1</v>
      </c>
      <c r="B151" s="38" t="s">
        <v>236</v>
      </c>
      <c r="C151" s="40">
        <f t="shared" si="34"/>
        <v>2040512</v>
      </c>
      <c r="D151" s="40">
        <f>ServantPieceStore!$F$8</f>
        <v>1040101</v>
      </c>
      <c r="E151" s="40">
        <f t="shared" si="35"/>
        <v>5</v>
      </c>
      <c r="F151" s="40">
        <v>10</v>
      </c>
      <c r="G151" s="40">
        <f>G150+1</f>
        <v>155102006</v>
      </c>
      <c r="H151" s="40">
        <v>2</v>
      </c>
      <c r="I151" s="40" t="str">
        <f t="shared" si="33"/>
        <v>Gold</v>
      </c>
      <c r="J151" s="40">
        <f>H151*10000</f>
        <v>20000</v>
      </c>
    </row>
    <row r="152" spans="1:10" ht="16.5" customHeight="1" x14ac:dyDescent="0.3">
      <c r="A152" s="37" t="b">
        <v>1</v>
      </c>
      <c r="B152" s="38" t="s">
        <v>236</v>
      </c>
      <c r="C152" s="40">
        <f t="shared" si="34"/>
        <v>2040513</v>
      </c>
      <c r="D152" s="40">
        <f>ServantPieceStore!$F$8</f>
        <v>1040101</v>
      </c>
      <c r="E152" s="40">
        <f t="shared" si="35"/>
        <v>5</v>
      </c>
      <c r="F152" s="40">
        <v>20</v>
      </c>
      <c r="G152" s="41" t="s">
        <v>153</v>
      </c>
      <c r="H152" s="40">
        <v>2</v>
      </c>
      <c r="I152" s="40" t="str">
        <f t="shared" si="33"/>
        <v>Gem</v>
      </c>
      <c r="J152" s="40">
        <f t="shared" ref="J152:J153" si="37">H152*30</f>
        <v>60</v>
      </c>
    </row>
    <row r="153" spans="1:10" ht="16.5" customHeight="1" x14ac:dyDescent="0.3">
      <c r="A153" s="37" t="b">
        <v>1</v>
      </c>
      <c r="B153" s="38" t="s">
        <v>236</v>
      </c>
      <c r="C153" s="40">
        <f t="shared" si="34"/>
        <v>2040514</v>
      </c>
      <c r="D153" s="40">
        <f>ServantPieceStore!$F$8</f>
        <v>1040101</v>
      </c>
      <c r="E153" s="40">
        <f t="shared" si="35"/>
        <v>5</v>
      </c>
      <c r="F153" s="40">
        <v>20</v>
      </c>
      <c r="G153" s="40">
        <f>G152+1</f>
        <v>155103002</v>
      </c>
      <c r="H153" s="40">
        <v>3</v>
      </c>
      <c r="I153" s="40" t="str">
        <f t="shared" si="33"/>
        <v>Gem</v>
      </c>
      <c r="J153" s="40">
        <f t="shared" si="37"/>
        <v>90</v>
      </c>
    </row>
    <row r="154" spans="1:10" ht="16.5" customHeight="1" x14ac:dyDescent="0.3">
      <c r="A154" s="37" t="b">
        <v>1</v>
      </c>
      <c r="B154" s="38" t="s">
        <v>236</v>
      </c>
      <c r="C154" s="40">
        <f t="shared" si="34"/>
        <v>2040515</v>
      </c>
      <c r="D154" s="40">
        <f>ServantPieceStore!$F$8</f>
        <v>1040101</v>
      </c>
      <c r="E154" s="40">
        <f t="shared" si="35"/>
        <v>5</v>
      </c>
      <c r="F154" s="40">
        <v>30</v>
      </c>
      <c r="G154" s="40">
        <f>G153+1</f>
        <v>155103003</v>
      </c>
      <c r="H154" s="40">
        <v>2</v>
      </c>
      <c r="I154" s="40" t="str">
        <f t="shared" si="33"/>
        <v>Gold</v>
      </c>
      <c r="J154" s="40">
        <f>H154*10000</f>
        <v>20000</v>
      </c>
    </row>
    <row r="155" spans="1:10" ht="16.5" customHeight="1" x14ac:dyDescent="0.3">
      <c r="A155" s="37" t="b">
        <v>1</v>
      </c>
      <c r="B155" s="38" t="s">
        <v>236</v>
      </c>
      <c r="C155" s="40">
        <f t="shared" si="34"/>
        <v>2040516</v>
      </c>
      <c r="D155" s="40">
        <f>ServantPieceStore!$F$8</f>
        <v>1040101</v>
      </c>
      <c r="E155" s="40">
        <f t="shared" si="35"/>
        <v>5</v>
      </c>
      <c r="F155" s="40">
        <v>40</v>
      </c>
      <c r="G155" s="40">
        <f>G154+1</f>
        <v>155103004</v>
      </c>
      <c r="H155" s="40">
        <v>3</v>
      </c>
      <c r="I155" s="40" t="str">
        <f t="shared" si="33"/>
        <v>Gem</v>
      </c>
      <c r="J155" s="40">
        <f>H155*30</f>
        <v>90</v>
      </c>
    </row>
    <row r="156" spans="1:10" ht="16.5" customHeight="1" x14ac:dyDescent="0.3">
      <c r="A156" s="42" t="b">
        <v>1</v>
      </c>
      <c r="B156" s="43" t="s">
        <v>237</v>
      </c>
      <c r="C156" s="39">
        <f>C140+100</f>
        <v>2040601</v>
      </c>
      <c r="D156" s="44">
        <f>ServantPieceStore!$F$8</f>
        <v>1040101</v>
      </c>
      <c r="E156" s="39">
        <f>E140+1</f>
        <v>6</v>
      </c>
      <c r="F156" s="44">
        <v>50</v>
      </c>
      <c r="G156" s="41" t="s">
        <v>139</v>
      </c>
      <c r="H156" s="44">
        <v>2</v>
      </c>
      <c r="I156" s="44" t="str">
        <f t="shared" si="33"/>
        <v>Gem</v>
      </c>
      <c r="J156" s="44">
        <f>H156*30</f>
        <v>60</v>
      </c>
    </row>
    <row r="157" spans="1:10" ht="16.5" customHeight="1" x14ac:dyDescent="0.3">
      <c r="A157" s="42" t="b">
        <v>1</v>
      </c>
      <c r="B157" s="43" t="s">
        <v>237</v>
      </c>
      <c r="C157" s="44">
        <f>C156+1</f>
        <v>2040602</v>
      </c>
      <c r="D157" s="44">
        <f>ServantPieceStore!$F$8</f>
        <v>1040101</v>
      </c>
      <c r="E157" s="44">
        <f>E156</f>
        <v>6</v>
      </c>
      <c r="F157" s="44">
        <v>30</v>
      </c>
      <c r="G157" s="44">
        <f>G156+1</f>
        <v>155103004</v>
      </c>
      <c r="H157" s="44">
        <v>3</v>
      </c>
      <c r="I157" s="44" t="str">
        <f t="shared" si="33"/>
        <v>Gem</v>
      </c>
      <c r="J157" s="44">
        <f>H157*30</f>
        <v>90</v>
      </c>
    </row>
  </sheetData>
  <phoneticPr fontId="3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Servant</vt:lpstr>
      <vt:lpstr>ServantLevelUPdStatus</vt:lpstr>
      <vt:lpstr>ServantLevelExperience</vt:lpstr>
      <vt:lpstr>ServantAchievement</vt:lpstr>
      <vt:lpstr>ServantPieceStore</vt:lpstr>
      <vt:lpstr>ServantPieceStoreProduct</vt:lpstr>
      <vt:lpstr>Servant!_FilterDatabase</vt:lpstr>
      <vt:lpstr>ServantLevelUPdStatus!_FilterDatabase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2016-06-09T09:10:45Z</dcterms:modified>
</cp:coreProperties>
</file>