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H:\JW_Work\05. Work DataSheet\"/>
    </mc:Choice>
  </mc:AlternateContent>
  <bookViews>
    <workbookView xWindow="0" yWindow="0" windowWidth="28800" windowHeight="14190" tabRatio="813" firstSheet="1" activeTab="7"/>
  </bookViews>
  <sheets>
    <sheet name="Simulator_ALL" sheetId="14" r:id="rId1"/>
    <sheet name="Simulator_HP" sheetId="15" r:id="rId2"/>
    <sheet name="Simulator_AttkPow" sheetId="16" r:id="rId3"/>
    <sheet name="Simulator_DfsPow" sheetId="17" r:id="rId4"/>
    <sheet name="Simulator_Posion" sheetId="19" r:id="rId5"/>
    <sheet name="Simulator_SkillPower" sheetId="20" r:id="rId6"/>
    <sheet name="Servant" sheetId="1" r:id="rId7"/>
    <sheet name="ServantLevelUPdStatus" sheetId="2" r:id="rId8"/>
    <sheet name="ServantLevelExperience" sheetId="3" r:id="rId9"/>
    <sheet name="ServantAchievement" sheetId="10" r:id="rId10"/>
    <sheet name="ServantPieceStoreProduct" sheetId="11" r:id="rId11"/>
    <sheet name="ServantPieceStore_BackUp" sheetId="13" r:id="rId12"/>
    <sheet name="ServantPieceStoreProduct_BackUp" sheetId="18" r:id="rId13"/>
  </sheets>
  <definedNames>
    <definedName name="_xlnm._FilterDatabase" localSheetId="6">Servant!$B$2:$AC$25</definedName>
    <definedName name="_xlnm._FilterDatabase" localSheetId="7">ServantLevelUPdStatus!$B$2:$R$25</definedName>
  </definedNames>
  <calcPr calcId="171027"/>
</workbook>
</file>

<file path=xl/calcChain.xml><?xml version="1.0" encoding="utf-8"?>
<calcChain xmlns="http://schemas.openxmlformats.org/spreadsheetml/2006/main">
  <c r="Y22" i="1" l="1"/>
  <c r="Y18" i="1"/>
  <c r="Y12" i="1"/>
  <c r="D6" i="2" l="1"/>
  <c r="D12" i="2" s="1"/>
  <c r="S18" i="1"/>
  <c r="S12" i="1"/>
  <c r="S7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0" i="19"/>
  <c r="G11" i="19"/>
  <c r="P7" i="1"/>
  <c r="T4" i="19" l="1"/>
  <c r="S4" i="19"/>
  <c r="S3" i="19"/>
  <c r="T3" i="19" s="1"/>
  <c r="P4" i="19"/>
  <c r="Q4" i="19" s="1"/>
  <c r="R4" i="19" s="1"/>
  <c r="R3" i="19"/>
  <c r="Q3" i="19"/>
  <c r="P3" i="19"/>
  <c r="O4" i="19"/>
  <c r="N4" i="19"/>
  <c r="O3" i="19"/>
  <c r="N3" i="19"/>
  <c r="M4" i="19"/>
  <c r="M3" i="19"/>
  <c r="L4" i="19"/>
  <c r="L3" i="19"/>
  <c r="K4" i="19"/>
  <c r="K3" i="19"/>
  <c r="P12" i="1" l="1"/>
  <c r="T5" i="19" l="1"/>
  <c r="T6" i="19" s="1"/>
  <c r="S5" i="19"/>
  <c r="S6" i="19" s="1"/>
  <c r="R5" i="19"/>
  <c r="R6" i="19" s="1"/>
  <c r="D18" i="2" l="1"/>
  <c r="P18" i="1"/>
  <c r="P19" i="1" s="1"/>
  <c r="Q5" i="19" l="1"/>
  <c r="Q6" i="19" s="1"/>
  <c r="P5" i="19"/>
  <c r="O5" i="19"/>
  <c r="N5" i="19"/>
  <c r="M5" i="19"/>
  <c r="L5" i="19"/>
  <c r="K5" i="19"/>
  <c r="J5" i="19"/>
  <c r="K7" i="19" l="1"/>
  <c r="E8" i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7" i="1"/>
  <c r="F166" i="14" l="1"/>
  <c r="AC29" i="1"/>
  <c r="AC28" i="1"/>
  <c r="AC27" i="1"/>
  <c r="AC26" i="1"/>
  <c r="AC25" i="1"/>
  <c r="AC24" i="1"/>
  <c r="AC23" i="1"/>
  <c r="AC22" i="1"/>
  <c r="AC21" i="1"/>
  <c r="AC17" i="1"/>
  <c r="AC16" i="1"/>
  <c r="AC15" i="1"/>
  <c r="AC14" i="1"/>
  <c r="AC11" i="1"/>
  <c r="AC10" i="1"/>
  <c r="AC9" i="1"/>
  <c r="AC8" i="1"/>
  <c r="AC20" i="1"/>
  <c r="AC19" i="1"/>
  <c r="AC18" i="1"/>
  <c r="AC13" i="1"/>
  <c r="AC12" i="1"/>
  <c r="AC7" i="1"/>
  <c r="H19" i="2" l="1"/>
  <c r="H15" i="2"/>
  <c r="H16" i="2" s="1"/>
  <c r="H17" i="2" s="1"/>
  <c r="H14" i="2"/>
  <c r="H13" i="2"/>
  <c r="H7" i="2"/>
  <c r="C764" i="11" l="1"/>
  <c r="C765" i="11" s="1"/>
  <c r="C766" i="11" s="1"/>
  <c r="C767" i="11" s="1"/>
  <c r="C768" i="11" s="1"/>
  <c r="C769" i="11" s="1"/>
  <c r="C770" i="11" s="1"/>
  <c r="C771" i="11" s="1"/>
  <c r="C772" i="11" s="1"/>
  <c r="C773" i="11" s="1"/>
  <c r="C774" i="11" s="1"/>
  <c r="D763" i="11"/>
  <c r="D764" i="11" s="1"/>
  <c r="D765" i="11" s="1"/>
  <c r="D766" i="11" s="1"/>
  <c r="D767" i="11" s="1"/>
  <c r="D768" i="11" s="1"/>
  <c r="D769" i="11" s="1"/>
  <c r="D770" i="11" s="1"/>
  <c r="D771" i="11" s="1"/>
  <c r="D772" i="11" s="1"/>
  <c r="D773" i="11" s="1"/>
  <c r="D774" i="11" s="1"/>
  <c r="E764" i="11"/>
  <c r="E765" i="11" s="1"/>
  <c r="E766" i="11" s="1"/>
  <c r="E767" i="11" s="1"/>
  <c r="E768" i="11" s="1"/>
  <c r="E769" i="11" s="1"/>
  <c r="E770" i="11" s="1"/>
  <c r="E763" i="11"/>
  <c r="H770" i="11"/>
  <c r="H768" i="11"/>
  <c r="H766" i="11"/>
  <c r="H765" i="11"/>
  <c r="H767" i="11" s="1"/>
  <c r="H769" i="11" s="1"/>
  <c r="N26" i="19"/>
  <c r="J26" i="19"/>
  <c r="N25" i="19"/>
  <c r="J25" i="19"/>
  <c r="N24" i="19"/>
  <c r="J24" i="19"/>
  <c r="N23" i="19"/>
  <c r="J23" i="19"/>
  <c r="H6" i="19"/>
  <c r="H5" i="19"/>
  <c r="H4" i="19"/>
  <c r="H3" i="19"/>
  <c r="E772" i="11"/>
  <c r="E773" i="11" s="1"/>
  <c r="E774" i="11" s="1"/>
  <c r="G774" i="11"/>
  <c r="G773" i="11"/>
  <c r="G772" i="11"/>
  <c r="G771" i="11"/>
  <c r="F774" i="11"/>
  <c r="F773" i="11"/>
  <c r="F772" i="11"/>
  <c r="F771" i="11"/>
  <c r="F22" i="17" l="1"/>
  <c r="D403" i="11" l="1"/>
  <c r="D404" i="11" s="1"/>
  <c r="D408" i="11" s="1"/>
  <c r="D409" i="11" s="1"/>
  <c r="D410" i="11" s="1"/>
  <c r="D411" i="11" s="1"/>
  <c r="D412" i="11" s="1"/>
  <c r="D413" i="11" s="1"/>
  <c r="D414" i="11" s="1"/>
  <c r="D415" i="11" s="1"/>
  <c r="D416" i="11" s="1"/>
  <c r="H615" i="11"/>
  <c r="I615" i="11" s="1"/>
  <c r="G615" i="11"/>
  <c r="H614" i="11"/>
  <c r="H613" i="11"/>
  <c r="H616" i="11" s="1"/>
  <c r="G613" i="11"/>
  <c r="I612" i="11"/>
  <c r="I609" i="11"/>
  <c r="H609" i="11"/>
  <c r="G609" i="11"/>
  <c r="H607" i="11"/>
  <c r="H610" i="11" s="1"/>
  <c r="G607" i="11"/>
  <c r="I606" i="11"/>
  <c r="H603" i="11"/>
  <c r="I603" i="11" s="1"/>
  <c r="G603" i="11"/>
  <c r="H601" i="11"/>
  <c r="H604" i="11" s="1"/>
  <c r="G601" i="11"/>
  <c r="I600" i="11"/>
  <c r="H597" i="11"/>
  <c r="I597" i="11" s="1"/>
  <c r="G597" i="11"/>
  <c r="H595" i="11"/>
  <c r="H598" i="11" s="1"/>
  <c r="G595" i="11"/>
  <c r="G598" i="11" s="1"/>
  <c r="I594" i="11"/>
  <c r="H591" i="11"/>
  <c r="G591" i="11"/>
  <c r="H590" i="11"/>
  <c r="H589" i="11"/>
  <c r="H592" i="11" s="1"/>
  <c r="G589" i="11"/>
  <c r="I588" i="11"/>
  <c r="E587" i="11"/>
  <c r="E590" i="11" s="1"/>
  <c r="E593" i="11" s="1"/>
  <c r="E596" i="11" s="1"/>
  <c r="E599" i="11" s="1"/>
  <c r="E602" i="11" s="1"/>
  <c r="E605" i="11" s="1"/>
  <c r="E608" i="11" s="1"/>
  <c r="E611" i="11" s="1"/>
  <c r="E614" i="11" s="1"/>
  <c r="E617" i="11" s="1"/>
  <c r="E586" i="11"/>
  <c r="E589" i="11" s="1"/>
  <c r="E592" i="11" s="1"/>
  <c r="E595" i="11" s="1"/>
  <c r="E598" i="11" s="1"/>
  <c r="E601" i="11" s="1"/>
  <c r="E604" i="11" s="1"/>
  <c r="E607" i="11" s="1"/>
  <c r="E610" i="11" s="1"/>
  <c r="E613" i="11" s="1"/>
  <c r="E616" i="11" s="1"/>
  <c r="H585" i="11"/>
  <c r="I585" i="11" s="1"/>
  <c r="G585" i="11"/>
  <c r="F585" i="11"/>
  <c r="F588" i="11" s="1"/>
  <c r="E585" i="11"/>
  <c r="E588" i="11" s="1"/>
  <c r="E591" i="11" s="1"/>
  <c r="E594" i="11" s="1"/>
  <c r="E597" i="11" s="1"/>
  <c r="E600" i="11" s="1"/>
  <c r="E603" i="11" s="1"/>
  <c r="E606" i="11" s="1"/>
  <c r="E609" i="11" s="1"/>
  <c r="E612" i="11" s="1"/>
  <c r="E615" i="11" s="1"/>
  <c r="H584" i="11"/>
  <c r="H583" i="11"/>
  <c r="H586" i="11" s="1"/>
  <c r="G583" i="11"/>
  <c r="G586" i="11" s="1"/>
  <c r="F583" i="11"/>
  <c r="F584" i="11" s="1"/>
  <c r="I582" i="11"/>
  <c r="H579" i="11"/>
  <c r="I579" i="11" s="1"/>
  <c r="G579" i="11"/>
  <c r="H576" i="11"/>
  <c r="I576" i="11" s="1"/>
  <c r="G576" i="11"/>
  <c r="H574" i="11"/>
  <c r="G574" i="11"/>
  <c r="I573" i="11"/>
  <c r="H571" i="11"/>
  <c r="H572" i="11" s="1"/>
  <c r="G571" i="11"/>
  <c r="G577" i="11" s="1"/>
  <c r="I570" i="11"/>
  <c r="H567" i="11"/>
  <c r="I567" i="11" s="1"/>
  <c r="G567" i="11"/>
  <c r="H564" i="11"/>
  <c r="I564" i="11" s="1"/>
  <c r="G564" i="11"/>
  <c r="H562" i="11"/>
  <c r="H563" i="11" s="1"/>
  <c r="H569" i="11" s="1"/>
  <c r="G562" i="11"/>
  <c r="I561" i="11"/>
  <c r="H559" i="11"/>
  <c r="G559" i="11"/>
  <c r="G565" i="11" s="1"/>
  <c r="I558" i="11"/>
  <c r="E557" i="11"/>
  <c r="E563" i="11" s="1"/>
  <c r="E569" i="11" s="1"/>
  <c r="E575" i="11" s="1"/>
  <c r="E581" i="11" s="1"/>
  <c r="G556" i="11"/>
  <c r="E556" i="11"/>
  <c r="E562" i="11" s="1"/>
  <c r="E568" i="11" s="1"/>
  <c r="E574" i="11" s="1"/>
  <c r="E580" i="11" s="1"/>
  <c r="H555" i="11"/>
  <c r="G555" i="11"/>
  <c r="I555" i="11" s="1"/>
  <c r="F555" i="11"/>
  <c r="F556" i="11" s="1"/>
  <c r="F557" i="11" s="1"/>
  <c r="E555" i="11"/>
  <c r="E561" i="11" s="1"/>
  <c r="E567" i="11" s="1"/>
  <c r="E573" i="11" s="1"/>
  <c r="E579" i="11" s="1"/>
  <c r="E554" i="11"/>
  <c r="E560" i="11" s="1"/>
  <c r="E566" i="11" s="1"/>
  <c r="E572" i="11" s="1"/>
  <c r="E578" i="11" s="1"/>
  <c r="E553" i="11"/>
  <c r="E559" i="11" s="1"/>
  <c r="E565" i="11" s="1"/>
  <c r="E571" i="11" s="1"/>
  <c r="E577" i="11" s="1"/>
  <c r="H552" i="11"/>
  <c r="G552" i="11"/>
  <c r="F552" i="11"/>
  <c r="F553" i="11" s="1"/>
  <c r="F554" i="11" s="1"/>
  <c r="E552" i="11"/>
  <c r="E558" i="11" s="1"/>
  <c r="E564" i="11" s="1"/>
  <c r="E570" i="11" s="1"/>
  <c r="E576" i="11" s="1"/>
  <c r="H550" i="11"/>
  <c r="G550" i="11"/>
  <c r="G551" i="11" s="1"/>
  <c r="G557" i="11" s="1"/>
  <c r="I549" i="11"/>
  <c r="F548" i="11"/>
  <c r="F549" i="11" s="1"/>
  <c r="F550" i="11" s="1"/>
  <c r="F551" i="11" s="1"/>
  <c r="H547" i="11"/>
  <c r="H553" i="11" s="1"/>
  <c r="I553" i="11" s="1"/>
  <c r="G547" i="11"/>
  <c r="G553" i="11" s="1"/>
  <c r="F547" i="11"/>
  <c r="I546" i="11"/>
  <c r="H543" i="11"/>
  <c r="G543" i="11"/>
  <c r="H540" i="11"/>
  <c r="G540" i="11"/>
  <c r="G539" i="11"/>
  <c r="G545" i="11" s="1"/>
  <c r="H538" i="11"/>
  <c r="H539" i="11" s="1"/>
  <c r="G538" i="11"/>
  <c r="G544" i="11" s="1"/>
  <c r="I537" i="11"/>
  <c r="I535" i="11"/>
  <c r="H535" i="11"/>
  <c r="H536" i="11" s="1"/>
  <c r="G535" i="11"/>
  <c r="G541" i="11" s="1"/>
  <c r="I534" i="11"/>
  <c r="H531" i="11"/>
  <c r="G531" i="11"/>
  <c r="H528" i="11"/>
  <c r="G528" i="11"/>
  <c r="H526" i="11"/>
  <c r="H527" i="11" s="1"/>
  <c r="G526" i="11"/>
  <c r="G532" i="11" s="1"/>
  <c r="I525" i="11"/>
  <c r="H523" i="11"/>
  <c r="G523" i="11"/>
  <c r="I522" i="11"/>
  <c r="E521" i="11"/>
  <c r="E527" i="11" s="1"/>
  <c r="E533" i="11" s="1"/>
  <c r="E539" i="11" s="1"/>
  <c r="E545" i="11" s="1"/>
  <c r="E520" i="11"/>
  <c r="E526" i="11" s="1"/>
  <c r="E532" i="11" s="1"/>
  <c r="E538" i="11" s="1"/>
  <c r="E544" i="11" s="1"/>
  <c r="H519" i="11"/>
  <c r="I519" i="11" s="1"/>
  <c r="G519" i="11"/>
  <c r="E519" i="11"/>
  <c r="E525" i="11" s="1"/>
  <c r="E531" i="11" s="1"/>
  <c r="E537" i="11" s="1"/>
  <c r="E543" i="11" s="1"/>
  <c r="E518" i="11"/>
  <c r="E524" i="11" s="1"/>
  <c r="E530" i="11" s="1"/>
  <c r="E536" i="11" s="1"/>
  <c r="E542" i="11" s="1"/>
  <c r="E517" i="11"/>
  <c r="E523" i="11" s="1"/>
  <c r="E529" i="11" s="1"/>
  <c r="E535" i="11" s="1"/>
  <c r="E541" i="11" s="1"/>
  <c r="H516" i="11"/>
  <c r="G516" i="11"/>
  <c r="F516" i="11"/>
  <c r="E516" i="11"/>
  <c r="E522" i="11" s="1"/>
  <c r="E528" i="11" s="1"/>
  <c r="E534" i="11" s="1"/>
  <c r="E540" i="11" s="1"/>
  <c r="H514" i="11"/>
  <c r="H520" i="11" s="1"/>
  <c r="G514" i="11"/>
  <c r="I513" i="11"/>
  <c r="F512" i="11"/>
  <c r="F513" i="11" s="1"/>
  <c r="F514" i="11" s="1"/>
  <c r="F515" i="11" s="1"/>
  <c r="H511" i="11"/>
  <c r="G511" i="11"/>
  <c r="G512" i="11" s="1"/>
  <c r="G518" i="11" s="1"/>
  <c r="F511" i="11"/>
  <c r="D511" i="11"/>
  <c r="D512" i="11" s="1"/>
  <c r="I510" i="11"/>
  <c r="H507" i="11"/>
  <c r="I507" i="11" s="1"/>
  <c r="G507" i="11"/>
  <c r="H505" i="11"/>
  <c r="H508" i="11" s="1"/>
  <c r="G505" i="11"/>
  <c r="I504" i="11"/>
  <c r="H501" i="11"/>
  <c r="I501" i="11" s="1"/>
  <c r="G501" i="11"/>
  <c r="H500" i="11"/>
  <c r="H499" i="11"/>
  <c r="H502" i="11" s="1"/>
  <c r="G499" i="11"/>
  <c r="I498" i="11"/>
  <c r="I495" i="11"/>
  <c r="H495" i="11"/>
  <c r="G495" i="11"/>
  <c r="H493" i="11"/>
  <c r="H496" i="11" s="1"/>
  <c r="G493" i="11"/>
  <c r="I492" i="11"/>
  <c r="H489" i="11"/>
  <c r="I489" i="11" s="1"/>
  <c r="G489" i="11"/>
  <c r="H487" i="11"/>
  <c r="H490" i="11" s="1"/>
  <c r="G487" i="11"/>
  <c r="I486" i="11"/>
  <c r="H483" i="11"/>
  <c r="I483" i="11" s="1"/>
  <c r="G483" i="11"/>
  <c r="H481" i="11"/>
  <c r="H484" i="11" s="1"/>
  <c r="G481" i="11"/>
  <c r="I480" i="11"/>
  <c r="E479" i="11"/>
  <c r="E482" i="11" s="1"/>
  <c r="E485" i="11" s="1"/>
  <c r="E488" i="11" s="1"/>
  <c r="E491" i="11" s="1"/>
  <c r="E494" i="11" s="1"/>
  <c r="E497" i="11" s="1"/>
  <c r="E500" i="11" s="1"/>
  <c r="E503" i="11" s="1"/>
  <c r="E506" i="11" s="1"/>
  <c r="E509" i="11" s="1"/>
  <c r="E478" i="11"/>
  <c r="E481" i="11" s="1"/>
  <c r="E484" i="11" s="1"/>
  <c r="E487" i="11" s="1"/>
  <c r="E490" i="11" s="1"/>
  <c r="E493" i="11" s="1"/>
  <c r="E496" i="11" s="1"/>
  <c r="E499" i="11" s="1"/>
  <c r="E502" i="11" s="1"/>
  <c r="E505" i="11" s="1"/>
  <c r="E508" i="11" s="1"/>
  <c r="H477" i="11"/>
  <c r="I477" i="11" s="1"/>
  <c r="G477" i="11"/>
  <c r="F477" i="11"/>
  <c r="F480" i="11" s="1"/>
  <c r="E477" i="11"/>
  <c r="E480" i="11" s="1"/>
  <c r="E483" i="11" s="1"/>
  <c r="E486" i="11" s="1"/>
  <c r="E489" i="11" s="1"/>
  <c r="E492" i="11" s="1"/>
  <c r="E495" i="11" s="1"/>
  <c r="E498" i="11" s="1"/>
  <c r="E501" i="11" s="1"/>
  <c r="E504" i="11" s="1"/>
  <c r="E507" i="11" s="1"/>
  <c r="H475" i="11"/>
  <c r="H478" i="11" s="1"/>
  <c r="G475" i="11"/>
  <c r="G478" i="11" s="1"/>
  <c r="F475" i="11"/>
  <c r="F476" i="11" s="1"/>
  <c r="I474" i="11"/>
  <c r="G472" i="11"/>
  <c r="I471" i="11"/>
  <c r="H471" i="11"/>
  <c r="G471" i="11"/>
  <c r="H468" i="11"/>
  <c r="I468" i="11" s="1"/>
  <c r="G468" i="11"/>
  <c r="H466" i="11"/>
  <c r="H472" i="11" s="1"/>
  <c r="G466" i="11"/>
  <c r="G467" i="11" s="1"/>
  <c r="G473" i="11" s="1"/>
  <c r="I465" i="11"/>
  <c r="G464" i="11"/>
  <c r="G470" i="11" s="1"/>
  <c r="I463" i="11"/>
  <c r="H463" i="11"/>
  <c r="H469" i="11" s="1"/>
  <c r="I469" i="11" s="1"/>
  <c r="G463" i="11"/>
  <c r="G469" i="11" s="1"/>
  <c r="I462" i="11"/>
  <c r="H459" i="11"/>
  <c r="I459" i="11" s="1"/>
  <c r="G459" i="11"/>
  <c r="H456" i="11"/>
  <c r="I456" i="11" s="1"/>
  <c r="G456" i="11"/>
  <c r="H454" i="11"/>
  <c r="I454" i="11" s="1"/>
  <c r="G454" i="11"/>
  <c r="G460" i="11" s="1"/>
  <c r="I453" i="11"/>
  <c r="G452" i="11"/>
  <c r="G458" i="11" s="1"/>
  <c r="H451" i="11"/>
  <c r="H457" i="11" s="1"/>
  <c r="I457" i="11" s="1"/>
  <c r="G451" i="11"/>
  <c r="G457" i="11" s="1"/>
  <c r="I450" i="11"/>
  <c r="E449" i="11"/>
  <c r="E455" i="11" s="1"/>
  <c r="E461" i="11" s="1"/>
  <c r="E467" i="11" s="1"/>
  <c r="E473" i="11" s="1"/>
  <c r="E448" i="11"/>
  <c r="E454" i="11" s="1"/>
  <c r="E460" i="11" s="1"/>
  <c r="E466" i="11" s="1"/>
  <c r="E472" i="11" s="1"/>
  <c r="H447" i="11"/>
  <c r="G447" i="11"/>
  <c r="E447" i="11"/>
  <c r="E453" i="11" s="1"/>
  <c r="E459" i="11" s="1"/>
  <c r="E465" i="11" s="1"/>
  <c r="E471" i="11" s="1"/>
  <c r="E446" i="11"/>
  <c r="E452" i="11" s="1"/>
  <c r="E458" i="11" s="1"/>
  <c r="E464" i="11" s="1"/>
  <c r="E470" i="11" s="1"/>
  <c r="E445" i="11"/>
  <c r="E451" i="11" s="1"/>
  <c r="E457" i="11" s="1"/>
  <c r="E463" i="11" s="1"/>
  <c r="E469" i="11" s="1"/>
  <c r="H444" i="11"/>
  <c r="I444" i="11" s="1"/>
  <c r="G444" i="11"/>
  <c r="F444" i="11"/>
  <c r="F445" i="11" s="1"/>
  <c r="F446" i="11" s="1"/>
  <c r="F447" i="11" s="1"/>
  <c r="F448" i="11" s="1"/>
  <c r="F449" i="11" s="1"/>
  <c r="E444" i="11"/>
  <c r="E450" i="11" s="1"/>
  <c r="E456" i="11" s="1"/>
  <c r="E462" i="11" s="1"/>
  <c r="E468" i="11" s="1"/>
  <c r="H442" i="11"/>
  <c r="H448" i="11" s="1"/>
  <c r="G442" i="11"/>
  <c r="G448" i="11" s="1"/>
  <c r="I441" i="11"/>
  <c r="H440" i="11"/>
  <c r="H446" i="11" s="1"/>
  <c r="I439" i="11"/>
  <c r="H439" i="11"/>
  <c r="H445" i="11" s="1"/>
  <c r="G439" i="11"/>
  <c r="G445" i="11" s="1"/>
  <c r="F439" i="11"/>
  <c r="F440" i="11" s="1"/>
  <c r="F441" i="11" s="1"/>
  <c r="F442" i="11" s="1"/>
  <c r="F443" i="11" s="1"/>
  <c r="I438" i="11"/>
  <c r="H435" i="11"/>
  <c r="G435" i="11"/>
  <c r="H432" i="11"/>
  <c r="I432" i="11" s="1"/>
  <c r="G432" i="11"/>
  <c r="H430" i="11"/>
  <c r="H431" i="11" s="1"/>
  <c r="H437" i="11" s="1"/>
  <c r="G430" i="11"/>
  <c r="G436" i="11" s="1"/>
  <c r="I429" i="11"/>
  <c r="H427" i="11"/>
  <c r="H433" i="11" s="1"/>
  <c r="G427" i="11"/>
  <c r="G433" i="11" s="1"/>
  <c r="I426" i="11"/>
  <c r="H423" i="11"/>
  <c r="G423" i="11"/>
  <c r="H420" i="11"/>
  <c r="I420" i="11" s="1"/>
  <c r="G420" i="11"/>
  <c r="H418" i="11"/>
  <c r="I418" i="11" s="1"/>
  <c r="G418" i="11"/>
  <c r="G424" i="11" s="1"/>
  <c r="I417" i="11"/>
  <c r="H416" i="11"/>
  <c r="I416" i="11" s="1"/>
  <c r="G416" i="11"/>
  <c r="G422" i="11" s="1"/>
  <c r="H415" i="11"/>
  <c r="H421" i="11" s="1"/>
  <c r="I421" i="11" s="1"/>
  <c r="G415" i="11"/>
  <c r="G421" i="11" s="1"/>
  <c r="I414" i="11"/>
  <c r="E413" i="11"/>
  <c r="E419" i="11" s="1"/>
  <c r="E425" i="11" s="1"/>
  <c r="E431" i="11" s="1"/>
  <c r="E437" i="11" s="1"/>
  <c r="E412" i="11"/>
  <c r="E418" i="11" s="1"/>
  <c r="E424" i="11" s="1"/>
  <c r="E430" i="11" s="1"/>
  <c r="E436" i="11" s="1"/>
  <c r="H411" i="11"/>
  <c r="G411" i="11"/>
  <c r="E411" i="11"/>
  <c r="E417" i="11" s="1"/>
  <c r="E423" i="11" s="1"/>
  <c r="E429" i="11" s="1"/>
  <c r="E435" i="11" s="1"/>
  <c r="E410" i="11"/>
  <c r="E416" i="11" s="1"/>
  <c r="E422" i="11" s="1"/>
  <c r="E428" i="11" s="1"/>
  <c r="E434" i="11" s="1"/>
  <c r="E409" i="11"/>
  <c r="E415" i="11" s="1"/>
  <c r="E421" i="11" s="1"/>
  <c r="E427" i="11" s="1"/>
  <c r="E433" i="11" s="1"/>
  <c r="H408" i="11"/>
  <c r="I408" i="11" s="1"/>
  <c r="G408" i="11"/>
  <c r="F408" i="11"/>
  <c r="F414" i="11" s="1"/>
  <c r="E408" i="11"/>
  <c r="E414" i="11" s="1"/>
  <c r="E420" i="11" s="1"/>
  <c r="E426" i="11" s="1"/>
  <c r="E432" i="11" s="1"/>
  <c r="H406" i="11"/>
  <c r="H412" i="11" s="1"/>
  <c r="G406" i="11"/>
  <c r="G412" i="11" s="1"/>
  <c r="I405" i="11"/>
  <c r="I403" i="11"/>
  <c r="H403" i="11"/>
  <c r="H409" i="11" s="1"/>
  <c r="G403" i="11"/>
  <c r="G409" i="11" s="1"/>
  <c r="F403" i="11"/>
  <c r="F404" i="11" s="1"/>
  <c r="F405" i="11" s="1"/>
  <c r="F406" i="11" s="1"/>
  <c r="F407" i="11" s="1"/>
  <c r="I402" i="11"/>
  <c r="H443" i="11" l="1"/>
  <c r="I443" i="11" s="1"/>
  <c r="H532" i="11"/>
  <c r="I532" i="11" s="1"/>
  <c r="H544" i="11"/>
  <c r="I544" i="11" s="1"/>
  <c r="H419" i="11"/>
  <c r="H425" i="11" s="1"/>
  <c r="I435" i="11"/>
  <c r="G443" i="11"/>
  <c r="G449" i="11" s="1"/>
  <c r="I447" i="11"/>
  <c r="F450" i="11"/>
  <c r="F456" i="11" s="1"/>
  <c r="I451" i="11"/>
  <c r="H460" i="11"/>
  <c r="I460" i="11" s="1"/>
  <c r="H482" i="11"/>
  <c r="H506" i="11"/>
  <c r="I516" i="11"/>
  <c r="G527" i="11"/>
  <c r="G533" i="11" s="1"/>
  <c r="G548" i="11"/>
  <c r="G554" i="11" s="1"/>
  <c r="G584" i="11"/>
  <c r="G587" i="11" s="1"/>
  <c r="F586" i="11"/>
  <c r="F587" i="11" s="1"/>
  <c r="H404" i="11"/>
  <c r="H410" i="11" s="1"/>
  <c r="I406" i="11"/>
  <c r="F409" i="11"/>
  <c r="F410" i="11" s="1"/>
  <c r="F411" i="11" s="1"/>
  <c r="F412" i="11" s="1"/>
  <c r="F413" i="11" s="1"/>
  <c r="I411" i="11"/>
  <c r="I423" i="11"/>
  <c r="G428" i="11"/>
  <c r="G434" i="11" s="1"/>
  <c r="I430" i="11"/>
  <c r="G440" i="11"/>
  <c r="G446" i="11" s="1"/>
  <c r="H452" i="11"/>
  <c r="H458" i="11" s="1"/>
  <c r="G455" i="11"/>
  <c r="G461" i="11" s="1"/>
  <c r="H464" i="11"/>
  <c r="H470" i="11" s="1"/>
  <c r="I470" i="11" s="1"/>
  <c r="F478" i="11"/>
  <c r="F479" i="11" s="1"/>
  <c r="H494" i="11"/>
  <c r="I528" i="11"/>
  <c r="I598" i="11"/>
  <c r="H602" i="11"/>
  <c r="H608" i="11"/>
  <c r="H407" i="11"/>
  <c r="H413" i="11" s="1"/>
  <c r="H428" i="11"/>
  <c r="I446" i="11"/>
  <c r="I442" i="11"/>
  <c r="H455" i="11"/>
  <c r="H461" i="11" s="1"/>
  <c r="H467" i="11"/>
  <c r="H476" i="11"/>
  <c r="H488" i="11"/>
  <c r="I540" i="11"/>
  <c r="G560" i="11"/>
  <c r="G566" i="11" s="1"/>
  <c r="I571" i="11"/>
  <c r="I583" i="11"/>
  <c r="I591" i="11"/>
  <c r="H596" i="11"/>
  <c r="D405" i="11"/>
  <c r="D406" i="11" s="1"/>
  <c r="D407" i="11" s="1"/>
  <c r="D417" i="11"/>
  <c r="D418" i="11" s="1"/>
  <c r="D419" i="11" s="1"/>
  <c r="D420" i="11"/>
  <c r="D421" i="11" s="1"/>
  <c r="D422" i="11" s="1"/>
  <c r="D423" i="11" s="1"/>
  <c r="D424" i="11" s="1"/>
  <c r="D425" i="11" s="1"/>
  <c r="D426" i="11" s="1"/>
  <c r="D427" i="11" s="1"/>
  <c r="D428" i="11" s="1"/>
  <c r="I409" i="11"/>
  <c r="I412" i="11"/>
  <c r="F420" i="11"/>
  <c r="F415" i="11"/>
  <c r="F416" i="11" s="1"/>
  <c r="F417" i="11" s="1"/>
  <c r="F418" i="11" s="1"/>
  <c r="F419" i="11" s="1"/>
  <c r="I433" i="11"/>
  <c r="I448" i="11"/>
  <c r="I458" i="11"/>
  <c r="I445" i="11"/>
  <c r="F462" i="11"/>
  <c r="F457" i="11"/>
  <c r="F458" i="11" s="1"/>
  <c r="F459" i="11" s="1"/>
  <c r="F460" i="11" s="1"/>
  <c r="F461" i="11" s="1"/>
  <c r="G490" i="11"/>
  <c r="I490" i="11" s="1"/>
  <c r="G488" i="11"/>
  <c r="G491" i="11" s="1"/>
  <c r="G404" i="11"/>
  <c r="G410" i="11" s="1"/>
  <c r="G407" i="11"/>
  <c r="G413" i="11" s="1"/>
  <c r="I415" i="11"/>
  <c r="G419" i="11"/>
  <c r="G425" i="11" s="1"/>
  <c r="I425" i="11" s="1"/>
  <c r="H424" i="11"/>
  <c r="I424" i="11" s="1"/>
  <c r="I427" i="11"/>
  <c r="G431" i="11"/>
  <c r="G437" i="11" s="1"/>
  <c r="I437" i="11" s="1"/>
  <c r="H436" i="11"/>
  <c r="I436" i="11" s="1"/>
  <c r="I452" i="11"/>
  <c r="I464" i="11"/>
  <c r="I466" i="11"/>
  <c r="H479" i="11"/>
  <c r="I476" i="11"/>
  <c r="H491" i="11"/>
  <c r="I491" i="11" s="1"/>
  <c r="H503" i="11"/>
  <c r="F522" i="11"/>
  <c r="F517" i="11"/>
  <c r="F518" i="11" s="1"/>
  <c r="F519" i="11" s="1"/>
  <c r="F520" i="11" s="1"/>
  <c r="F521" i="11" s="1"/>
  <c r="I404" i="11"/>
  <c r="H422" i="11"/>
  <c r="I422" i="11" s="1"/>
  <c r="H434" i="11"/>
  <c r="F451" i="11"/>
  <c r="F452" i="11" s="1"/>
  <c r="F453" i="11" s="1"/>
  <c r="F454" i="11" s="1"/>
  <c r="F455" i="11" s="1"/>
  <c r="I478" i="11"/>
  <c r="F483" i="11"/>
  <c r="F481" i="11"/>
  <c r="F482" i="11" s="1"/>
  <c r="G484" i="11"/>
  <c r="G482" i="11"/>
  <c r="G485" i="11" s="1"/>
  <c r="H485" i="11"/>
  <c r="H497" i="11"/>
  <c r="I497" i="11" s="1"/>
  <c r="H509" i="11"/>
  <c r="I506" i="11"/>
  <c r="I511" i="11"/>
  <c r="G502" i="11"/>
  <c r="I502" i="11" s="1"/>
  <c r="G500" i="11"/>
  <c r="G503" i="11" s="1"/>
  <c r="G517" i="11"/>
  <c r="I440" i="11"/>
  <c r="I472" i="11"/>
  <c r="I484" i="11"/>
  <c r="G496" i="11"/>
  <c r="I496" i="11" s="1"/>
  <c r="G494" i="11"/>
  <c r="G497" i="11" s="1"/>
  <c r="G508" i="11"/>
  <c r="I508" i="11" s="1"/>
  <c r="G506" i="11"/>
  <c r="G509" i="11" s="1"/>
  <c r="D516" i="11"/>
  <c r="D517" i="11" s="1"/>
  <c r="D518" i="11" s="1"/>
  <c r="D519" i="11" s="1"/>
  <c r="D520" i="11" s="1"/>
  <c r="D521" i="11" s="1"/>
  <c r="D522" i="11" s="1"/>
  <c r="D523" i="11" s="1"/>
  <c r="D524" i="11" s="1"/>
  <c r="D513" i="11"/>
  <c r="D514" i="11" s="1"/>
  <c r="D515" i="11" s="1"/>
  <c r="G515" i="11"/>
  <c r="G521" i="11" s="1"/>
  <c r="G520" i="11"/>
  <c r="I520" i="11" s="1"/>
  <c r="H524" i="11"/>
  <c r="H529" i="11"/>
  <c r="I523" i="11"/>
  <c r="I527" i="11"/>
  <c r="H533" i="11"/>
  <c r="I533" i="11" s="1"/>
  <c r="H542" i="11"/>
  <c r="G592" i="11"/>
  <c r="I592" i="11" s="1"/>
  <c r="G590" i="11"/>
  <c r="G593" i="11" s="1"/>
  <c r="I475" i="11"/>
  <c r="G476" i="11"/>
  <c r="G479" i="11" s="1"/>
  <c r="H512" i="11"/>
  <c r="H515" i="11"/>
  <c r="G529" i="11"/>
  <c r="G524" i="11"/>
  <c r="G530" i="11" s="1"/>
  <c r="I531" i="11"/>
  <c r="I539" i="11"/>
  <c r="H545" i="11"/>
  <c r="I545" i="11" s="1"/>
  <c r="H548" i="11"/>
  <c r="I547" i="11"/>
  <c r="F591" i="11"/>
  <c r="F589" i="11"/>
  <c r="F590" i="11" s="1"/>
  <c r="G616" i="11"/>
  <c r="G614" i="11"/>
  <c r="G617" i="11" s="1"/>
  <c r="H517" i="11"/>
  <c r="I552" i="11"/>
  <c r="H565" i="11"/>
  <c r="I565" i="11" s="1"/>
  <c r="H560" i="11"/>
  <c r="I559" i="11"/>
  <c r="G604" i="11"/>
  <c r="G602" i="11"/>
  <c r="G605" i="11" s="1"/>
  <c r="I481" i="11"/>
  <c r="I487" i="11"/>
  <c r="I493" i="11"/>
  <c r="I499" i="11"/>
  <c r="I505" i="11"/>
  <c r="I514" i="11"/>
  <c r="I543" i="11"/>
  <c r="H551" i="11"/>
  <c r="H556" i="11"/>
  <c r="I556" i="11" s="1"/>
  <c r="I550" i="11"/>
  <c r="H578" i="11"/>
  <c r="I586" i="11"/>
  <c r="I526" i="11"/>
  <c r="I538" i="11"/>
  <c r="H541" i="11"/>
  <c r="I541" i="11" s="1"/>
  <c r="G572" i="11"/>
  <c r="G578" i="11" s="1"/>
  <c r="H580" i="11"/>
  <c r="I574" i="11"/>
  <c r="H599" i="11"/>
  <c r="H605" i="11"/>
  <c r="I610" i="11"/>
  <c r="H617" i="11"/>
  <c r="I617" i="11" s="1"/>
  <c r="G536" i="11"/>
  <c r="G542" i="11" s="1"/>
  <c r="F558" i="11"/>
  <c r="G563" i="11"/>
  <c r="G569" i="11" s="1"/>
  <c r="I569" i="11" s="1"/>
  <c r="G568" i="11"/>
  <c r="H587" i="11"/>
  <c r="I587" i="11" s="1"/>
  <c r="I584" i="11"/>
  <c r="H593" i="11"/>
  <c r="I604" i="11"/>
  <c r="H611" i="11"/>
  <c r="I616" i="11"/>
  <c r="H568" i="11"/>
  <c r="I562" i="11"/>
  <c r="G575" i="11"/>
  <c r="G581" i="11" s="1"/>
  <c r="G580" i="11"/>
  <c r="H575" i="11"/>
  <c r="G596" i="11"/>
  <c r="G599" i="11" s="1"/>
  <c r="G610" i="11"/>
  <c r="G608" i="11"/>
  <c r="G611" i="11" s="1"/>
  <c r="H577" i="11"/>
  <c r="I577" i="11" s="1"/>
  <c r="I589" i="11"/>
  <c r="I595" i="11"/>
  <c r="I601" i="11"/>
  <c r="I607" i="11"/>
  <c r="I613" i="11"/>
  <c r="V8" i="19"/>
  <c r="V9" i="19" s="1"/>
  <c r="V10" i="19" s="1"/>
  <c r="V11" i="19" s="1"/>
  <c r="V12" i="19" s="1"/>
  <c r="V7" i="19"/>
  <c r="H449" i="11" l="1"/>
  <c r="I449" i="11" s="1"/>
  <c r="I413" i="11"/>
  <c r="I407" i="11"/>
  <c r="I599" i="11"/>
  <c r="I611" i="11"/>
  <c r="I596" i="11"/>
  <c r="I542" i="11"/>
  <c r="I434" i="11"/>
  <c r="I410" i="11"/>
  <c r="I455" i="11"/>
  <c r="I568" i="11"/>
  <c r="I517" i="11"/>
  <c r="I461" i="11"/>
  <c r="I500" i="11"/>
  <c r="I467" i="11"/>
  <c r="H473" i="11"/>
  <c r="I473" i="11" s="1"/>
  <c r="I428" i="11"/>
  <c r="D432" i="11"/>
  <c r="D433" i="11" s="1"/>
  <c r="D434" i="11" s="1"/>
  <c r="D435" i="11" s="1"/>
  <c r="D436" i="11" s="1"/>
  <c r="D437" i="11" s="1"/>
  <c r="D438" i="11" s="1"/>
  <c r="D439" i="11" s="1"/>
  <c r="D440" i="11" s="1"/>
  <c r="D429" i="11"/>
  <c r="D430" i="11" s="1"/>
  <c r="D431" i="11" s="1"/>
  <c r="F594" i="11"/>
  <c r="F592" i="11"/>
  <c r="F593" i="11" s="1"/>
  <c r="H521" i="11"/>
  <c r="I521" i="11" s="1"/>
  <c r="I515" i="11"/>
  <c r="D525" i="11"/>
  <c r="D526" i="11" s="1"/>
  <c r="D527" i="11" s="1"/>
  <c r="D528" i="11"/>
  <c r="D529" i="11" s="1"/>
  <c r="D530" i="11" s="1"/>
  <c r="D531" i="11" s="1"/>
  <c r="D532" i="11" s="1"/>
  <c r="D533" i="11" s="1"/>
  <c r="D534" i="11" s="1"/>
  <c r="D535" i="11" s="1"/>
  <c r="D536" i="11" s="1"/>
  <c r="F559" i="11"/>
  <c r="F560" i="11" s="1"/>
  <c r="F561" i="11" s="1"/>
  <c r="F562" i="11" s="1"/>
  <c r="F563" i="11" s="1"/>
  <c r="F564" i="11"/>
  <c r="I551" i="11"/>
  <c r="H557" i="11"/>
  <c r="I557" i="11" s="1"/>
  <c r="I512" i="11"/>
  <c r="H518" i="11"/>
  <c r="I518" i="11" s="1"/>
  <c r="I509" i="11"/>
  <c r="I419" i="11"/>
  <c r="F528" i="11"/>
  <c r="F523" i="11"/>
  <c r="F524" i="11" s="1"/>
  <c r="F525" i="11" s="1"/>
  <c r="F526" i="11" s="1"/>
  <c r="F527" i="11" s="1"/>
  <c r="I503" i="11"/>
  <c r="I590" i="11"/>
  <c r="I602" i="11"/>
  <c r="I572" i="11"/>
  <c r="H554" i="11"/>
  <c r="I554" i="11" s="1"/>
  <c r="I548" i="11"/>
  <c r="I536" i="11"/>
  <c r="I482" i="11"/>
  <c r="I479" i="11"/>
  <c r="F468" i="11"/>
  <c r="F469" i="11" s="1"/>
  <c r="F470" i="11" s="1"/>
  <c r="F471" i="11" s="1"/>
  <c r="F472" i="11" s="1"/>
  <c r="F473" i="11" s="1"/>
  <c r="F463" i="11"/>
  <c r="F464" i="11" s="1"/>
  <c r="F465" i="11" s="1"/>
  <c r="F466" i="11" s="1"/>
  <c r="F467" i="11" s="1"/>
  <c r="F421" i="11"/>
  <c r="F422" i="11" s="1"/>
  <c r="F423" i="11" s="1"/>
  <c r="F424" i="11" s="1"/>
  <c r="F425" i="11" s="1"/>
  <c r="F426" i="11"/>
  <c r="H581" i="11"/>
  <c r="I581" i="11" s="1"/>
  <c r="I575" i="11"/>
  <c r="H530" i="11"/>
  <c r="I530" i="11" s="1"/>
  <c r="I524" i="11"/>
  <c r="I578" i="11"/>
  <c r="I560" i="11"/>
  <c r="H566" i="11"/>
  <c r="I566" i="11" s="1"/>
  <c r="I563" i="11"/>
  <c r="I608" i="11"/>
  <c r="I593" i="11"/>
  <c r="I614" i="11"/>
  <c r="I605" i="11"/>
  <c r="I580" i="11"/>
  <c r="I529" i="11"/>
  <c r="I494" i="11"/>
  <c r="I485" i="11"/>
  <c r="F486" i="11"/>
  <c r="F484" i="11"/>
  <c r="F485" i="11" s="1"/>
  <c r="I431" i="11"/>
  <c r="I488" i="11"/>
  <c r="V15" i="19"/>
  <c r="V18" i="19"/>
  <c r="V14" i="19"/>
  <c r="V16" i="19" s="1"/>
  <c r="V17" i="19"/>
  <c r="V13" i="19"/>
  <c r="H34" i="20"/>
  <c r="H33" i="20"/>
  <c r="H31" i="20"/>
  <c r="H30" i="20"/>
  <c r="H29" i="20"/>
  <c r="H28" i="20"/>
  <c r="H27" i="20"/>
  <c r="H25" i="20"/>
  <c r="H24" i="20"/>
  <c r="H21" i="20"/>
  <c r="H20" i="20"/>
  <c r="H19" i="20"/>
  <c r="H18" i="20"/>
  <c r="H17" i="20"/>
  <c r="H16" i="20"/>
  <c r="H15" i="20"/>
  <c r="H14" i="20"/>
  <c r="H13" i="20"/>
  <c r="H12" i="20"/>
  <c r="H11" i="20"/>
  <c r="H10" i="20"/>
  <c r="H9" i="20"/>
  <c r="H7" i="20"/>
  <c r="H6" i="20"/>
  <c r="H5" i="20"/>
  <c r="H4" i="20"/>
  <c r="H3" i="20"/>
  <c r="H2" i="20"/>
  <c r="D444" i="11" l="1"/>
  <c r="D445" i="11" s="1"/>
  <c r="D446" i="11" s="1"/>
  <c r="D447" i="11" s="1"/>
  <c r="D448" i="11" s="1"/>
  <c r="D449" i="11" s="1"/>
  <c r="D450" i="11" s="1"/>
  <c r="D451" i="11" s="1"/>
  <c r="D452" i="11" s="1"/>
  <c r="D441" i="11"/>
  <c r="D442" i="11" s="1"/>
  <c r="D443" i="11" s="1"/>
  <c r="F489" i="11"/>
  <c r="F487" i="11"/>
  <c r="F488" i="11" s="1"/>
  <c r="F570" i="11"/>
  <c r="F565" i="11"/>
  <c r="F566" i="11" s="1"/>
  <c r="F567" i="11" s="1"/>
  <c r="F568" i="11" s="1"/>
  <c r="F569" i="11" s="1"/>
  <c r="F427" i="11"/>
  <c r="F428" i="11" s="1"/>
  <c r="F429" i="11" s="1"/>
  <c r="F430" i="11" s="1"/>
  <c r="F431" i="11" s="1"/>
  <c r="F432" i="11"/>
  <c r="F433" i="11" s="1"/>
  <c r="F434" i="11" s="1"/>
  <c r="F435" i="11" s="1"/>
  <c r="F436" i="11" s="1"/>
  <c r="F437" i="11" s="1"/>
  <c r="F529" i="11"/>
  <c r="F530" i="11" s="1"/>
  <c r="F531" i="11" s="1"/>
  <c r="F532" i="11" s="1"/>
  <c r="F533" i="11" s="1"/>
  <c r="F534" i="11"/>
  <c r="D537" i="11"/>
  <c r="D538" i="11" s="1"/>
  <c r="D539" i="11" s="1"/>
  <c r="D540" i="11"/>
  <c r="D541" i="11" s="1"/>
  <c r="D542" i="11" s="1"/>
  <c r="D543" i="11" s="1"/>
  <c r="D544" i="11" s="1"/>
  <c r="D545" i="11" s="1"/>
  <c r="D546" i="11" s="1"/>
  <c r="D547" i="11" s="1"/>
  <c r="D548" i="11" s="1"/>
  <c r="F597" i="11"/>
  <c r="F595" i="11"/>
  <c r="F596" i="11" s="1"/>
  <c r="V19" i="19"/>
  <c r="V20" i="19"/>
  <c r="V21" i="19" s="1"/>
  <c r="V22" i="19" s="1"/>
  <c r="V23" i="19" s="1"/>
  <c r="V24" i="19" s="1"/>
  <c r="V25" i="19" s="1"/>
  <c r="V26" i="19" s="1"/>
  <c r="V27" i="19" s="1"/>
  <c r="V28" i="19" s="1"/>
  <c r="V29" i="19" s="1"/>
  <c r="D7" i="3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456" i="11" l="1"/>
  <c r="D457" i="11" s="1"/>
  <c r="D458" i="11" s="1"/>
  <c r="D459" i="11" s="1"/>
  <c r="D460" i="11" s="1"/>
  <c r="D461" i="11" s="1"/>
  <c r="D462" i="11" s="1"/>
  <c r="D463" i="11" s="1"/>
  <c r="D464" i="11" s="1"/>
  <c r="D453" i="11"/>
  <c r="D454" i="11" s="1"/>
  <c r="D455" i="11" s="1"/>
  <c r="F571" i="11"/>
  <c r="F572" i="11" s="1"/>
  <c r="F573" i="11" s="1"/>
  <c r="F574" i="11" s="1"/>
  <c r="F575" i="11" s="1"/>
  <c r="F576" i="11"/>
  <c r="F577" i="11" s="1"/>
  <c r="F578" i="11" s="1"/>
  <c r="F579" i="11" s="1"/>
  <c r="F580" i="11" s="1"/>
  <c r="F581" i="11" s="1"/>
  <c r="F540" i="11"/>
  <c r="F541" i="11" s="1"/>
  <c r="F542" i="11" s="1"/>
  <c r="F543" i="11" s="1"/>
  <c r="F544" i="11" s="1"/>
  <c r="F545" i="11" s="1"/>
  <c r="F535" i="11"/>
  <c r="F536" i="11" s="1"/>
  <c r="F537" i="11" s="1"/>
  <c r="F538" i="11" s="1"/>
  <c r="F539" i="11" s="1"/>
  <c r="D552" i="11"/>
  <c r="D553" i="11" s="1"/>
  <c r="D554" i="11" s="1"/>
  <c r="D555" i="11" s="1"/>
  <c r="D556" i="11" s="1"/>
  <c r="D557" i="11" s="1"/>
  <c r="D558" i="11" s="1"/>
  <c r="D559" i="11" s="1"/>
  <c r="D560" i="11" s="1"/>
  <c r="D549" i="11"/>
  <c r="D550" i="11" s="1"/>
  <c r="D551" i="11" s="1"/>
  <c r="F600" i="11"/>
  <c r="F598" i="11"/>
  <c r="F599" i="11" s="1"/>
  <c r="F492" i="11"/>
  <c r="F490" i="11"/>
  <c r="F491" i="11" s="1"/>
  <c r="D33" i="19"/>
  <c r="D32" i="19"/>
  <c r="D31" i="19"/>
  <c r="D30" i="19"/>
  <c r="D29" i="19"/>
  <c r="D28" i="19"/>
  <c r="D27" i="19"/>
  <c r="D26" i="19"/>
  <c r="G22" i="2" s="1"/>
  <c r="D25" i="19"/>
  <c r="D24" i="19"/>
  <c r="D23" i="19"/>
  <c r="D16" i="19"/>
  <c r="D22" i="19"/>
  <c r="D21" i="19"/>
  <c r="D20" i="19"/>
  <c r="D19" i="19"/>
  <c r="D18" i="19"/>
  <c r="D17" i="19"/>
  <c r="D15" i="19"/>
  <c r="D14" i="19"/>
  <c r="D13" i="19"/>
  <c r="D11" i="19"/>
  <c r="G10" i="2"/>
  <c r="G9" i="2"/>
  <c r="G18" i="2" l="1"/>
  <c r="S21" i="1"/>
  <c r="G12" i="2"/>
  <c r="F22" i="16" s="1"/>
  <c r="S13" i="1"/>
  <c r="D468" i="11"/>
  <c r="D469" i="11" s="1"/>
  <c r="D470" i="11" s="1"/>
  <c r="D471" i="11" s="1"/>
  <c r="D472" i="11" s="1"/>
  <c r="D473" i="11" s="1"/>
  <c r="D474" i="11" s="1"/>
  <c r="D475" i="11" s="1"/>
  <c r="D476" i="11" s="1"/>
  <c r="D477" i="11" s="1"/>
  <c r="D478" i="11" s="1"/>
  <c r="D479" i="11" s="1"/>
  <c r="D480" i="11" s="1"/>
  <c r="D481" i="11" s="1"/>
  <c r="D482" i="11" s="1"/>
  <c r="D483" i="11" s="1"/>
  <c r="D484" i="11" s="1"/>
  <c r="D485" i="11" s="1"/>
  <c r="D486" i="11" s="1"/>
  <c r="D487" i="11" s="1"/>
  <c r="D488" i="11" s="1"/>
  <c r="D489" i="11" s="1"/>
  <c r="D490" i="11" s="1"/>
  <c r="D491" i="11" s="1"/>
  <c r="D492" i="11" s="1"/>
  <c r="D493" i="11" s="1"/>
  <c r="D494" i="11" s="1"/>
  <c r="D495" i="11" s="1"/>
  <c r="D496" i="11" s="1"/>
  <c r="D497" i="11" s="1"/>
  <c r="D498" i="11" s="1"/>
  <c r="D499" i="11" s="1"/>
  <c r="D500" i="11" s="1"/>
  <c r="D501" i="11" s="1"/>
  <c r="D502" i="11" s="1"/>
  <c r="D503" i="11" s="1"/>
  <c r="D504" i="11" s="1"/>
  <c r="D505" i="11" s="1"/>
  <c r="D506" i="11" s="1"/>
  <c r="D507" i="11" s="1"/>
  <c r="D508" i="11" s="1"/>
  <c r="D509" i="11" s="1"/>
  <c r="D465" i="11"/>
  <c r="D466" i="11" s="1"/>
  <c r="D467" i="11" s="1"/>
  <c r="D564" i="11"/>
  <c r="D565" i="11" s="1"/>
  <c r="D566" i="11" s="1"/>
  <c r="D567" i="11" s="1"/>
  <c r="D568" i="11" s="1"/>
  <c r="D569" i="11" s="1"/>
  <c r="D570" i="11" s="1"/>
  <c r="D571" i="11" s="1"/>
  <c r="D572" i="11" s="1"/>
  <c r="D561" i="11"/>
  <c r="D562" i="11" s="1"/>
  <c r="D563" i="11" s="1"/>
  <c r="F495" i="11"/>
  <c r="F493" i="11"/>
  <c r="F494" i="11" s="1"/>
  <c r="F603" i="11"/>
  <c r="F601" i="11"/>
  <c r="F602" i="11" s="1"/>
  <c r="G29" i="2"/>
  <c r="G25" i="2"/>
  <c r="G28" i="2"/>
  <c r="G24" i="2"/>
  <c r="G27" i="2"/>
  <c r="G23" i="2"/>
  <c r="G26" i="2"/>
  <c r="G19" i="2"/>
  <c r="G20" i="2"/>
  <c r="S16" i="1"/>
  <c r="G11" i="2"/>
  <c r="G21" i="2"/>
  <c r="G8" i="2"/>
  <c r="G7" i="2"/>
  <c r="O15" i="19"/>
  <c r="O16" i="19" s="1"/>
  <c r="N15" i="19"/>
  <c r="N16" i="19" s="1"/>
  <c r="M15" i="19"/>
  <c r="M16" i="19" s="1"/>
  <c r="L15" i="19"/>
  <c r="L16" i="19" s="1"/>
  <c r="K15" i="19"/>
  <c r="K16" i="19" s="1"/>
  <c r="J15" i="19"/>
  <c r="J16" i="19" s="1"/>
  <c r="D3" i="19"/>
  <c r="P6" i="19"/>
  <c r="O6" i="19"/>
  <c r="N6" i="19"/>
  <c r="M6" i="19"/>
  <c r="L6" i="19"/>
  <c r="K6" i="19"/>
  <c r="J6" i="19"/>
  <c r="D5" i="19"/>
  <c r="D4" i="19"/>
  <c r="D6" i="19"/>
  <c r="S20" i="1" l="1"/>
  <c r="G13" i="2"/>
  <c r="F25" i="16" s="1"/>
  <c r="F606" i="11"/>
  <c r="F604" i="11"/>
  <c r="F605" i="11" s="1"/>
  <c r="F498" i="11"/>
  <c r="F496" i="11"/>
  <c r="F497" i="11" s="1"/>
  <c r="D576" i="11"/>
  <c r="D577" i="11" s="1"/>
  <c r="D578" i="11" s="1"/>
  <c r="D579" i="11" s="1"/>
  <c r="D580" i="11" s="1"/>
  <c r="D581" i="11" s="1"/>
  <c r="D582" i="11" s="1"/>
  <c r="D583" i="11" s="1"/>
  <c r="D584" i="11" s="1"/>
  <c r="D585" i="11" s="1"/>
  <c r="D586" i="11" s="1"/>
  <c r="D587" i="11" s="1"/>
  <c r="D588" i="11" s="1"/>
  <c r="D589" i="11" s="1"/>
  <c r="D590" i="11" s="1"/>
  <c r="D591" i="11" s="1"/>
  <c r="D592" i="11" s="1"/>
  <c r="D593" i="11" s="1"/>
  <c r="D594" i="11" s="1"/>
  <c r="D595" i="11" s="1"/>
  <c r="D596" i="11" s="1"/>
  <c r="D597" i="11" s="1"/>
  <c r="D598" i="11" s="1"/>
  <c r="D599" i="11" s="1"/>
  <c r="D600" i="11" s="1"/>
  <c r="D601" i="11" s="1"/>
  <c r="D602" i="11" s="1"/>
  <c r="D603" i="11" s="1"/>
  <c r="D604" i="11" s="1"/>
  <c r="D605" i="11" s="1"/>
  <c r="D606" i="11" s="1"/>
  <c r="D607" i="11" s="1"/>
  <c r="D608" i="11" s="1"/>
  <c r="D609" i="11" s="1"/>
  <c r="D610" i="11" s="1"/>
  <c r="D611" i="11" s="1"/>
  <c r="D612" i="11" s="1"/>
  <c r="D613" i="11" s="1"/>
  <c r="D614" i="11" s="1"/>
  <c r="D615" i="11" s="1"/>
  <c r="D616" i="11" s="1"/>
  <c r="D617" i="11" s="1"/>
  <c r="D573" i="11"/>
  <c r="D574" i="11" s="1"/>
  <c r="D575" i="11" s="1"/>
  <c r="S19" i="1"/>
  <c r="S15" i="1"/>
  <c r="S14" i="1"/>
  <c r="S17" i="1"/>
  <c r="S29" i="1"/>
  <c r="S25" i="1"/>
  <c r="S28" i="1"/>
  <c r="S24" i="1"/>
  <c r="S27" i="1"/>
  <c r="S23" i="1"/>
  <c r="S26" i="1"/>
  <c r="F501" i="11" l="1"/>
  <c r="F499" i="11"/>
  <c r="F500" i="11" s="1"/>
  <c r="F609" i="11"/>
  <c r="F607" i="11"/>
  <c r="F608" i="11" s="1"/>
  <c r="H764" i="11"/>
  <c r="H759" i="11"/>
  <c r="I759" i="11" s="1"/>
  <c r="G759" i="11"/>
  <c r="H756" i="11"/>
  <c r="I756" i="11" s="1"/>
  <c r="G756" i="11"/>
  <c r="H754" i="11"/>
  <c r="G754" i="11"/>
  <c r="G755" i="11" s="1"/>
  <c r="G761" i="11" s="1"/>
  <c r="I753" i="11"/>
  <c r="H751" i="11"/>
  <c r="H757" i="11" s="1"/>
  <c r="G751" i="11"/>
  <c r="G757" i="11" s="1"/>
  <c r="I750" i="11"/>
  <c r="H747" i="11"/>
  <c r="G747" i="11"/>
  <c r="H744" i="11"/>
  <c r="G744" i="11"/>
  <c r="H742" i="11"/>
  <c r="G742" i="11"/>
  <c r="G748" i="11" s="1"/>
  <c r="I741" i="11"/>
  <c r="H739" i="11"/>
  <c r="H745" i="11" s="1"/>
  <c r="G739" i="11"/>
  <c r="G745" i="11" s="1"/>
  <c r="I738" i="11"/>
  <c r="H735" i="11"/>
  <c r="G735" i="11"/>
  <c r="H732" i="11"/>
  <c r="G732" i="11"/>
  <c r="H730" i="11"/>
  <c r="G730" i="11"/>
  <c r="G736" i="11" s="1"/>
  <c r="I729" i="11"/>
  <c r="H727" i="11"/>
  <c r="H733" i="11" s="1"/>
  <c r="G727" i="11"/>
  <c r="G733" i="11" s="1"/>
  <c r="I726" i="11"/>
  <c r="H723" i="11"/>
  <c r="G723" i="11"/>
  <c r="H720" i="11"/>
  <c r="G720" i="11"/>
  <c r="H718" i="11"/>
  <c r="G718" i="11"/>
  <c r="G724" i="11" s="1"/>
  <c r="I717" i="11"/>
  <c r="H715" i="11"/>
  <c r="H721" i="11" s="1"/>
  <c r="G715" i="11"/>
  <c r="I714" i="11"/>
  <c r="H711" i="11"/>
  <c r="I711" i="11" s="1"/>
  <c r="G711" i="11"/>
  <c r="H708" i="11"/>
  <c r="I708" i="11" s="1"/>
  <c r="G708" i="11"/>
  <c r="H706" i="11"/>
  <c r="G706" i="11"/>
  <c r="G712" i="11" s="1"/>
  <c r="I705" i="11"/>
  <c r="H703" i="11"/>
  <c r="H709" i="11" s="1"/>
  <c r="G703" i="11"/>
  <c r="I702" i="11"/>
  <c r="E701" i="11"/>
  <c r="E707" i="11" s="1"/>
  <c r="E713" i="11" s="1"/>
  <c r="E719" i="11" s="1"/>
  <c r="E725" i="11" s="1"/>
  <c r="E731" i="11" s="1"/>
  <c r="E737" i="11" s="1"/>
  <c r="E743" i="11" s="1"/>
  <c r="E749" i="11" s="1"/>
  <c r="E755" i="11" s="1"/>
  <c r="E761" i="11" s="1"/>
  <c r="E700" i="11"/>
  <c r="E706" i="11" s="1"/>
  <c r="E712" i="11" s="1"/>
  <c r="E718" i="11" s="1"/>
  <c r="E724" i="11" s="1"/>
  <c r="E730" i="11" s="1"/>
  <c r="E736" i="11" s="1"/>
  <c r="E742" i="11" s="1"/>
  <c r="E748" i="11" s="1"/>
  <c r="E754" i="11" s="1"/>
  <c r="E760" i="11" s="1"/>
  <c r="H699" i="11"/>
  <c r="G699" i="11"/>
  <c r="E699" i="11"/>
  <c r="E705" i="11" s="1"/>
  <c r="E711" i="11" s="1"/>
  <c r="E717" i="11" s="1"/>
  <c r="E723" i="11" s="1"/>
  <c r="E729" i="11" s="1"/>
  <c r="E735" i="11" s="1"/>
  <c r="E741" i="11" s="1"/>
  <c r="E747" i="11" s="1"/>
  <c r="E753" i="11" s="1"/>
  <c r="E759" i="11" s="1"/>
  <c r="E698" i="11"/>
  <c r="E704" i="11" s="1"/>
  <c r="E710" i="11" s="1"/>
  <c r="E716" i="11" s="1"/>
  <c r="E722" i="11" s="1"/>
  <c r="E728" i="11" s="1"/>
  <c r="E734" i="11" s="1"/>
  <c r="E740" i="11" s="1"/>
  <c r="E746" i="11" s="1"/>
  <c r="E752" i="11" s="1"/>
  <c r="E758" i="11" s="1"/>
  <c r="E697" i="11"/>
  <c r="E703" i="11" s="1"/>
  <c r="E709" i="11" s="1"/>
  <c r="E715" i="11" s="1"/>
  <c r="E721" i="11" s="1"/>
  <c r="E727" i="11" s="1"/>
  <c r="E733" i="11" s="1"/>
  <c r="E739" i="11" s="1"/>
  <c r="E745" i="11" s="1"/>
  <c r="E751" i="11" s="1"/>
  <c r="E757" i="11" s="1"/>
  <c r="H696" i="11"/>
  <c r="G696" i="11"/>
  <c r="F696" i="11"/>
  <c r="F697" i="11" s="1"/>
  <c r="F698" i="11" s="1"/>
  <c r="F699" i="11" s="1"/>
  <c r="F700" i="11" s="1"/>
  <c r="F701" i="11" s="1"/>
  <c r="E696" i="11"/>
  <c r="E702" i="11" s="1"/>
  <c r="E708" i="11" s="1"/>
  <c r="E714" i="11" s="1"/>
  <c r="E720" i="11" s="1"/>
  <c r="E726" i="11" s="1"/>
  <c r="E732" i="11" s="1"/>
  <c r="E738" i="11" s="1"/>
  <c r="E744" i="11" s="1"/>
  <c r="E750" i="11" s="1"/>
  <c r="E756" i="11" s="1"/>
  <c r="H694" i="11"/>
  <c r="H695" i="11" s="1"/>
  <c r="G694" i="11"/>
  <c r="G700" i="11" s="1"/>
  <c r="I693" i="11"/>
  <c r="H691" i="11"/>
  <c r="H692" i="11" s="1"/>
  <c r="H698" i="11" s="1"/>
  <c r="G691" i="11"/>
  <c r="G692" i="11" s="1"/>
  <c r="G698" i="11" s="1"/>
  <c r="F691" i="11"/>
  <c r="F692" i="11" s="1"/>
  <c r="F693" i="11" s="1"/>
  <c r="F694" i="11" s="1"/>
  <c r="F695" i="11" s="1"/>
  <c r="I690" i="11"/>
  <c r="H687" i="11"/>
  <c r="G687" i="11"/>
  <c r="H684" i="11"/>
  <c r="G684" i="11"/>
  <c r="H682" i="11"/>
  <c r="H683" i="11" s="1"/>
  <c r="H689" i="11" s="1"/>
  <c r="G682" i="11"/>
  <c r="G688" i="11" s="1"/>
  <c r="I681" i="11"/>
  <c r="G680" i="11"/>
  <c r="G686" i="11" s="1"/>
  <c r="H679" i="11"/>
  <c r="H680" i="11" s="1"/>
  <c r="H686" i="11" s="1"/>
  <c r="G679" i="11"/>
  <c r="G685" i="11" s="1"/>
  <c r="I678" i="11"/>
  <c r="H675" i="11"/>
  <c r="G675" i="11"/>
  <c r="H672" i="11"/>
  <c r="G672" i="11"/>
  <c r="H670" i="11"/>
  <c r="H676" i="11" s="1"/>
  <c r="G670" i="11"/>
  <c r="G676" i="11" s="1"/>
  <c r="I669" i="11"/>
  <c r="G668" i="11"/>
  <c r="G674" i="11" s="1"/>
  <c r="H667" i="11"/>
  <c r="G667" i="11"/>
  <c r="G673" i="11" s="1"/>
  <c r="I666" i="11"/>
  <c r="E665" i="11"/>
  <c r="E671" i="11" s="1"/>
  <c r="E677" i="11" s="1"/>
  <c r="E683" i="11" s="1"/>
  <c r="E689" i="11" s="1"/>
  <c r="E664" i="11"/>
  <c r="E670" i="11" s="1"/>
  <c r="E676" i="11" s="1"/>
  <c r="E682" i="11" s="1"/>
  <c r="E688" i="11" s="1"/>
  <c r="H663" i="11"/>
  <c r="G663" i="11"/>
  <c r="E663" i="11"/>
  <c r="E669" i="11" s="1"/>
  <c r="E675" i="11" s="1"/>
  <c r="E681" i="11" s="1"/>
  <c r="E687" i="11" s="1"/>
  <c r="E662" i="11"/>
  <c r="E668" i="11" s="1"/>
  <c r="E674" i="11" s="1"/>
  <c r="E680" i="11" s="1"/>
  <c r="E686" i="11" s="1"/>
  <c r="E661" i="11"/>
  <c r="E667" i="11" s="1"/>
  <c r="E673" i="11" s="1"/>
  <c r="E679" i="11" s="1"/>
  <c r="E685" i="11" s="1"/>
  <c r="H660" i="11"/>
  <c r="G660" i="11"/>
  <c r="F660" i="11"/>
  <c r="F661" i="11" s="1"/>
  <c r="F662" i="11" s="1"/>
  <c r="F663" i="11" s="1"/>
  <c r="F664" i="11" s="1"/>
  <c r="F665" i="11" s="1"/>
  <c r="E660" i="11"/>
  <c r="E666" i="11" s="1"/>
  <c r="E672" i="11" s="1"/>
  <c r="E678" i="11" s="1"/>
  <c r="E684" i="11" s="1"/>
  <c r="H658" i="11"/>
  <c r="G658" i="11"/>
  <c r="G659" i="11" s="1"/>
  <c r="G665" i="11" s="1"/>
  <c r="I657" i="11"/>
  <c r="H656" i="11"/>
  <c r="H655" i="11"/>
  <c r="G655" i="11"/>
  <c r="G661" i="11" s="1"/>
  <c r="F655" i="11"/>
  <c r="F656" i="11" s="1"/>
  <c r="F657" i="11" s="1"/>
  <c r="F658" i="11" s="1"/>
  <c r="F659" i="11" s="1"/>
  <c r="I654" i="11"/>
  <c r="H651" i="11"/>
  <c r="G651" i="11"/>
  <c r="H648" i="11"/>
  <c r="I648" i="11" s="1"/>
  <c r="G648" i="11"/>
  <c r="H646" i="11"/>
  <c r="G646" i="11"/>
  <c r="G652" i="11" s="1"/>
  <c r="I645" i="11"/>
  <c r="H643" i="11"/>
  <c r="H649" i="11" s="1"/>
  <c r="G643" i="11"/>
  <c r="G649" i="11" s="1"/>
  <c r="I642" i="11"/>
  <c r="H639" i="11"/>
  <c r="G639" i="11"/>
  <c r="H636" i="11"/>
  <c r="I636" i="11" s="1"/>
  <c r="G636" i="11"/>
  <c r="G635" i="11"/>
  <c r="G641" i="11" s="1"/>
  <c r="H634" i="11"/>
  <c r="H635" i="11" s="1"/>
  <c r="H641" i="11" s="1"/>
  <c r="G634" i="11"/>
  <c r="G640" i="11" s="1"/>
  <c r="I633" i="11"/>
  <c r="H632" i="11"/>
  <c r="H638" i="11" s="1"/>
  <c r="H631" i="11"/>
  <c r="H637" i="11" s="1"/>
  <c r="G631" i="11"/>
  <c r="G632" i="11" s="1"/>
  <c r="G638" i="11" s="1"/>
  <c r="I630" i="11"/>
  <c r="E629" i="11"/>
  <c r="E635" i="11" s="1"/>
  <c r="E641" i="11" s="1"/>
  <c r="E647" i="11" s="1"/>
  <c r="E653" i="11" s="1"/>
  <c r="E628" i="11"/>
  <c r="E634" i="11" s="1"/>
  <c r="E640" i="11" s="1"/>
  <c r="E646" i="11" s="1"/>
  <c r="E652" i="11" s="1"/>
  <c r="H627" i="11"/>
  <c r="G627" i="11"/>
  <c r="E627" i="11"/>
  <c r="E633" i="11" s="1"/>
  <c r="E639" i="11" s="1"/>
  <c r="E645" i="11" s="1"/>
  <c r="E651" i="11" s="1"/>
  <c r="E626" i="11"/>
  <c r="E632" i="11" s="1"/>
  <c r="E638" i="11" s="1"/>
  <c r="E644" i="11" s="1"/>
  <c r="E650" i="11" s="1"/>
  <c r="E625" i="11"/>
  <c r="E631" i="11" s="1"/>
  <c r="E637" i="11" s="1"/>
  <c r="E643" i="11" s="1"/>
  <c r="E649" i="11" s="1"/>
  <c r="H624" i="11"/>
  <c r="G624" i="11"/>
  <c r="I624" i="11" s="1"/>
  <c r="F624" i="11"/>
  <c r="F625" i="11" s="1"/>
  <c r="F626" i="11" s="1"/>
  <c r="F627" i="11" s="1"/>
  <c r="F628" i="11" s="1"/>
  <c r="F629" i="11" s="1"/>
  <c r="E624" i="11"/>
  <c r="E630" i="11" s="1"/>
  <c r="E636" i="11" s="1"/>
  <c r="E642" i="11" s="1"/>
  <c r="E648" i="11" s="1"/>
  <c r="H622" i="11"/>
  <c r="H623" i="11" s="1"/>
  <c r="G622" i="11"/>
  <c r="G628" i="11" s="1"/>
  <c r="I621" i="11"/>
  <c r="H619" i="11"/>
  <c r="H620" i="11" s="1"/>
  <c r="G619" i="11"/>
  <c r="G620" i="11" s="1"/>
  <c r="G626" i="11" s="1"/>
  <c r="F619" i="11"/>
  <c r="F620" i="11" s="1"/>
  <c r="F621" i="11" s="1"/>
  <c r="F622" i="11" s="1"/>
  <c r="F623" i="11" s="1"/>
  <c r="D619" i="11"/>
  <c r="D620" i="11" s="1"/>
  <c r="D624" i="11" s="1"/>
  <c r="D625" i="11" s="1"/>
  <c r="D626" i="11" s="1"/>
  <c r="D627" i="11" s="1"/>
  <c r="D628" i="11" s="1"/>
  <c r="D629" i="11" s="1"/>
  <c r="D630" i="11" s="1"/>
  <c r="D631" i="11" s="1"/>
  <c r="D632" i="11" s="1"/>
  <c r="I618" i="11"/>
  <c r="H399" i="11"/>
  <c r="G399" i="11"/>
  <c r="H397" i="11"/>
  <c r="H400" i="11" s="1"/>
  <c r="G397" i="11"/>
  <c r="G398" i="11" s="1"/>
  <c r="G401" i="11" s="1"/>
  <c r="I396" i="11"/>
  <c r="H393" i="11"/>
  <c r="G393" i="11"/>
  <c r="H391" i="11"/>
  <c r="H394" i="11" s="1"/>
  <c r="G391" i="11"/>
  <c r="G392" i="11" s="1"/>
  <c r="G395" i="11" s="1"/>
  <c r="I390" i="11"/>
  <c r="H387" i="11"/>
  <c r="G387" i="11"/>
  <c r="H385" i="11"/>
  <c r="H388" i="11" s="1"/>
  <c r="G385" i="11"/>
  <c r="G386" i="11" s="1"/>
  <c r="G389" i="11" s="1"/>
  <c r="I384" i="11"/>
  <c r="H381" i="11"/>
  <c r="G381" i="11"/>
  <c r="H379" i="11"/>
  <c r="H382" i="11" s="1"/>
  <c r="G379" i="11"/>
  <c r="G380" i="11" s="1"/>
  <c r="G383" i="11" s="1"/>
  <c r="I378" i="11"/>
  <c r="H375" i="11"/>
  <c r="G375" i="11"/>
  <c r="H373" i="11"/>
  <c r="H376" i="11" s="1"/>
  <c r="G373" i="11"/>
  <c r="G374" i="11" s="1"/>
  <c r="G377" i="11" s="1"/>
  <c r="I372" i="11"/>
  <c r="E371" i="11"/>
  <c r="E374" i="11" s="1"/>
  <c r="E377" i="11" s="1"/>
  <c r="E380" i="11" s="1"/>
  <c r="E383" i="11" s="1"/>
  <c r="E386" i="11" s="1"/>
  <c r="E389" i="11" s="1"/>
  <c r="E392" i="11" s="1"/>
  <c r="E395" i="11" s="1"/>
  <c r="E398" i="11" s="1"/>
  <c r="E401" i="11" s="1"/>
  <c r="E370" i="11"/>
  <c r="E373" i="11" s="1"/>
  <c r="E376" i="11" s="1"/>
  <c r="E379" i="11" s="1"/>
  <c r="E382" i="11" s="1"/>
  <c r="E385" i="11" s="1"/>
  <c r="E388" i="11" s="1"/>
  <c r="E391" i="11" s="1"/>
  <c r="E394" i="11" s="1"/>
  <c r="E397" i="11" s="1"/>
  <c r="E400" i="11" s="1"/>
  <c r="H369" i="11"/>
  <c r="G369" i="11"/>
  <c r="F369" i="11"/>
  <c r="F372" i="11" s="1"/>
  <c r="F375" i="11" s="1"/>
  <c r="E369" i="11"/>
  <c r="E372" i="11" s="1"/>
  <c r="E375" i="11" s="1"/>
  <c r="E378" i="11" s="1"/>
  <c r="E381" i="11" s="1"/>
  <c r="E384" i="11" s="1"/>
  <c r="E387" i="11" s="1"/>
  <c r="E390" i="11" s="1"/>
  <c r="E393" i="11" s="1"/>
  <c r="E396" i="11" s="1"/>
  <c r="E399" i="11" s="1"/>
  <c r="H367" i="11"/>
  <c r="H370" i="11" s="1"/>
  <c r="G367" i="11"/>
  <c r="G370" i="11" s="1"/>
  <c r="F367" i="11"/>
  <c r="F368" i="11" s="1"/>
  <c r="I366" i="11"/>
  <c r="H363" i="11"/>
  <c r="G363" i="11"/>
  <c r="H360" i="11"/>
  <c r="G360" i="11"/>
  <c r="H358" i="11"/>
  <c r="H364" i="11" s="1"/>
  <c r="G358" i="11"/>
  <c r="I357" i="11"/>
  <c r="H355" i="11"/>
  <c r="G355" i="11"/>
  <c r="G361" i="11" s="1"/>
  <c r="I354" i="11"/>
  <c r="H351" i="11"/>
  <c r="G351" i="11"/>
  <c r="H348" i="11"/>
  <c r="G348" i="11"/>
  <c r="H346" i="11"/>
  <c r="H352" i="11" s="1"/>
  <c r="G346" i="11"/>
  <c r="G352" i="11" s="1"/>
  <c r="I345" i="11"/>
  <c r="H343" i="11"/>
  <c r="G343" i="11"/>
  <c r="G349" i="11" s="1"/>
  <c r="I342" i="11"/>
  <c r="E341" i="11"/>
  <c r="E347" i="11" s="1"/>
  <c r="E353" i="11" s="1"/>
  <c r="E359" i="11" s="1"/>
  <c r="E365" i="11" s="1"/>
  <c r="E340" i="11"/>
  <c r="E346" i="11" s="1"/>
  <c r="E352" i="11" s="1"/>
  <c r="E358" i="11" s="1"/>
  <c r="E364" i="11" s="1"/>
  <c r="H339" i="11"/>
  <c r="G339" i="11"/>
  <c r="E339" i="11"/>
  <c r="E345" i="11" s="1"/>
  <c r="E351" i="11" s="1"/>
  <c r="E357" i="11" s="1"/>
  <c r="E363" i="11" s="1"/>
  <c r="E338" i="11"/>
  <c r="E344" i="11" s="1"/>
  <c r="E350" i="11" s="1"/>
  <c r="E356" i="11" s="1"/>
  <c r="E362" i="11" s="1"/>
  <c r="E337" i="11"/>
  <c r="E343" i="11" s="1"/>
  <c r="E349" i="11" s="1"/>
  <c r="E355" i="11" s="1"/>
  <c r="E361" i="11" s="1"/>
  <c r="H336" i="11"/>
  <c r="G336" i="11"/>
  <c r="F336" i="11"/>
  <c r="F342" i="11" s="1"/>
  <c r="E336" i="11"/>
  <c r="E342" i="11" s="1"/>
  <c r="E348" i="11" s="1"/>
  <c r="E354" i="11" s="1"/>
  <c r="E360" i="11" s="1"/>
  <c r="H334" i="11"/>
  <c r="G334" i="11"/>
  <c r="G335" i="11" s="1"/>
  <c r="G341" i="11" s="1"/>
  <c r="I333" i="11"/>
  <c r="H331" i="11"/>
  <c r="G331" i="11"/>
  <c r="G337" i="11" s="1"/>
  <c r="F331" i="11"/>
  <c r="F332" i="11" s="1"/>
  <c r="F333" i="11" s="1"/>
  <c r="F334" i="11" s="1"/>
  <c r="F335" i="11" s="1"/>
  <c r="I330" i="11"/>
  <c r="H327" i="11"/>
  <c r="G327" i="11"/>
  <c r="H324" i="11"/>
  <c r="G324" i="11"/>
  <c r="H322" i="11"/>
  <c r="G322" i="11"/>
  <c r="G328" i="11" s="1"/>
  <c r="I321" i="11"/>
  <c r="H319" i="11"/>
  <c r="H325" i="11" s="1"/>
  <c r="G319" i="11"/>
  <c r="G325" i="11" s="1"/>
  <c r="I318" i="11"/>
  <c r="H315" i="11"/>
  <c r="G315" i="11"/>
  <c r="H312" i="11"/>
  <c r="I312" i="11" s="1"/>
  <c r="G312" i="11"/>
  <c r="G311" i="11"/>
  <c r="G317" i="11" s="1"/>
  <c r="H310" i="11"/>
  <c r="H316" i="11" s="1"/>
  <c r="G310" i="11"/>
  <c r="G316" i="11" s="1"/>
  <c r="I309" i="11"/>
  <c r="H307" i="11"/>
  <c r="H313" i="11" s="1"/>
  <c r="G307" i="11"/>
  <c r="G313" i="11" s="1"/>
  <c r="I306" i="11"/>
  <c r="E305" i="11"/>
  <c r="E311" i="11" s="1"/>
  <c r="E317" i="11" s="1"/>
  <c r="E323" i="11" s="1"/>
  <c r="E329" i="11" s="1"/>
  <c r="E304" i="11"/>
  <c r="E310" i="11" s="1"/>
  <c r="E316" i="11" s="1"/>
  <c r="E322" i="11" s="1"/>
  <c r="E328" i="11" s="1"/>
  <c r="H303" i="11"/>
  <c r="G303" i="11"/>
  <c r="E303" i="11"/>
  <c r="E309" i="11" s="1"/>
  <c r="E315" i="11" s="1"/>
  <c r="E321" i="11" s="1"/>
  <c r="E327" i="11" s="1"/>
  <c r="E302" i="11"/>
  <c r="E308" i="11" s="1"/>
  <c r="E314" i="11" s="1"/>
  <c r="E320" i="11" s="1"/>
  <c r="E326" i="11" s="1"/>
  <c r="E301" i="11"/>
  <c r="E307" i="11" s="1"/>
  <c r="E313" i="11" s="1"/>
  <c r="E319" i="11" s="1"/>
  <c r="E325" i="11" s="1"/>
  <c r="H300" i="11"/>
  <c r="G300" i="11"/>
  <c r="F300" i="11"/>
  <c r="F301" i="11" s="1"/>
  <c r="F302" i="11" s="1"/>
  <c r="F303" i="11" s="1"/>
  <c r="F304" i="11" s="1"/>
  <c r="F305" i="11" s="1"/>
  <c r="E300" i="11"/>
  <c r="E306" i="11" s="1"/>
  <c r="E312" i="11" s="1"/>
  <c r="E318" i="11" s="1"/>
  <c r="E324" i="11" s="1"/>
  <c r="H298" i="11"/>
  <c r="H299" i="11" s="1"/>
  <c r="H305" i="11" s="1"/>
  <c r="G298" i="11"/>
  <c r="G304" i="11" s="1"/>
  <c r="I297" i="11"/>
  <c r="H295" i="11"/>
  <c r="H301" i="11" s="1"/>
  <c r="G295" i="11"/>
  <c r="G301" i="11" s="1"/>
  <c r="F295" i="11"/>
  <c r="F296" i="11" s="1"/>
  <c r="F297" i="11" s="1"/>
  <c r="F298" i="11" s="1"/>
  <c r="F299" i="11" s="1"/>
  <c r="D295" i="11"/>
  <c r="D296" i="11" s="1"/>
  <c r="I294" i="11"/>
  <c r="H291" i="11"/>
  <c r="G291" i="11"/>
  <c r="H289" i="11"/>
  <c r="H292" i="11" s="1"/>
  <c r="G289" i="11"/>
  <c r="G292" i="11" s="1"/>
  <c r="I288" i="11"/>
  <c r="H285" i="11"/>
  <c r="G285" i="11"/>
  <c r="H283" i="11"/>
  <c r="H286" i="11" s="1"/>
  <c r="G283" i="11"/>
  <c r="G286" i="11" s="1"/>
  <c r="I282" i="11"/>
  <c r="H279" i="11"/>
  <c r="G279" i="11"/>
  <c r="H277" i="11"/>
  <c r="G277" i="11"/>
  <c r="G280" i="11" s="1"/>
  <c r="I276" i="11"/>
  <c r="H273" i="11"/>
  <c r="G273" i="11"/>
  <c r="H271" i="11"/>
  <c r="H274" i="11" s="1"/>
  <c r="G271" i="11"/>
  <c r="I270" i="11"/>
  <c r="H267" i="11"/>
  <c r="G267" i="11"/>
  <c r="H265" i="11"/>
  <c r="G265" i="11"/>
  <c r="G268" i="11" s="1"/>
  <c r="I264" i="11"/>
  <c r="E263" i="11"/>
  <c r="E266" i="11" s="1"/>
  <c r="E269" i="11" s="1"/>
  <c r="E272" i="11" s="1"/>
  <c r="E275" i="11" s="1"/>
  <c r="E278" i="11" s="1"/>
  <c r="E281" i="11" s="1"/>
  <c r="E284" i="11" s="1"/>
  <c r="E287" i="11" s="1"/>
  <c r="E290" i="11" s="1"/>
  <c r="E293" i="11" s="1"/>
  <c r="E262" i="11"/>
  <c r="E265" i="11" s="1"/>
  <c r="E268" i="11" s="1"/>
  <c r="E271" i="11" s="1"/>
  <c r="E274" i="11" s="1"/>
  <c r="E277" i="11" s="1"/>
  <c r="E280" i="11" s="1"/>
  <c r="E283" i="11" s="1"/>
  <c r="E286" i="11" s="1"/>
  <c r="E289" i="11" s="1"/>
  <c r="E292" i="11" s="1"/>
  <c r="H261" i="11"/>
  <c r="G261" i="11"/>
  <c r="F261" i="11"/>
  <c r="F264" i="11" s="1"/>
  <c r="E261" i="11"/>
  <c r="E264" i="11" s="1"/>
  <c r="E267" i="11" s="1"/>
  <c r="E270" i="11" s="1"/>
  <c r="E273" i="11" s="1"/>
  <c r="E276" i="11" s="1"/>
  <c r="E279" i="11" s="1"/>
  <c r="E282" i="11" s="1"/>
  <c r="E285" i="11" s="1"/>
  <c r="E288" i="11" s="1"/>
  <c r="E291" i="11" s="1"/>
  <c r="H259" i="11"/>
  <c r="H262" i="11" s="1"/>
  <c r="G259" i="11"/>
  <c r="G262" i="11" s="1"/>
  <c r="F259" i="11"/>
  <c r="F260" i="11" s="1"/>
  <c r="I258" i="11"/>
  <c r="H255" i="11"/>
  <c r="G255" i="11"/>
  <c r="H252" i="11"/>
  <c r="G252" i="11"/>
  <c r="H250" i="11"/>
  <c r="H256" i="11" s="1"/>
  <c r="G250" i="11"/>
  <c r="G256" i="11" s="1"/>
  <c r="I249" i="11"/>
  <c r="H247" i="11"/>
  <c r="H253" i="11" s="1"/>
  <c r="G247" i="11"/>
  <c r="G253" i="11" s="1"/>
  <c r="I246" i="11"/>
  <c r="H243" i="11"/>
  <c r="G243" i="11"/>
  <c r="H240" i="11"/>
  <c r="G240" i="11"/>
  <c r="H238" i="11"/>
  <c r="H239" i="11" s="1"/>
  <c r="G238" i="11"/>
  <c r="G244" i="11" s="1"/>
  <c r="I237" i="11"/>
  <c r="H235" i="11"/>
  <c r="H236" i="11" s="1"/>
  <c r="H242" i="11" s="1"/>
  <c r="G235" i="11"/>
  <c r="G241" i="11" s="1"/>
  <c r="I234" i="11"/>
  <c r="E233" i="11"/>
  <c r="E239" i="11" s="1"/>
  <c r="E245" i="11" s="1"/>
  <c r="E251" i="11" s="1"/>
  <c r="E257" i="11" s="1"/>
  <c r="E232" i="11"/>
  <c r="E238" i="11" s="1"/>
  <c r="E244" i="11" s="1"/>
  <c r="E250" i="11" s="1"/>
  <c r="E256" i="11" s="1"/>
  <c r="H231" i="11"/>
  <c r="G231" i="11"/>
  <c r="E231" i="11"/>
  <c r="E237" i="11" s="1"/>
  <c r="E243" i="11" s="1"/>
  <c r="E249" i="11" s="1"/>
  <c r="E255" i="11" s="1"/>
  <c r="E230" i="11"/>
  <c r="E236" i="11" s="1"/>
  <c r="E242" i="11" s="1"/>
  <c r="E248" i="11" s="1"/>
  <c r="E254" i="11" s="1"/>
  <c r="E229" i="11"/>
  <c r="E235" i="11" s="1"/>
  <c r="E241" i="11" s="1"/>
  <c r="E247" i="11" s="1"/>
  <c r="E253" i="11" s="1"/>
  <c r="H228" i="11"/>
  <c r="G228" i="11"/>
  <c r="F228" i="11"/>
  <c r="F229" i="11" s="1"/>
  <c r="F230" i="11" s="1"/>
  <c r="F231" i="11" s="1"/>
  <c r="F232" i="11" s="1"/>
  <c r="F233" i="11" s="1"/>
  <c r="E228" i="11"/>
  <c r="E234" i="11" s="1"/>
  <c r="E240" i="11" s="1"/>
  <c r="E246" i="11" s="1"/>
  <c r="E252" i="11" s="1"/>
  <c r="H226" i="11"/>
  <c r="H227" i="11" s="1"/>
  <c r="H233" i="11" s="1"/>
  <c r="G226" i="11"/>
  <c r="G227" i="11" s="1"/>
  <c r="I225" i="11"/>
  <c r="H223" i="11"/>
  <c r="H224" i="11" s="1"/>
  <c r="H230" i="11" s="1"/>
  <c r="G223" i="11"/>
  <c r="G229" i="11" s="1"/>
  <c r="F223" i="11"/>
  <c r="F224" i="11" s="1"/>
  <c r="F225" i="11" s="1"/>
  <c r="F226" i="11" s="1"/>
  <c r="F227" i="11" s="1"/>
  <c r="I222" i="11"/>
  <c r="H219" i="11"/>
  <c r="G219" i="11"/>
  <c r="H216" i="11"/>
  <c r="G216" i="11"/>
  <c r="H214" i="11"/>
  <c r="H215" i="11" s="1"/>
  <c r="G214" i="11"/>
  <c r="G220" i="11" s="1"/>
  <c r="I213" i="11"/>
  <c r="H211" i="11"/>
  <c r="H217" i="11" s="1"/>
  <c r="G211" i="11"/>
  <c r="G217" i="11" s="1"/>
  <c r="I210" i="11"/>
  <c r="H207" i="11"/>
  <c r="G207" i="11"/>
  <c r="H204" i="11"/>
  <c r="G204" i="11"/>
  <c r="H202" i="11"/>
  <c r="H203" i="11" s="1"/>
  <c r="G202" i="11"/>
  <c r="G208" i="11" s="1"/>
  <c r="I201" i="11"/>
  <c r="H199" i="11"/>
  <c r="H205" i="11" s="1"/>
  <c r="G199" i="11"/>
  <c r="G205" i="11" s="1"/>
  <c r="I198" i="11"/>
  <c r="E197" i="11"/>
  <c r="E203" i="11" s="1"/>
  <c r="E209" i="11" s="1"/>
  <c r="E215" i="11" s="1"/>
  <c r="E221" i="11" s="1"/>
  <c r="E196" i="11"/>
  <c r="E202" i="11" s="1"/>
  <c r="E208" i="11" s="1"/>
  <c r="E214" i="11" s="1"/>
  <c r="E220" i="11" s="1"/>
  <c r="H195" i="11"/>
  <c r="G195" i="11"/>
  <c r="E195" i="11"/>
  <c r="E201" i="11" s="1"/>
  <c r="E207" i="11" s="1"/>
  <c r="E213" i="11" s="1"/>
  <c r="E219" i="11" s="1"/>
  <c r="E194" i="11"/>
  <c r="E200" i="11" s="1"/>
  <c r="E206" i="11" s="1"/>
  <c r="E212" i="11" s="1"/>
  <c r="E218" i="11" s="1"/>
  <c r="E193" i="11"/>
  <c r="E199" i="11" s="1"/>
  <c r="E205" i="11" s="1"/>
  <c r="E211" i="11" s="1"/>
  <c r="E217" i="11" s="1"/>
  <c r="H192" i="11"/>
  <c r="G192" i="11"/>
  <c r="F192" i="11"/>
  <c r="F198" i="11" s="1"/>
  <c r="F204" i="11" s="1"/>
  <c r="E192" i="11"/>
  <c r="E198" i="11" s="1"/>
  <c r="E204" i="11" s="1"/>
  <c r="E210" i="11" s="1"/>
  <c r="E216" i="11" s="1"/>
  <c r="H190" i="11"/>
  <c r="G190" i="11"/>
  <c r="G191" i="11" s="1"/>
  <c r="G197" i="11" s="1"/>
  <c r="I189" i="11"/>
  <c r="H187" i="11"/>
  <c r="G187" i="11"/>
  <c r="G188" i="11" s="1"/>
  <c r="G194" i="11" s="1"/>
  <c r="F187" i="11"/>
  <c r="F188" i="11" s="1"/>
  <c r="F189" i="11" s="1"/>
  <c r="F190" i="11" s="1"/>
  <c r="F191" i="11" s="1"/>
  <c r="D187" i="11"/>
  <c r="D188" i="11" s="1"/>
  <c r="D192" i="11" s="1"/>
  <c r="D193" i="11" s="1"/>
  <c r="D194" i="11" s="1"/>
  <c r="D195" i="11" s="1"/>
  <c r="D196" i="11" s="1"/>
  <c r="D197" i="11" s="1"/>
  <c r="D198" i="11" s="1"/>
  <c r="D199" i="11" s="1"/>
  <c r="D200" i="11" s="1"/>
  <c r="I186" i="11"/>
  <c r="H183" i="11"/>
  <c r="G183" i="11"/>
  <c r="H181" i="11"/>
  <c r="H184" i="11" s="1"/>
  <c r="G181" i="11"/>
  <c r="I180" i="11"/>
  <c r="H177" i="11"/>
  <c r="G177" i="11"/>
  <c r="H175" i="11"/>
  <c r="H176" i="11" s="1"/>
  <c r="G175" i="11"/>
  <c r="G178" i="11" s="1"/>
  <c r="I174" i="11"/>
  <c r="H171" i="11"/>
  <c r="G171" i="11"/>
  <c r="H169" i="11"/>
  <c r="H170" i="11" s="1"/>
  <c r="G169" i="11"/>
  <c r="G170" i="11" s="1"/>
  <c r="G173" i="11" s="1"/>
  <c r="I168" i="11"/>
  <c r="H165" i="11"/>
  <c r="G165" i="11"/>
  <c r="H163" i="11"/>
  <c r="G163" i="11"/>
  <c r="G164" i="11" s="1"/>
  <c r="G167" i="11" s="1"/>
  <c r="I162" i="11"/>
  <c r="H159" i="11"/>
  <c r="G159" i="11"/>
  <c r="H157" i="11"/>
  <c r="H160" i="11" s="1"/>
  <c r="G157" i="11"/>
  <c r="I156" i="11"/>
  <c r="E155" i="11"/>
  <c r="E158" i="11" s="1"/>
  <c r="E161" i="11" s="1"/>
  <c r="E164" i="11" s="1"/>
  <c r="E167" i="11" s="1"/>
  <c r="E170" i="11" s="1"/>
  <c r="E173" i="11" s="1"/>
  <c r="E176" i="11" s="1"/>
  <c r="E179" i="11" s="1"/>
  <c r="E182" i="11" s="1"/>
  <c r="E185" i="11" s="1"/>
  <c r="E154" i="11"/>
  <c r="E157" i="11" s="1"/>
  <c r="E160" i="11" s="1"/>
  <c r="E163" i="11" s="1"/>
  <c r="E166" i="11" s="1"/>
  <c r="E169" i="11" s="1"/>
  <c r="E172" i="11" s="1"/>
  <c r="E175" i="11" s="1"/>
  <c r="E178" i="11" s="1"/>
  <c r="E181" i="11" s="1"/>
  <c r="E184" i="11" s="1"/>
  <c r="H153" i="11"/>
  <c r="G153" i="11"/>
  <c r="F153" i="11"/>
  <c r="F156" i="11" s="1"/>
  <c r="E153" i="11"/>
  <c r="E156" i="11" s="1"/>
  <c r="E159" i="11" s="1"/>
  <c r="E162" i="11" s="1"/>
  <c r="E165" i="11" s="1"/>
  <c r="E168" i="11" s="1"/>
  <c r="E171" i="11" s="1"/>
  <c r="E174" i="11" s="1"/>
  <c r="E177" i="11" s="1"/>
  <c r="E180" i="11" s="1"/>
  <c r="E183" i="11" s="1"/>
  <c r="H151" i="11"/>
  <c r="H152" i="11" s="1"/>
  <c r="G151" i="11"/>
  <c r="G154" i="11" s="1"/>
  <c r="F151" i="11"/>
  <c r="F152" i="11" s="1"/>
  <c r="I150" i="11"/>
  <c r="H147" i="11"/>
  <c r="G147" i="11"/>
  <c r="H145" i="11"/>
  <c r="H146" i="11" s="1"/>
  <c r="G145" i="11"/>
  <c r="G146" i="11" s="1"/>
  <c r="G149" i="11" s="1"/>
  <c r="I144" i="11"/>
  <c r="H141" i="11"/>
  <c r="G141" i="11"/>
  <c r="H139" i="11"/>
  <c r="G139" i="11"/>
  <c r="G140" i="11" s="1"/>
  <c r="G143" i="11" s="1"/>
  <c r="I138" i="11"/>
  <c r="E137" i="11"/>
  <c r="E140" i="11" s="1"/>
  <c r="E143" i="11" s="1"/>
  <c r="E146" i="11" s="1"/>
  <c r="E149" i="11" s="1"/>
  <c r="E136" i="11"/>
  <c r="E139" i="11" s="1"/>
  <c r="E142" i="11" s="1"/>
  <c r="E145" i="11" s="1"/>
  <c r="E148" i="11" s="1"/>
  <c r="H135" i="11"/>
  <c r="G135" i="11"/>
  <c r="F135" i="11"/>
  <c r="F138" i="11" s="1"/>
  <c r="F139" i="11" s="1"/>
  <c r="F140" i="11" s="1"/>
  <c r="E135" i="11"/>
  <c r="E138" i="11" s="1"/>
  <c r="E141" i="11" s="1"/>
  <c r="E144" i="11" s="1"/>
  <c r="E147" i="11" s="1"/>
  <c r="H133" i="11"/>
  <c r="H136" i="11" s="1"/>
  <c r="G133" i="11"/>
  <c r="G136" i="11" s="1"/>
  <c r="F133" i="11"/>
  <c r="F134" i="11" s="1"/>
  <c r="I132" i="11"/>
  <c r="H129" i="11"/>
  <c r="G129" i="11"/>
  <c r="H126" i="11"/>
  <c r="G126" i="11"/>
  <c r="H124" i="11"/>
  <c r="H125" i="11" s="1"/>
  <c r="G124" i="11"/>
  <c r="I123" i="11"/>
  <c r="H121" i="11"/>
  <c r="H127" i="11" s="1"/>
  <c r="G121" i="11"/>
  <c r="G127" i="11" s="1"/>
  <c r="I120" i="11"/>
  <c r="H117" i="11"/>
  <c r="G117" i="11"/>
  <c r="H114" i="11"/>
  <c r="G114" i="11"/>
  <c r="H112" i="11"/>
  <c r="H118" i="11" s="1"/>
  <c r="G112" i="11"/>
  <c r="G113" i="11" s="1"/>
  <c r="G119" i="11" s="1"/>
  <c r="I111" i="11"/>
  <c r="H109" i="11"/>
  <c r="H115" i="11" s="1"/>
  <c r="G109" i="11"/>
  <c r="G110" i="11" s="1"/>
  <c r="G116" i="11" s="1"/>
  <c r="I108" i="11"/>
  <c r="E107" i="11"/>
  <c r="E113" i="11" s="1"/>
  <c r="E119" i="11" s="1"/>
  <c r="E125" i="11" s="1"/>
  <c r="E131" i="11" s="1"/>
  <c r="E106" i="11"/>
  <c r="E112" i="11" s="1"/>
  <c r="E118" i="11" s="1"/>
  <c r="E124" i="11" s="1"/>
  <c r="E130" i="11" s="1"/>
  <c r="H105" i="11"/>
  <c r="G105" i="11"/>
  <c r="E105" i="11"/>
  <c r="E111" i="11" s="1"/>
  <c r="E117" i="11" s="1"/>
  <c r="E123" i="11" s="1"/>
  <c r="E129" i="11" s="1"/>
  <c r="E104" i="11"/>
  <c r="E110" i="11" s="1"/>
  <c r="E116" i="11" s="1"/>
  <c r="E122" i="11" s="1"/>
  <c r="E128" i="11" s="1"/>
  <c r="E103" i="11"/>
  <c r="E109" i="11" s="1"/>
  <c r="E115" i="11" s="1"/>
  <c r="E121" i="11" s="1"/>
  <c r="E127" i="11" s="1"/>
  <c r="H102" i="11"/>
  <c r="G102" i="11"/>
  <c r="F102" i="11"/>
  <c r="F108" i="11" s="1"/>
  <c r="E102" i="11"/>
  <c r="E108" i="11" s="1"/>
  <c r="E114" i="11" s="1"/>
  <c r="E120" i="11" s="1"/>
  <c r="E126" i="11" s="1"/>
  <c r="H100" i="11"/>
  <c r="H101" i="11" s="1"/>
  <c r="G100" i="11"/>
  <c r="G106" i="11" s="1"/>
  <c r="I99" i="11"/>
  <c r="H97" i="11"/>
  <c r="H103" i="11" s="1"/>
  <c r="G97" i="11"/>
  <c r="G103" i="11" s="1"/>
  <c r="F97" i="11"/>
  <c r="F98" i="11" s="1"/>
  <c r="F99" i="11" s="1"/>
  <c r="F100" i="11" s="1"/>
  <c r="F101" i="11" s="1"/>
  <c r="D97" i="11"/>
  <c r="D98" i="11" s="1"/>
  <c r="I96" i="11"/>
  <c r="H93" i="11"/>
  <c r="G93" i="11"/>
  <c r="H91" i="11"/>
  <c r="H94" i="11" s="1"/>
  <c r="G91" i="11"/>
  <c r="G94" i="11" s="1"/>
  <c r="I90" i="11"/>
  <c r="H87" i="11"/>
  <c r="G87" i="11"/>
  <c r="H85" i="11"/>
  <c r="H88" i="11" s="1"/>
  <c r="G85" i="11"/>
  <c r="G88" i="11" s="1"/>
  <c r="I84" i="11"/>
  <c r="H81" i="11"/>
  <c r="G81" i="11"/>
  <c r="H79" i="11"/>
  <c r="H82" i="11" s="1"/>
  <c r="G79" i="11"/>
  <c r="G82" i="11" s="1"/>
  <c r="I78" i="11"/>
  <c r="H75" i="11"/>
  <c r="G75" i="11"/>
  <c r="H73" i="11"/>
  <c r="G73" i="11"/>
  <c r="G76" i="11" s="1"/>
  <c r="I72" i="11"/>
  <c r="H69" i="11"/>
  <c r="G69" i="11"/>
  <c r="H67" i="11"/>
  <c r="H70" i="11" s="1"/>
  <c r="G67" i="11"/>
  <c r="G70" i="11" s="1"/>
  <c r="I66" i="11"/>
  <c r="E65" i="11"/>
  <c r="E68" i="11" s="1"/>
  <c r="E71" i="11" s="1"/>
  <c r="E74" i="11" s="1"/>
  <c r="E77" i="11" s="1"/>
  <c r="E80" i="11" s="1"/>
  <c r="E83" i="11" s="1"/>
  <c r="E86" i="11" s="1"/>
  <c r="E89" i="11" s="1"/>
  <c r="E92" i="11" s="1"/>
  <c r="E95" i="11" s="1"/>
  <c r="E64" i="11"/>
  <c r="E67" i="11" s="1"/>
  <c r="E70" i="11" s="1"/>
  <c r="E73" i="11" s="1"/>
  <c r="E76" i="11" s="1"/>
  <c r="E79" i="11" s="1"/>
  <c r="E82" i="11" s="1"/>
  <c r="E85" i="11" s="1"/>
  <c r="E88" i="11" s="1"/>
  <c r="E91" i="11" s="1"/>
  <c r="E94" i="11" s="1"/>
  <c r="H63" i="11"/>
  <c r="G63" i="11"/>
  <c r="F63" i="11"/>
  <c r="F66" i="11" s="1"/>
  <c r="F69" i="11" s="1"/>
  <c r="E63" i="11"/>
  <c r="E66" i="11" s="1"/>
  <c r="E69" i="11" s="1"/>
  <c r="E72" i="11" s="1"/>
  <c r="E75" i="11" s="1"/>
  <c r="E78" i="11" s="1"/>
  <c r="E81" i="11" s="1"/>
  <c r="E84" i="11" s="1"/>
  <c r="E87" i="11" s="1"/>
  <c r="E90" i="11" s="1"/>
  <c r="E93" i="11" s="1"/>
  <c r="H61" i="11"/>
  <c r="H62" i="11" s="1"/>
  <c r="G61" i="11"/>
  <c r="G64" i="11" s="1"/>
  <c r="F61" i="11"/>
  <c r="F62" i="11" s="1"/>
  <c r="I60" i="11"/>
  <c r="H57" i="11"/>
  <c r="G57" i="11"/>
  <c r="H55" i="11"/>
  <c r="G55" i="11"/>
  <c r="G58" i="11" s="1"/>
  <c r="I54" i="11"/>
  <c r="H51" i="11"/>
  <c r="G51" i="11"/>
  <c r="H49" i="11"/>
  <c r="H52" i="11" s="1"/>
  <c r="G49" i="11"/>
  <c r="G52" i="11" s="1"/>
  <c r="I48" i="11"/>
  <c r="E47" i="11"/>
  <c r="E50" i="11" s="1"/>
  <c r="E53" i="11" s="1"/>
  <c r="E56" i="11" s="1"/>
  <c r="E59" i="11" s="1"/>
  <c r="E46" i="11"/>
  <c r="E49" i="11" s="1"/>
  <c r="E52" i="11" s="1"/>
  <c r="E55" i="11" s="1"/>
  <c r="E58" i="11" s="1"/>
  <c r="H45" i="11"/>
  <c r="G45" i="11"/>
  <c r="F45" i="11"/>
  <c r="F48" i="11" s="1"/>
  <c r="F51" i="11" s="1"/>
  <c r="E45" i="11"/>
  <c r="E48" i="11" s="1"/>
  <c r="E51" i="11" s="1"/>
  <c r="E54" i="11" s="1"/>
  <c r="E57" i="11" s="1"/>
  <c r="H43" i="11"/>
  <c r="H44" i="11" s="1"/>
  <c r="G43" i="11"/>
  <c r="G46" i="11" s="1"/>
  <c r="F43" i="11"/>
  <c r="F44" i="11" s="1"/>
  <c r="I42" i="11"/>
  <c r="H39" i="11"/>
  <c r="G39" i="11"/>
  <c r="H36" i="11"/>
  <c r="G36" i="11"/>
  <c r="H34" i="11"/>
  <c r="H40" i="11" s="1"/>
  <c r="G34" i="11"/>
  <c r="G35" i="11" s="1"/>
  <c r="G41" i="11" s="1"/>
  <c r="I33" i="11"/>
  <c r="H31" i="11"/>
  <c r="H37" i="11" s="1"/>
  <c r="G31" i="11"/>
  <c r="G37" i="11" s="1"/>
  <c r="I30" i="11"/>
  <c r="H27" i="11"/>
  <c r="G27" i="11"/>
  <c r="H24" i="11"/>
  <c r="G24" i="11"/>
  <c r="H22" i="11"/>
  <c r="G22" i="11"/>
  <c r="G28" i="11" s="1"/>
  <c r="I21" i="11"/>
  <c r="H19" i="11"/>
  <c r="H25" i="11" s="1"/>
  <c r="G19" i="11"/>
  <c r="G25" i="11" s="1"/>
  <c r="I18" i="11"/>
  <c r="E17" i="11"/>
  <c r="E23" i="11" s="1"/>
  <c r="E29" i="11" s="1"/>
  <c r="E35" i="11" s="1"/>
  <c r="E41" i="11" s="1"/>
  <c r="E16" i="11"/>
  <c r="E22" i="11" s="1"/>
  <c r="E28" i="11" s="1"/>
  <c r="E34" i="11" s="1"/>
  <c r="E40" i="11" s="1"/>
  <c r="E15" i="11"/>
  <c r="E21" i="11" s="1"/>
  <c r="E27" i="11" s="1"/>
  <c r="E33" i="11" s="1"/>
  <c r="E39" i="11" s="1"/>
  <c r="E14" i="11"/>
  <c r="E20" i="11" s="1"/>
  <c r="E26" i="11" s="1"/>
  <c r="E32" i="11" s="1"/>
  <c r="E38" i="11" s="1"/>
  <c r="E13" i="11"/>
  <c r="E19" i="11" s="1"/>
  <c r="E25" i="11" s="1"/>
  <c r="E31" i="11" s="1"/>
  <c r="E37" i="11" s="1"/>
  <c r="E12" i="11"/>
  <c r="E18" i="11" s="1"/>
  <c r="E24" i="11" s="1"/>
  <c r="E30" i="11" s="1"/>
  <c r="E36" i="11" s="1"/>
  <c r="H15" i="11"/>
  <c r="G15" i="11"/>
  <c r="H12" i="11"/>
  <c r="G12" i="11"/>
  <c r="H10" i="11"/>
  <c r="H11" i="11" s="1"/>
  <c r="H17" i="11" s="1"/>
  <c r="H7" i="11"/>
  <c r="H8" i="11" s="1"/>
  <c r="H14" i="11" s="1"/>
  <c r="I9" i="11"/>
  <c r="G10" i="11"/>
  <c r="G16" i="11" s="1"/>
  <c r="D7" i="11"/>
  <c r="D8" i="11" s="1"/>
  <c r="D12" i="11" s="1"/>
  <c r="D13" i="11" s="1"/>
  <c r="D14" i="11" s="1"/>
  <c r="D15" i="11" s="1"/>
  <c r="D16" i="11" s="1"/>
  <c r="D17" i="11" s="1"/>
  <c r="D18" i="11" s="1"/>
  <c r="D19" i="11" s="1"/>
  <c r="D20" i="11" s="1"/>
  <c r="F12" i="11"/>
  <c r="F13" i="11" s="1"/>
  <c r="F14" i="11" s="1"/>
  <c r="F15" i="11" s="1"/>
  <c r="F16" i="11" s="1"/>
  <c r="F17" i="11" s="1"/>
  <c r="C7" i="11"/>
  <c r="C8" i="11" s="1"/>
  <c r="F7" i="11"/>
  <c r="F8" i="11" s="1"/>
  <c r="F9" i="11" s="1"/>
  <c r="F10" i="11" s="1"/>
  <c r="F11" i="11" s="1"/>
  <c r="G7" i="11"/>
  <c r="G13" i="11" s="1"/>
  <c r="I6" i="11"/>
  <c r="I676" i="11" l="1"/>
  <c r="I375" i="11"/>
  <c r="I747" i="11"/>
  <c r="I360" i="11"/>
  <c r="H359" i="11"/>
  <c r="H365" i="11" s="1"/>
  <c r="I363" i="11"/>
  <c r="I627" i="11"/>
  <c r="I387" i="11"/>
  <c r="G400" i="11"/>
  <c r="I400" i="11" s="1"/>
  <c r="G368" i="11"/>
  <c r="G371" i="11" s="1"/>
  <c r="I687" i="11"/>
  <c r="I699" i="11"/>
  <c r="F702" i="11"/>
  <c r="I703" i="11"/>
  <c r="H716" i="11"/>
  <c r="H722" i="11" s="1"/>
  <c r="G719" i="11"/>
  <c r="G725" i="11" s="1"/>
  <c r="I723" i="11"/>
  <c r="H308" i="11"/>
  <c r="I324" i="11"/>
  <c r="H644" i="11"/>
  <c r="G647" i="11"/>
  <c r="G653" i="11" s="1"/>
  <c r="I651" i="11"/>
  <c r="I660" i="11"/>
  <c r="I684" i="11"/>
  <c r="I720" i="11"/>
  <c r="I735" i="11"/>
  <c r="I744" i="11"/>
  <c r="G394" i="11"/>
  <c r="I394" i="11" s="1"/>
  <c r="F612" i="11"/>
  <c r="F610" i="11"/>
  <c r="F611" i="11" s="1"/>
  <c r="I369" i="11"/>
  <c r="I381" i="11"/>
  <c r="F504" i="11"/>
  <c r="F502" i="11"/>
  <c r="F503" i="11" s="1"/>
  <c r="H347" i="11"/>
  <c r="H353" i="11" s="1"/>
  <c r="I351" i="11"/>
  <c r="I367" i="11"/>
  <c r="I393" i="11"/>
  <c r="I399" i="11"/>
  <c r="I632" i="11"/>
  <c r="G637" i="11"/>
  <c r="I637" i="11" s="1"/>
  <c r="I655" i="11"/>
  <c r="G664" i="11"/>
  <c r="H671" i="11"/>
  <c r="H677" i="11" s="1"/>
  <c r="I686" i="11"/>
  <c r="H728" i="11"/>
  <c r="G731" i="11"/>
  <c r="G737" i="11" s="1"/>
  <c r="H688" i="11"/>
  <c r="I688" i="11" s="1"/>
  <c r="I300" i="11"/>
  <c r="G376" i="11"/>
  <c r="I376" i="11" s="1"/>
  <c r="G382" i="11"/>
  <c r="I382" i="11" s="1"/>
  <c r="G388" i="11"/>
  <c r="I388" i="11" s="1"/>
  <c r="I639" i="11"/>
  <c r="I658" i="11"/>
  <c r="H661" i="11"/>
  <c r="I661" i="11" s="1"/>
  <c r="I663" i="11"/>
  <c r="I670" i="11"/>
  <c r="I675" i="11"/>
  <c r="I680" i="11"/>
  <c r="I698" i="11"/>
  <c r="H700" i="11"/>
  <c r="I700" i="11" s="1"/>
  <c r="H704" i="11"/>
  <c r="H710" i="11" s="1"/>
  <c r="I732" i="11"/>
  <c r="H752" i="11"/>
  <c r="H758" i="11" s="1"/>
  <c r="I370" i="11"/>
  <c r="I638" i="11"/>
  <c r="I641" i="11"/>
  <c r="H659" i="11"/>
  <c r="H665" i="11" s="1"/>
  <c r="I665" i="11" s="1"/>
  <c r="G671" i="11"/>
  <c r="G677" i="11" s="1"/>
  <c r="I672" i="11"/>
  <c r="G707" i="11"/>
  <c r="G713" i="11" s="1"/>
  <c r="H740" i="11"/>
  <c r="G743" i="11"/>
  <c r="G749" i="11" s="1"/>
  <c r="H772" i="11"/>
  <c r="F373" i="11"/>
  <c r="F374" i="11" s="1"/>
  <c r="G356" i="11"/>
  <c r="G362" i="11" s="1"/>
  <c r="I348" i="11"/>
  <c r="H626" i="11"/>
  <c r="I626" i="11" s="1"/>
  <c r="I620" i="11"/>
  <c r="D633" i="11"/>
  <c r="D634" i="11" s="1"/>
  <c r="D635" i="11" s="1"/>
  <c r="D636" i="11"/>
  <c r="D637" i="11" s="1"/>
  <c r="D638" i="11" s="1"/>
  <c r="D639" i="11" s="1"/>
  <c r="D640" i="11" s="1"/>
  <c r="D641" i="11" s="1"/>
  <c r="D642" i="11" s="1"/>
  <c r="D643" i="11" s="1"/>
  <c r="D644" i="11" s="1"/>
  <c r="H629" i="11"/>
  <c r="G625" i="11"/>
  <c r="F630" i="11"/>
  <c r="H647" i="11"/>
  <c r="H652" i="11"/>
  <c r="I652" i="11" s="1"/>
  <c r="I646" i="11"/>
  <c r="I619" i="11"/>
  <c r="D621" i="11"/>
  <c r="D622" i="11" s="1"/>
  <c r="D623" i="11" s="1"/>
  <c r="I622" i="11"/>
  <c r="G623" i="11"/>
  <c r="G629" i="11" s="1"/>
  <c r="H628" i="11"/>
  <c r="I628" i="11" s="1"/>
  <c r="I634" i="11"/>
  <c r="I649" i="11"/>
  <c r="H662" i="11"/>
  <c r="H668" i="11"/>
  <c r="H673" i="11"/>
  <c r="I673" i="11" s="1"/>
  <c r="I667" i="11"/>
  <c r="H712" i="11"/>
  <c r="I712" i="11" s="1"/>
  <c r="I706" i="11"/>
  <c r="H707" i="11"/>
  <c r="H736" i="11"/>
  <c r="I736" i="11" s="1"/>
  <c r="I730" i="11"/>
  <c r="H731" i="11"/>
  <c r="H625" i="11"/>
  <c r="G644" i="11"/>
  <c r="G650" i="11" s="1"/>
  <c r="I643" i="11"/>
  <c r="I631" i="11"/>
  <c r="I635" i="11"/>
  <c r="H640" i="11"/>
  <c r="I640" i="11" s="1"/>
  <c r="H650" i="11"/>
  <c r="G683" i="11"/>
  <c r="G689" i="11" s="1"/>
  <c r="I689" i="11" s="1"/>
  <c r="I682" i="11"/>
  <c r="H734" i="11"/>
  <c r="H664" i="11"/>
  <c r="H685" i="11"/>
  <c r="I685" i="11" s="1"/>
  <c r="I696" i="11"/>
  <c r="G697" i="11"/>
  <c r="H701" i="11"/>
  <c r="F708" i="11"/>
  <c r="F703" i="11"/>
  <c r="F704" i="11" s="1"/>
  <c r="F705" i="11" s="1"/>
  <c r="F706" i="11" s="1"/>
  <c r="F707" i="11" s="1"/>
  <c r="I715" i="11"/>
  <c r="G716" i="11"/>
  <c r="G722" i="11" s="1"/>
  <c r="H724" i="11"/>
  <c r="I724" i="11" s="1"/>
  <c r="I718" i="11"/>
  <c r="H719" i="11"/>
  <c r="F666" i="11"/>
  <c r="G695" i="11"/>
  <c r="G701" i="11" s="1"/>
  <c r="H697" i="11"/>
  <c r="G709" i="11"/>
  <c r="I709" i="11" s="1"/>
  <c r="G704" i="11"/>
  <c r="G710" i="11" s="1"/>
  <c r="I727" i="11"/>
  <c r="G728" i="11"/>
  <c r="G734" i="11" s="1"/>
  <c r="G656" i="11"/>
  <c r="G662" i="11" s="1"/>
  <c r="I679" i="11"/>
  <c r="I683" i="11"/>
  <c r="I691" i="11"/>
  <c r="I692" i="11"/>
  <c r="I694" i="11"/>
  <c r="G721" i="11"/>
  <c r="I721" i="11" s="1"/>
  <c r="I733" i="11"/>
  <c r="I739" i="11"/>
  <c r="G740" i="11"/>
  <c r="G746" i="11" s="1"/>
  <c r="H748" i="11"/>
  <c r="I748" i="11" s="1"/>
  <c r="I742" i="11"/>
  <c r="H743" i="11"/>
  <c r="H746" i="11"/>
  <c r="I746" i="11" s="1"/>
  <c r="I757" i="11"/>
  <c r="I745" i="11"/>
  <c r="I751" i="11"/>
  <c r="G752" i="11"/>
  <c r="G758" i="11" s="1"/>
  <c r="H760" i="11"/>
  <c r="I754" i="11"/>
  <c r="H755" i="11"/>
  <c r="G760" i="11"/>
  <c r="G340" i="11"/>
  <c r="I339" i="11"/>
  <c r="I301" i="11"/>
  <c r="I298" i="11"/>
  <c r="H304" i="11"/>
  <c r="I304" i="11" s="1"/>
  <c r="I303" i="11"/>
  <c r="I313" i="11"/>
  <c r="I319" i="11"/>
  <c r="I322" i="11"/>
  <c r="I327" i="11"/>
  <c r="H320" i="11"/>
  <c r="H326" i="11" s="1"/>
  <c r="G323" i="11"/>
  <c r="G329" i="11" s="1"/>
  <c r="F337" i="11"/>
  <c r="F338" i="11" s="1"/>
  <c r="F339" i="11" s="1"/>
  <c r="F340" i="11" s="1"/>
  <c r="F341" i="11" s="1"/>
  <c r="G344" i="11"/>
  <c r="G350" i="11" s="1"/>
  <c r="I307" i="11"/>
  <c r="I310" i="11"/>
  <c r="I315" i="11"/>
  <c r="I325" i="11"/>
  <c r="H328" i="11"/>
  <c r="I336" i="11"/>
  <c r="D300" i="11"/>
  <c r="D301" i="11" s="1"/>
  <c r="D302" i="11" s="1"/>
  <c r="D303" i="11" s="1"/>
  <c r="D304" i="11" s="1"/>
  <c r="D305" i="11" s="1"/>
  <c r="D306" i="11" s="1"/>
  <c r="D307" i="11" s="1"/>
  <c r="D308" i="11" s="1"/>
  <c r="D297" i="11"/>
  <c r="D298" i="11" s="1"/>
  <c r="D299" i="11" s="1"/>
  <c r="G299" i="11"/>
  <c r="G305" i="11" s="1"/>
  <c r="I305" i="11" s="1"/>
  <c r="F306" i="11"/>
  <c r="H332" i="11"/>
  <c r="I331" i="11"/>
  <c r="H337" i="11"/>
  <c r="I337" i="11" s="1"/>
  <c r="I352" i="11"/>
  <c r="I355" i="11"/>
  <c r="H361" i="11"/>
  <c r="I361" i="11" s="1"/>
  <c r="H356" i="11"/>
  <c r="G296" i="11"/>
  <c r="G302" i="11" s="1"/>
  <c r="I295" i="11"/>
  <c r="I316" i="11"/>
  <c r="I328" i="11"/>
  <c r="H344" i="11"/>
  <c r="H349" i="11"/>
  <c r="I349" i="11" s="1"/>
  <c r="I343" i="11"/>
  <c r="H335" i="11"/>
  <c r="H340" i="11"/>
  <c r="I334" i="11"/>
  <c r="F348" i="11"/>
  <c r="F343" i="11"/>
  <c r="F344" i="11" s="1"/>
  <c r="F345" i="11" s="1"/>
  <c r="F346" i="11" s="1"/>
  <c r="F347" i="11" s="1"/>
  <c r="H296" i="11"/>
  <c r="G308" i="11"/>
  <c r="G314" i="11" s="1"/>
  <c r="H311" i="11"/>
  <c r="G320" i="11"/>
  <c r="G326" i="11" s="1"/>
  <c r="H323" i="11"/>
  <c r="G332" i="11"/>
  <c r="G338" i="11" s="1"/>
  <c r="I346" i="11"/>
  <c r="G347" i="11"/>
  <c r="G353" i="11" s="1"/>
  <c r="F378" i="11"/>
  <c r="F376" i="11"/>
  <c r="F377" i="11" s="1"/>
  <c r="H314" i="11"/>
  <c r="G359" i="11"/>
  <c r="G365" i="11" s="1"/>
  <c r="G364" i="11"/>
  <c r="I364" i="11" s="1"/>
  <c r="I358" i="11"/>
  <c r="H368" i="11"/>
  <c r="F370" i="11"/>
  <c r="F371" i="11" s="1"/>
  <c r="H374" i="11"/>
  <c r="H380" i="11"/>
  <c r="H386" i="11"/>
  <c r="H392" i="11"/>
  <c r="H398" i="11"/>
  <c r="I373" i="11"/>
  <c r="I379" i="11"/>
  <c r="I385" i="11"/>
  <c r="I391" i="11"/>
  <c r="I397" i="11"/>
  <c r="I129" i="11"/>
  <c r="I255" i="11"/>
  <c r="I141" i="11"/>
  <c r="I159" i="11"/>
  <c r="I207" i="11"/>
  <c r="I105" i="11"/>
  <c r="H260" i="11"/>
  <c r="H263" i="11" s="1"/>
  <c r="I261" i="11"/>
  <c r="I291" i="11"/>
  <c r="I126" i="11"/>
  <c r="I177" i="11"/>
  <c r="I153" i="11"/>
  <c r="I165" i="11"/>
  <c r="I169" i="11"/>
  <c r="I204" i="11"/>
  <c r="I273" i="11"/>
  <c r="I289" i="11"/>
  <c r="I256" i="11"/>
  <c r="H113" i="11"/>
  <c r="H119" i="11" s="1"/>
  <c r="I119" i="11" s="1"/>
  <c r="I117" i="11"/>
  <c r="H134" i="11"/>
  <c r="H137" i="11" s="1"/>
  <c r="I135" i="11"/>
  <c r="G142" i="11"/>
  <c r="I145" i="11"/>
  <c r="G232" i="11"/>
  <c r="G239" i="11"/>
  <c r="G245" i="11" s="1"/>
  <c r="H248" i="11"/>
  <c r="H254" i="11" s="1"/>
  <c r="G251" i="11"/>
  <c r="G257" i="11" s="1"/>
  <c r="I267" i="11"/>
  <c r="I285" i="11"/>
  <c r="I114" i="11"/>
  <c r="I183" i="11"/>
  <c r="G196" i="11"/>
  <c r="H220" i="11"/>
  <c r="I220" i="11" s="1"/>
  <c r="I226" i="11"/>
  <c r="I228" i="11"/>
  <c r="I238" i="11"/>
  <c r="I240" i="11"/>
  <c r="G290" i="11"/>
  <c r="G293" i="11" s="1"/>
  <c r="H172" i="11"/>
  <c r="G176" i="11"/>
  <c r="G179" i="11" s="1"/>
  <c r="I216" i="11"/>
  <c r="I231" i="11"/>
  <c r="H244" i="11"/>
  <c r="I244" i="11" s="1"/>
  <c r="H200" i="11"/>
  <c r="H206" i="11" s="1"/>
  <c r="I283" i="11"/>
  <c r="I292" i="11"/>
  <c r="H241" i="11"/>
  <c r="I241" i="11" s="1"/>
  <c r="I97" i="11"/>
  <c r="G101" i="11"/>
  <c r="G107" i="11" s="1"/>
  <c r="I102" i="11"/>
  <c r="I124" i="11"/>
  <c r="I151" i="11"/>
  <c r="H158" i="11"/>
  <c r="H161" i="11" s="1"/>
  <c r="I217" i="11"/>
  <c r="I235" i="11"/>
  <c r="H245" i="11"/>
  <c r="I253" i="11"/>
  <c r="I252" i="11"/>
  <c r="I262" i="11"/>
  <c r="H272" i="11"/>
  <c r="H275" i="11" s="1"/>
  <c r="H208" i="11"/>
  <c r="I208" i="11" s="1"/>
  <c r="H122" i="11"/>
  <c r="H128" i="11" s="1"/>
  <c r="G152" i="11"/>
  <c r="G155" i="11" s="1"/>
  <c r="F193" i="11"/>
  <c r="F194" i="11" s="1"/>
  <c r="F195" i="11" s="1"/>
  <c r="F196" i="11" s="1"/>
  <c r="F197" i="11" s="1"/>
  <c r="I195" i="11"/>
  <c r="G203" i="11"/>
  <c r="G209" i="11" s="1"/>
  <c r="G212" i="11"/>
  <c r="G218" i="11" s="1"/>
  <c r="I219" i="11"/>
  <c r="I223" i="11"/>
  <c r="G236" i="11"/>
  <c r="G242" i="11" s="1"/>
  <c r="I242" i="11" s="1"/>
  <c r="I243" i="11"/>
  <c r="I247" i="11"/>
  <c r="I250" i="11"/>
  <c r="I259" i="11"/>
  <c r="G266" i="11"/>
  <c r="G269" i="11" s="1"/>
  <c r="I286" i="11"/>
  <c r="I109" i="11"/>
  <c r="H110" i="11"/>
  <c r="I110" i="11" s="1"/>
  <c r="H148" i="11"/>
  <c r="G166" i="11"/>
  <c r="H182" i="11"/>
  <c r="H185" i="11" s="1"/>
  <c r="I192" i="11"/>
  <c r="I199" i="11"/>
  <c r="G260" i="11"/>
  <c r="G263" i="11" s="1"/>
  <c r="D201" i="11"/>
  <c r="D202" i="11" s="1"/>
  <c r="D203" i="11" s="1"/>
  <c r="D204" i="11"/>
  <c r="D205" i="11" s="1"/>
  <c r="D206" i="11" s="1"/>
  <c r="D207" i="11" s="1"/>
  <c r="D208" i="11" s="1"/>
  <c r="D209" i="11" s="1"/>
  <c r="D210" i="11" s="1"/>
  <c r="D211" i="11" s="1"/>
  <c r="D212" i="11" s="1"/>
  <c r="D216" i="11" s="1"/>
  <c r="D217" i="11" s="1"/>
  <c r="D218" i="11" s="1"/>
  <c r="D219" i="11" s="1"/>
  <c r="D220" i="11" s="1"/>
  <c r="D221" i="11" s="1"/>
  <c r="D222" i="11" s="1"/>
  <c r="D223" i="11" s="1"/>
  <c r="D224" i="11" s="1"/>
  <c r="D228" i="11" s="1"/>
  <c r="D229" i="11" s="1"/>
  <c r="D230" i="11" s="1"/>
  <c r="D231" i="11" s="1"/>
  <c r="D232" i="11" s="1"/>
  <c r="D233" i="11" s="1"/>
  <c r="D234" i="11" s="1"/>
  <c r="D235" i="11" s="1"/>
  <c r="D236" i="11" s="1"/>
  <c r="H191" i="11"/>
  <c r="H196" i="11"/>
  <c r="I190" i="11"/>
  <c r="H188" i="11"/>
  <c r="I187" i="11"/>
  <c r="F205" i="11"/>
  <c r="F206" i="11" s="1"/>
  <c r="F207" i="11" s="1"/>
  <c r="F208" i="11" s="1"/>
  <c r="F209" i="11" s="1"/>
  <c r="F210" i="11"/>
  <c r="H209" i="11"/>
  <c r="H193" i="11"/>
  <c r="I205" i="11"/>
  <c r="I227" i="11"/>
  <c r="G233" i="11"/>
  <c r="I233" i="11" s="1"/>
  <c r="G193" i="11"/>
  <c r="I202" i="11"/>
  <c r="I211" i="11"/>
  <c r="G215" i="11"/>
  <c r="G221" i="11" s="1"/>
  <c r="G224" i="11"/>
  <c r="H229" i="11"/>
  <c r="I229" i="11" s="1"/>
  <c r="H278" i="11"/>
  <c r="I277" i="11"/>
  <c r="H280" i="11"/>
  <c r="I280" i="11" s="1"/>
  <c r="H221" i="11"/>
  <c r="D189" i="11"/>
  <c r="D190" i="11" s="1"/>
  <c r="D191" i="11" s="1"/>
  <c r="F199" i="11"/>
  <c r="F200" i="11" s="1"/>
  <c r="F201" i="11" s="1"/>
  <c r="F202" i="11" s="1"/>
  <c r="F203" i="11" s="1"/>
  <c r="G200" i="11"/>
  <c r="G206" i="11" s="1"/>
  <c r="H212" i="11"/>
  <c r="H232" i="11"/>
  <c r="F234" i="11"/>
  <c r="F267" i="11"/>
  <c r="F265" i="11"/>
  <c r="F266" i="11" s="1"/>
  <c r="I265" i="11"/>
  <c r="H268" i="11"/>
  <c r="I268" i="11" s="1"/>
  <c r="H266" i="11"/>
  <c r="I214" i="11"/>
  <c r="G248" i="11"/>
  <c r="G254" i="11" s="1"/>
  <c r="H251" i="11"/>
  <c r="F262" i="11"/>
  <c r="F263" i="11" s="1"/>
  <c r="I279" i="11"/>
  <c r="G272" i="11"/>
  <c r="G275" i="11" s="1"/>
  <c r="I271" i="11"/>
  <c r="G274" i="11"/>
  <c r="I274" i="11" s="1"/>
  <c r="G284" i="11"/>
  <c r="G287" i="11" s="1"/>
  <c r="H290" i="11"/>
  <c r="G278" i="11"/>
  <c r="G281" i="11" s="1"/>
  <c r="H284" i="11"/>
  <c r="F136" i="11"/>
  <c r="F137" i="11" s="1"/>
  <c r="G98" i="11"/>
  <c r="G104" i="11" s="1"/>
  <c r="I100" i="11"/>
  <c r="H106" i="11"/>
  <c r="I106" i="11" s="1"/>
  <c r="I103" i="11"/>
  <c r="D99" i="11"/>
  <c r="D100" i="11" s="1"/>
  <c r="D101" i="11" s="1"/>
  <c r="D102" i="11"/>
  <c r="D103" i="11" s="1"/>
  <c r="D104" i="11" s="1"/>
  <c r="D105" i="11" s="1"/>
  <c r="D106" i="11" s="1"/>
  <c r="D107" i="11" s="1"/>
  <c r="D108" i="11" s="1"/>
  <c r="D109" i="11" s="1"/>
  <c r="D110" i="11" s="1"/>
  <c r="D114" i="11" s="1"/>
  <c r="D115" i="11" s="1"/>
  <c r="D116" i="11" s="1"/>
  <c r="D117" i="11" s="1"/>
  <c r="D118" i="11" s="1"/>
  <c r="D119" i="11" s="1"/>
  <c r="D120" i="11" s="1"/>
  <c r="D121" i="11" s="1"/>
  <c r="D122" i="11" s="1"/>
  <c r="D126" i="11" s="1"/>
  <c r="D127" i="11" s="1"/>
  <c r="D128" i="11" s="1"/>
  <c r="D129" i="11" s="1"/>
  <c r="D130" i="11" s="1"/>
  <c r="D131" i="11" s="1"/>
  <c r="D132" i="11" s="1"/>
  <c r="D133" i="11" s="1"/>
  <c r="D134" i="11" s="1"/>
  <c r="D135" i="11" s="1"/>
  <c r="D136" i="11" s="1"/>
  <c r="D137" i="11" s="1"/>
  <c r="D138" i="11" s="1"/>
  <c r="D139" i="11" s="1"/>
  <c r="D140" i="11" s="1"/>
  <c r="D141" i="11" s="1"/>
  <c r="D142" i="11" s="1"/>
  <c r="D143" i="11" s="1"/>
  <c r="D144" i="11" s="1"/>
  <c r="D145" i="11" s="1"/>
  <c r="D146" i="11" s="1"/>
  <c r="D147" i="11" s="1"/>
  <c r="D148" i="11" s="1"/>
  <c r="D149" i="11" s="1"/>
  <c r="D150" i="11" s="1"/>
  <c r="D151" i="11" s="1"/>
  <c r="D152" i="11" s="1"/>
  <c r="D153" i="11" s="1"/>
  <c r="D154" i="11" s="1"/>
  <c r="D155" i="11" s="1"/>
  <c r="D156" i="11" s="1"/>
  <c r="D157" i="11" s="1"/>
  <c r="D158" i="11" s="1"/>
  <c r="D159" i="11" s="1"/>
  <c r="D160" i="11" s="1"/>
  <c r="D161" i="11" s="1"/>
  <c r="D162" i="11" s="1"/>
  <c r="D163" i="11" s="1"/>
  <c r="D164" i="11" s="1"/>
  <c r="D165" i="11" s="1"/>
  <c r="D166" i="11" s="1"/>
  <c r="D167" i="11" s="1"/>
  <c r="D168" i="11" s="1"/>
  <c r="D169" i="11" s="1"/>
  <c r="D170" i="11" s="1"/>
  <c r="D171" i="11" s="1"/>
  <c r="D172" i="11" s="1"/>
  <c r="D173" i="11" s="1"/>
  <c r="D174" i="11" s="1"/>
  <c r="D175" i="11" s="1"/>
  <c r="D176" i="11" s="1"/>
  <c r="D177" i="11" s="1"/>
  <c r="D178" i="11" s="1"/>
  <c r="D179" i="11" s="1"/>
  <c r="D180" i="11" s="1"/>
  <c r="D181" i="11" s="1"/>
  <c r="D182" i="11" s="1"/>
  <c r="D183" i="11" s="1"/>
  <c r="D184" i="11" s="1"/>
  <c r="D185" i="11" s="1"/>
  <c r="H107" i="11"/>
  <c r="F109" i="11"/>
  <c r="F110" i="11" s="1"/>
  <c r="F111" i="11" s="1"/>
  <c r="F112" i="11" s="1"/>
  <c r="F113" i="11" s="1"/>
  <c r="F114" i="11"/>
  <c r="H155" i="11"/>
  <c r="G160" i="11"/>
  <c r="I160" i="11" s="1"/>
  <c r="G158" i="11"/>
  <c r="G161" i="11" s="1"/>
  <c r="H98" i="11"/>
  <c r="F103" i="11"/>
  <c r="F104" i="11" s="1"/>
  <c r="F105" i="11" s="1"/>
  <c r="F106" i="11" s="1"/>
  <c r="F107" i="11" s="1"/>
  <c r="G115" i="11"/>
  <c r="I115" i="11" s="1"/>
  <c r="I127" i="11"/>
  <c r="I136" i="11"/>
  <c r="F159" i="11"/>
  <c r="F157" i="11"/>
  <c r="F158" i="11" s="1"/>
  <c r="G184" i="11"/>
  <c r="I184" i="11" s="1"/>
  <c r="G182" i="11"/>
  <c r="G185" i="11" s="1"/>
  <c r="H179" i="11"/>
  <c r="I112" i="11"/>
  <c r="G118" i="11"/>
  <c r="I118" i="11" s="1"/>
  <c r="I121" i="11"/>
  <c r="H131" i="11"/>
  <c r="F141" i="11"/>
  <c r="H149" i="11"/>
  <c r="I149" i="11" s="1"/>
  <c r="I146" i="11"/>
  <c r="H173" i="11"/>
  <c r="I173" i="11" s="1"/>
  <c r="I170" i="11"/>
  <c r="G122" i="11"/>
  <c r="G128" i="11" s="1"/>
  <c r="G130" i="11"/>
  <c r="G125" i="11"/>
  <c r="G131" i="11" s="1"/>
  <c r="H142" i="11"/>
  <c r="I139" i="11"/>
  <c r="H140" i="11"/>
  <c r="I147" i="11"/>
  <c r="H166" i="11"/>
  <c r="I163" i="11"/>
  <c r="H164" i="11"/>
  <c r="I171" i="11"/>
  <c r="H130" i="11"/>
  <c r="I133" i="11"/>
  <c r="G134" i="11"/>
  <c r="G137" i="11" s="1"/>
  <c r="G148" i="11"/>
  <c r="H154" i="11"/>
  <c r="I154" i="11" s="1"/>
  <c r="G172" i="11"/>
  <c r="I175" i="11"/>
  <c r="H178" i="11"/>
  <c r="I178" i="11" s="1"/>
  <c r="F154" i="11"/>
  <c r="F155" i="11" s="1"/>
  <c r="I157" i="11"/>
  <c r="I181" i="11"/>
  <c r="I57" i="11"/>
  <c r="I75" i="11"/>
  <c r="I22" i="11"/>
  <c r="H35" i="11"/>
  <c r="H41" i="11" s="1"/>
  <c r="I41" i="11" s="1"/>
  <c r="I36" i="11"/>
  <c r="G56" i="11"/>
  <c r="G59" i="11" s="1"/>
  <c r="G32" i="11"/>
  <c r="G38" i="11" s="1"/>
  <c r="H16" i="11"/>
  <c r="I16" i="11" s="1"/>
  <c r="I24" i="11"/>
  <c r="I45" i="11"/>
  <c r="I55" i="11"/>
  <c r="I69" i="11"/>
  <c r="I87" i="11"/>
  <c r="I25" i="11"/>
  <c r="H23" i="11"/>
  <c r="H29" i="11" s="1"/>
  <c r="I37" i="11"/>
  <c r="I51" i="11"/>
  <c r="I73" i="11"/>
  <c r="I94" i="11"/>
  <c r="G74" i="11"/>
  <c r="G77" i="11" s="1"/>
  <c r="I91" i="11"/>
  <c r="F18" i="11"/>
  <c r="F24" i="11" s="1"/>
  <c r="I39" i="11"/>
  <c r="H50" i="11"/>
  <c r="H53" i="11" s="1"/>
  <c r="I67" i="11"/>
  <c r="I88" i="11"/>
  <c r="H13" i="11"/>
  <c r="I13" i="11" s="1"/>
  <c r="I63" i="11"/>
  <c r="G86" i="11"/>
  <c r="G89" i="11" s="1"/>
  <c r="I7" i="11"/>
  <c r="I31" i="11"/>
  <c r="I49" i="11"/>
  <c r="H68" i="11"/>
  <c r="H71" i="11" s="1"/>
  <c r="H92" i="11"/>
  <c r="H95" i="11" s="1"/>
  <c r="I93" i="11"/>
  <c r="G92" i="11"/>
  <c r="G95" i="11" s="1"/>
  <c r="I85" i="11"/>
  <c r="I81" i="11"/>
  <c r="I79" i="11"/>
  <c r="I82" i="11"/>
  <c r="G80" i="11"/>
  <c r="G83" i="11" s="1"/>
  <c r="H86" i="11"/>
  <c r="H80" i="11"/>
  <c r="F64" i="11"/>
  <c r="F65" i="11" s="1"/>
  <c r="F72" i="11"/>
  <c r="F70" i="11"/>
  <c r="F71" i="11" s="1"/>
  <c r="H65" i="11"/>
  <c r="I70" i="11"/>
  <c r="I61" i="11"/>
  <c r="G62" i="11"/>
  <c r="G65" i="11" s="1"/>
  <c r="F67" i="11"/>
  <c r="F68" i="11" s="1"/>
  <c r="G68" i="11"/>
  <c r="G71" i="11" s="1"/>
  <c r="H74" i="11"/>
  <c r="H64" i="11"/>
  <c r="I64" i="11" s="1"/>
  <c r="H76" i="11"/>
  <c r="I76" i="11" s="1"/>
  <c r="F46" i="11"/>
  <c r="F47" i="11" s="1"/>
  <c r="F54" i="11"/>
  <c r="F52" i="11"/>
  <c r="F53" i="11" s="1"/>
  <c r="H47" i="11"/>
  <c r="I52" i="11"/>
  <c r="I43" i="11"/>
  <c r="G44" i="11"/>
  <c r="G47" i="11" s="1"/>
  <c r="F49" i="11"/>
  <c r="F50" i="11" s="1"/>
  <c r="G50" i="11"/>
  <c r="G53" i="11" s="1"/>
  <c r="H56" i="11"/>
  <c r="H46" i="11"/>
  <c r="I46" i="11" s="1"/>
  <c r="H58" i="11"/>
  <c r="I58" i="11" s="1"/>
  <c r="H32" i="11"/>
  <c r="I34" i="11"/>
  <c r="G40" i="11"/>
  <c r="I40" i="11" s="1"/>
  <c r="I19" i="11"/>
  <c r="H28" i="11"/>
  <c r="I28" i="11" s="1"/>
  <c r="H20" i="11"/>
  <c r="H26" i="11" s="1"/>
  <c r="G20" i="11"/>
  <c r="G26" i="11" s="1"/>
  <c r="G23" i="11"/>
  <c r="G29" i="11" s="1"/>
  <c r="I27" i="11"/>
  <c r="D24" i="11"/>
  <c r="D25" i="11" s="1"/>
  <c r="D26" i="11" s="1"/>
  <c r="D27" i="11" s="1"/>
  <c r="D28" i="11" s="1"/>
  <c r="D29" i="11" s="1"/>
  <c r="D30" i="11" s="1"/>
  <c r="D31" i="11" s="1"/>
  <c r="D32" i="11" s="1"/>
  <c r="D36" i="11" s="1"/>
  <c r="D37" i="11" s="1"/>
  <c r="D38" i="11" s="1"/>
  <c r="D39" i="11" s="1"/>
  <c r="D40" i="11" s="1"/>
  <c r="D41" i="11" s="1"/>
  <c r="D42" i="11" s="1"/>
  <c r="D43" i="11" s="1"/>
  <c r="D44" i="11" s="1"/>
  <c r="D45" i="11" s="1"/>
  <c r="D46" i="11" s="1"/>
  <c r="D47" i="11" s="1"/>
  <c r="D48" i="11" s="1"/>
  <c r="D49" i="11" s="1"/>
  <c r="D50" i="11" s="1"/>
  <c r="D51" i="11" s="1"/>
  <c r="D52" i="11" s="1"/>
  <c r="D53" i="11" s="1"/>
  <c r="D54" i="11" s="1"/>
  <c r="D55" i="11" s="1"/>
  <c r="D56" i="11" s="1"/>
  <c r="D57" i="11" s="1"/>
  <c r="D58" i="11" s="1"/>
  <c r="D59" i="11" s="1"/>
  <c r="D60" i="11" s="1"/>
  <c r="D61" i="11" s="1"/>
  <c r="D62" i="11" s="1"/>
  <c r="D63" i="11" s="1"/>
  <c r="D64" i="11" s="1"/>
  <c r="D65" i="11" s="1"/>
  <c r="D66" i="11" s="1"/>
  <c r="D67" i="11" s="1"/>
  <c r="D68" i="11" s="1"/>
  <c r="D69" i="11" s="1"/>
  <c r="D70" i="11" s="1"/>
  <c r="D71" i="11" s="1"/>
  <c r="D72" i="11" s="1"/>
  <c r="D73" i="11" s="1"/>
  <c r="D74" i="11" s="1"/>
  <c r="D75" i="11" s="1"/>
  <c r="D76" i="11" s="1"/>
  <c r="D77" i="11" s="1"/>
  <c r="D78" i="11" s="1"/>
  <c r="D79" i="11" s="1"/>
  <c r="D80" i="11" s="1"/>
  <c r="D81" i="11" s="1"/>
  <c r="D82" i="11" s="1"/>
  <c r="D83" i="11" s="1"/>
  <c r="D84" i="11" s="1"/>
  <c r="D85" i="11" s="1"/>
  <c r="D86" i="11" s="1"/>
  <c r="D87" i="11" s="1"/>
  <c r="D88" i="11" s="1"/>
  <c r="D89" i="11" s="1"/>
  <c r="D90" i="11" s="1"/>
  <c r="D91" i="11" s="1"/>
  <c r="D92" i="11" s="1"/>
  <c r="D93" i="11" s="1"/>
  <c r="D94" i="11" s="1"/>
  <c r="D95" i="11" s="1"/>
  <c r="D21" i="11"/>
  <c r="D22" i="11" s="1"/>
  <c r="D23" i="11" s="1"/>
  <c r="I15" i="11"/>
  <c r="I12" i="11"/>
  <c r="C9" i="1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C41" i="11" s="1"/>
  <c r="C42" i="11" s="1"/>
  <c r="C43" i="11" s="1"/>
  <c r="C44" i="11" s="1"/>
  <c r="C45" i="11" s="1"/>
  <c r="I10" i="11"/>
  <c r="G11" i="11"/>
  <c r="D9" i="11"/>
  <c r="D10" i="11" s="1"/>
  <c r="D11" i="11" s="1"/>
  <c r="G8" i="11"/>
  <c r="J157" i="18"/>
  <c r="I157" i="18" s="1"/>
  <c r="G157" i="18"/>
  <c r="J156" i="18"/>
  <c r="I156" i="18" s="1"/>
  <c r="J155" i="18"/>
  <c r="I155" i="18" s="1"/>
  <c r="J154" i="18"/>
  <c r="I154" i="18" s="1"/>
  <c r="J153" i="18"/>
  <c r="I153" i="18" s="1"/>
  <c r="G153" i="18"/>
  <c r="G154" i="18" s="1"/>
  <c r="G155" i="18" s="1"/>
  <c r="J152" i="18"/>
  <c r="I152" i="18" s="1"/>
  <c r="J151" i="18"/>
  <c r="I151" i="18"/>
  <c r="J150" i="18"/>
  <c r="I150" i="18"/>
  <c r="J149" i="18"/>
  <c r="I149" i="18" s="1"/>
  <c r="J148" i="18"/>
  <c r="I148" i="18" s="1"/>
  <c r="J147" i="18"/>
  <c r="I147" i="18"/>
  <c r="G147" i="18"/>
  <c r="G148" i="18" s="1"/>
  <c r="G149" i="18" s="1"/>
  <c r="G150" i="18" s="1"/>
  <c r="G151" i="18" s="1"/>
  <c r="J146" i="18"/>
  <c r="I146" i="18"/>
  <c r="J145" i="18"/>
  <c r="I145" i="18" s="1"/>
  <c r="J144" i="18"/>
  <c r="I144" i="18" s="1"/>
  <c r="J143" i="18"/>
  <c r="I143" i="18" s="1"/>
  <c r="J142" i="18"/>
  <c r="I142" i="18" s="1"/>
  <c r="J141" i="18"/>
  <c r="I141" i="18" s="1"/>
  <c r="G141" i="18"/>
  <c r="G142" i="18" s="1"/>
  <c r="G143" i="18" s="1"/>
  <c r="G144" i="18" s="1"/>
  <c r="G145" i="18" s="1"/>
  <c r="J140" i="18"/>
  <c r="I140" i="18" s="1"/>
  <c r="J139" i="18"/>
  <c r="I139" i="18" s="1"/>
  <c r="J138" i="18"/>
  <c r="I138" i="18"/>
  <c r="J137" i="18"/>
  <c r="I137" i="18"/>
  <c r="G137" i="18"/>
  <c r="G138" i="18" s="1"/>
  <c r="G139" i="18" s="1"/>
  <c r="J136" i="18"/>
  <c r="I136" i="18"/>
  <c r="J135" i="18"/>
  <c r="I135" i="18" s="1"/>
  <c r="J134" i="18"/>
  <c r="I134" i="18" s="1"/>
  <c r="J133" i="18"/>
  <c r="I133" i="18" s="1"/>
  <c r="J132" i="18"/>
  <c r="I132" i="18" s="1"/>
  <c r="J131" i="18"/>
  <c r="I131" i="18" s="1"/>
  <c r="G131" i="18"/>
  <c r="G132" i="18" s="1"/>
  <c r="G133" i="18" s="1"/>
  <c r="G134" i="18" s="1"/>
  <c r="G135" i="18" s="1"/>
  <c r="J130" i="18"/>
  <c r="I130" i="18" s="1"/>
  <c r="J129" i="18"/>
  <c r="I129" i="18"/>
  <c r="J128" i="18"/>
  <c r="I128" i="18"/>
  <c r="J127" i="18"/>
  <c r="I127" i="18"/>
  <c r="J126" i="18"/>
  <c r="I126" i="18" s="1"/>
  <c r="J125" i="18"/>
  <c r="I125" i="18"/>
  <c r="G125" i="18"/>
  <c r="G126" i="18" s="1"/>
  <c r="G127" i="18" s="1"/>
  <c r="G128" i="18" s="1"/>
  <c r="G129" i="18" s="1"/>
  <c r="J124" i="18"/>
  <c r="I124" i="18"/>
  <c r="J123" i="18"/>
  <c r="I123" i="18" s="1"/>
  <c r="J122" i="18"/>
  <c r="I122" i="18" s="1"/>
  <c r="J121" i="18"/>
  <c r="I121" i="18" s="1"/>
  <c r="G121" i="18"/>
  <c r="G122" i="18" s="1"/>
  <c r="G123" i="18" s="1"/>
  <c r="J120" i="18"/>
  <c r="I120" i="18" s="1"/>
  <c r="J119" i="18"/>
  <c r="I119" i="18" s="1"/>
  <c r="J118" i="18"/>
  <c r="I118" i="18"/>
  <c r="J117" i="18"/>
  <c r="I117" i="18" s="1"/>
  <c r="J116" i="18"/>
  <c r="I116" i="18"/>
  <c r="J115" i="18"/>
  <c r="I115" i="18"/>
  <c r="G115" i="18"/>
  <c r="G116" i="18" s="1"/>
  <c r="G117" i="18" s="1"/>
  <c r="G118" i="18" s="1"/>
  <c r="G119" i="18" s="1"/>
  <c r="J114" i="18"/>
  <c r="I114" i="18"/>
  <c r="J113" i="18"/>
  <c r="I113" i="18" s="1"/>
  <c r="J112" i="18"/>
  <c r="I112" i="18" s="1"/>
  <c r="J111" i="18"/>
  <c r="I111" i="18" s="1"/>
  <c r="J110" i="18"/>
  <c r="I110" i="18" s="1"/>
  <c r="J109" i="18"/>
  <c r="I109" i="18" s="1"/>
  <c r="G109" i="18"/>
  <c r="G110" i="18" s="1"/>
  <c r="G111" i="18" s="1"/>
  <c r="G112" i="18" s="1"/>
  <c r="G113" i="18" s="1"/>
  <c r="J108" i="18"/>
  <c r="I108" i="18" s="1"/>
  <c r="J107" i="18"/>
  <c r="I107" i="18" s="1"/>
  <c r="J106" i="18"/>
  <c r="I106" i="18"/>
  <c r="J105" i="18"/>
  <c r="I105" i="18" s="1"/>
  <c r="G105" i="18"/>
  <c r="G106" i="18" s="1"/>
  <c r="G107" i="18" s="1"/>
  <c r="J104" i="18"/>
  <c r="I104" i="18" s="1"/>
  <c r="J103" i="18"/>
  <c r="I103" i="18" s="1"/>
  <c r="J102" i="18"/>
  <c r="I102" i="18" s="1"/>
  <c r="J101" i="18"/>
  <c r="I101" i="18" s="1"/>
  <c r="J100" i="18"/>
  <c r="I100" i="18" s="1"/>
  <c r="G100" i="18"/>
  <c r="G101" i="18" s="1"/>
  <c r="G102" i="18" s="1"/>
  <c r="G103" i="18" s="1"/>
  <c r="J99" i="18"/>
  <c r="I99" i="18" s="1"/>
  <c r="G99" i="18"/>
  <c r="J98" i="18"/>
  <c r="I98" i="18" s="1"/>
  <c r="J97" i="18"/>
  <c r="I97" i="18"/>
  <c r="J96" i="18"/>
  <c r="I96" i="18"/>
  <c r="J95" i="18"/>
  <c r="I95" i="18" s="1"/>
  <c r="J94" i="18"/>
  <c r="I94" i="18" s="1"/>
  <c r="J93" i="18"/>
  <c r="I93" i="18" s="1"/>
  <c r="G93" i="18"/>
  <c r="G94" i="18" s="1"/>
  <c r="G95" i="18" s="1"/>
  <c r="G96" i="18" s="1"/>
  <c r="G97" i="18" s="1"/>
  <c r="J92" i="18"/>
  <c r="I92" i="18"/>
  <c r="E92" i="18"/>
  <c r="E93" i="18" s="1"/>
  <c r="E94" i="18" s="1"/>
  <c r="E95" i="18" s="1"/>
  <c r="E96" i="18" s="1"/>
  <c r="E97" i="18" s="1"/>
  <c r="E98" i="18" s="1"/>
  <c r="E99" i="18" s="1"/>
  <c r="E100" i="18" s="1"/>
  <c r="E101" i="18" s="1"/>
  <c r="E102" i="18" s="1"/>
  <c r="E103" i="18" s="1"/>
  <c r="E104" i="18" s="1"/>
  <c r="E105" i="18" s="1"/>
  <c r="E106" i="18" s="1"/>
  <c r="E107" i="18" s="1"/>
  <c r="J91" i="18"/>
  <c r="I91" i="18" s="1"/>
  <c r="G91" i="18"/>
  <c r="E91" i="18"/>
  <c r="J90" i="18"/>
  <c r="I90" i="18" s="1"/>
  <c r="J89" i="18"/>
  <c r="I89" i="18" s="1"/>
  <c r="J88" i="18"/>
  <c r="I88" i="18" s="1"/>
  <c r="G88" i="18"/>
  <c r="G89" i="18" s="1"/>
  <c r="J87" i="18"/>
  <c r="I87" i="18" s="1"/>
  <c r="J86" i="18"/>
  <c r="I86" i="18" s="1"/>
  <c r="J85" i="18"/>
  <c r="I85" i="18"/>
  <c r="J84" i="18"/>
  <c r="I84" i="18" s="1"/>
  <c r="J83" i="18"/>
  <c r="I83" i="18"/>
  <c r="J82" i="18"/>
  <c r="I82" i="18" s="1"/>
  <c r="G82" i="18"/>
  <c r="G83" i="18" s="1"/>
  <c r="G84" i="18" s="1"/>
  <c r="G85" i="18" s="1"/>
  <c r="G86" i="18" s="1"/>
  <c r="J81" i="18"/>
  <c r="I81" i="18" s="1"/>
  <c r="J80" i="18"/>
  <c r="I80" i="18" s="1"/>
  <c r="J79" i="18"/>
  <c r="I79" i="18" s="1"/>
  <c r="J78" i="18"/>
  <c r="I78" i="18" s="1"/>
  <c r="J77" i="18"/>
  <c r="I77" i="18" s="1"/>
  <c r="J76" i="18"/>
  <c r="I76" i="18" s="1"/>
  <c r="G76" i="18"/>
  <c r="G77" i="18" s="1"/>
  <c r="G78" i="18" s="1"/>
  <c r="G79" i="18" s="1"/>
  <c r="G80" i="18" s="1"/>
  <c r="J75" i="18"/>
  <c r="I75" i="18" s="1"/>
  <c r="J74" i="18"/>
  <c r="I74" i="18" s="1"/>
  <c r="J73" i="18"/>
  <c r="I73" i="18" s="1"/>
  <c r="J72" i="18"/>
  <c r="I72" i="18" s="1"/>
  <c r="J71" i="18"/>
  <c r="I71" i="18"/>
  <c r="J70" i="18"/>
  <c r="I70" i="18" s="1"/>
  <c r="G70" i="18"/>
  <c r="G71" i="18" s="1"/>
  <c r="G72" i="18" s="1"/>
  <c r="G73" i="18" s="1"/>
  <c r="G74" i="18" s="1"/>
  <c r="J69" i="18"/>
  <c r="I69" i="18" s="1"/>
  <c r="J68" i="18"/>
  <c r="I68" i="18" s="1"/>
  <c r="J67" i="18"/>
  <c r="I67" i="18" s="1"/>
  <c r="J66" i="18"/>
  <c r="I66" i="18" s="1"/>
  <c r="J65" i="18"/>
  <c r="I65" i="18" s="1"/>
  <c r="J64" i="18"/>
  <c r="I64" i="18" s="1"/>
  <c r="G64" i="18"/>
  <c r="G65" i="18" s="1"/>
  <c r="G66" i="18" s="1"/>
  <c r="G67" i="18" s="1"/>
  <c r="G68" i="18" s="1"/>
  <c r="J63" i="18"/>
  <c r="I63" i="18"/>
  <c r="J62" i="18"/>
  <c r="I62" i="18"/>
  <c r="J61" i="18"/>
  <c r="I61" i="18" s="1"/>
  <c r="J60" i="18"/>
  <c r="I60" i="18"/>
  <c r="J59" i="18"/>
  <c r="I59" i="18" s="1"/>
  <c r="J58" i="18"/>
  <c r="I58" i="18" s="1"/>
  <c r="G58" i="18"/>
  <c r="G59" i="18" s="1"/>
  <c r="G60" i="18" s="1"/>
  <c r="G61" i="18" s="1"/>
  <c r="G62" i="18" s="1"/>
  <c r="J57" i="18"/>
  <c r="I57" i="18" s="1"/>
  <c r="J56" i="18"/>
  <c r="I56" i="18" s="1"/>
  <c r="J55" i="18"/>
  <c r="I55" i="18" s="1"/>
  <c r="J54" i="18"/>
  <c r="I54" i="18"/>
  <c r="J53" i="18"/>
  <c r="I53" i="18" s="1"/>
  <c r="J52" i="18"/>
  <c r="I52" i="18" s="1"/>
  <c r="G52" i="18"/>
  <c r="G53" i="18" s="1"/>
  <c r="G54" i="18" s="1"/>
  <c r="G55" i="18" s="1"/>
  <c r="G56" i="18" s="1"/>
  <c r="J51" i="18"/>
  <c r="I51" i="18" s="1"/>
  <c r="J50" i="18"/>
  <c r="I50" i="18" s="1"/>
  <c r="J49" i="18"/>
  <c r="I49" i="18" s="1"/>
  <c r="J48" i="18"/>
  <c r="I48" i="18" s="1"/>
  <c r="J47" i="18"/>
  <c r="I47" i="18"/>
  <c r="J46" i="18"/>
  <c r="I46" i="18" s="1"/>
  <c r="G46" i="18"/>
  <c r="G47" i="18" s="1"/>
  <c r="G48" i="18" s="1"/>
  <c r="G49" i="18" s="1"/>
  <c r="G50" i="18" s="1"/>
  <c r="J45" i="18"/>
  <c r="I45" i="18"/>
  <c r="J44" i="18"/>
  <c r="I44" i="18" s="1"/>
  <c r="J43" i="18"/>
  <c r="I43" i="18" s="1"/>
  <c r="J42" i="18"/>
  <c r="I42" i="18" s="1"/>
  <c r="J41" i="18"/>
  <c r="I41" i="18"/>
  <c r="J40" i="18"/>
  <c r="I40" i="18" s="1"/>
  <c r="G40" i="18"/>
  <c r="G41" i="18" s="1"/>
  <c r="G42" i="18" s="1"/>
  <c r="G43" i="18" s="1"/>
  <c r="G44" i="18" s="1"/>
  <c r="J39" i="18"/>
  <c r="I39" i="18" s="1"/>
  <c r="E39" i="18"/>
  <c r="E40" i="18" s="1"/>
  <c r="E41" i="18" s="1"/>
  <c r="E42" i="18" s="1"/>
  <c r="E43" i="18" s="1"/>
  <c r="E44" i="18" s="1"/>
  <c r="E45" i="18" s="1"/>
  <c r="E46" i="18" s="1"/>
  <c r="E47" i="18" s="1"/>
  <c r="E48" i="18" s="1"/>
  <c r="E49" i="18" s="1"/>
  <c r="E50" i="18" s="1"/>
  <c r="J38" i="18"/>
  <c r="I38" i="18" s="1"/>
  <c r="J37" i="18"/>
  <c r="I37" i="18" s="1"/>
  <c r="G37" i="18"/>
  <c r="G38" i="18" s="1"/>
  <c r="E37" i="18"/>
  <c r="E38" i="18" s="1"/>
  <c r="J36" i="18"/>
  <c r="I36" i="18"/>
  <c r="J35" i="18"/>
  <c r="I35" i="18" s="1"/>
  <c r="J34" i="18"/>
  <c r="I34" i="18" s="1"/>
  <c r="G34" i="18"/>
  <c r="G35" i="18" s="1"/>
  <c r="J33" i="18"/>
  <c r="I33" i="18" s="1"/>
  <c r="J32" i="18"/>
  <c r="I32" i="18" s="1"/>
  <c r="J31" i="18"/>
  <c r="I31" i="18"/>
  <c r="J30" i="18"/>
  <c r="I30" i="18" s="1"/>
  <c r="J29" i="18"/>
  <c r="I29" i="18" s="1"/>
  <c r="J28" i="18"/>
  <c r="I28" i="18" s="1"/>
  <c r="G28" i="18"/>
  <c r="G29" i="18" s="1"/>
  <c r="G30" i="18" s="1"/>
  <c r="G31" i="18" s="1"/>
  <c r="G32" i="18" s="1"/>
  <c r="J27" i="18"/>
  <c r="I27" i="18"/>
  <c r="J26" i="18"/>
  <c r="I26" i="18" s="1"/>
  <c r="J25" i="18"/>
  <c r="I25" i="18" s="1"/>
  <c r="J24" i="18"/>
  <c r="I24" i="18"/>
  <c r="J23" i="18"/>
  <c r="I23" i="18" s="1"/>
  <c r="J22" i="18"/>
  <c r="I22" i="18"/>
  <c r="G22" i="18"/>
  <c r="G23" i="18" s="1"/>
  <c r="G24" i="18" s="1"/>
  <c r="G25" i="18" s="1"/>
  <c r="G26" i="18" s="1"/>
  <c r="J21" i="18"/>
  <c r="I21" i="18" s="1"/>
  <c r="J20" i="18"/>
  <c r="I20" i="18"/>
  <c r="J19" i="18"/>
  <c r="I19" i="18" s="1"/>
  <c r="J18" i="18"/>
  <c r="I18" i="18" s="1"/>
  <c r="J17" i="18"/>
  <c r="I17" i="18" s="1"/>
  <c r="J16" i="18"/>
  <c r="I16" i="18"/>
  <c r="G16" i="18"/>
  <c r="G17" i="18" s="1"/>
  <c r="G18" i="18" s="1"/>
  <c r="G19" i="18" s="1"/>
  <c r="G20" i="18" s="1"/>
  <c r="J15" i="18"/>
  <c r="I15" i="18" s="1"/>
  <c r="J14" i="18"/>
  <c r="I14" i="18" s="1"/>
  <c r="J13" i="18"/>
  <c r="I13" i="18"/>
  <c r="J12" i="18"/>
  <c r="I12" i="18" s="1"/>
  <c r="J11" i="18"/>
  <c r="I11" i="18" s="1"/>
  <c r="J10" i="18"/>
  <c r="I10" i="18" s="1"/>
  <c r="G10" i="18"/>
  <c r="G11" i="18" s="1"/>
  <c r="G12" i="18" s="1"/>
  <c r="G13" i="18" s="1"/>
  <c r="G14" i="18" s="1"/>
  <c r="J9" i="18"/>
  <c r="I9" i="18"/>
  <c r="E9" i="18"/>
  <c r="E15" i="18" s="1"/>
  <c r="J8" i="18"/>
  <c r="I8" i="18" s="1"/>
  <c r="J7" i="18"/>
  <c r="I7" i="18"/>
  <c r="G7" i="18"/>
  <c r="G8" i="18" s="1"/>
  <c r="E7" i="18"/>
  <c r="E8" i="18" s="1"/>
  <c r="J6" i="18"/>
  <c r="I6" i="18" s="1"/>
  <c r="F52" i="17"/>
  <c r="F53" i="17" s="1"/>
  <c r="F54" i="17" s="1"/>
  <c r="E54" i="17"/>
  <c r="E53" i="17"/>
  <c r="E52" i="17"/>
  <c r="E42" i="17"/>
  <c r="E41" i="17"/>
  <c r="F40" i="17"/>
  <c r="F41" i="17" s="1"/>
  <c r="E40" i="17"/>
  <c r="E24" i="17"/>
  <c r="E23" i="17"/>
  <c r="E22" i="17"/>
  <c r="E6" i="17"/>
  <c r="E5" i="17"/>
  <c r="F4" i="17"/>
  <c r="AJ4" i="17" s="1"/>
  <c r="E4" i="17"/>
  <c r="M22" i="17"/>
  <c r="F52" i="16"/>
  <c r="AD52" i="16" s="1"/>
  <c r="E54" i="16"/>
  <c r="E53" i="16"/>
  <c r="E52" i="16"/>
  <c r="F40" i="16"/>
  <c r="AJ40" i="16" s="1"/>
  <c r="E42" i="16"/>
  <c r="E41" i="16"/>
  <c r="E40" i="16"/>
  <c r="E24" i="16"/>
  <c r="E23" i="16"/>
  <c r="E22" i="16"/>
  <c r="F4" i="16"/>
  <c r="E6" i="16"/>
  <c r="E5" i="16"/>
  <c r="E4" i="16"/>
  <c r="AH22" i="16"/>
  <c r="E60" i="15"/>
  <c r="E59" i="15"/>
  <c r="E54" i="15"/>
  <c r="E53" i="15"/>
  <c r="F52" i="15"/>
  <c r="AH52" i="15" s="1"/>
  <c r="E52" i="15"/>
  <c r="E42" i="15"/>
  <c r="E41" i="15"/>
  <c r="F40" i="15"/>
  <c r="E40" i="15"/>
  <c r="E24" i="15"/>
  <c r="E23" i="15"/>
  <c r="F22" i="15"/>
  <c r="F23" i="15" s="1"/>
  <c r="AH23" i="15" s="1"/>
  <c r="E22" i="15"/>
  <c r="E6" i="15"/>
  <c r="E5" i="15"/>
  <c r="F4" i="15"/>
  <c r="AI4" i="15" s="1"/>
  <c r="E4" i="15"/>
  <c r="F13" i="14"/>
  <c r="AK13" i="14" s="1"/>
  <c r="E15" i="14"/>
  <c r="E14" i="14"/>
  <c r="E13" i="14"/>
  <c r="F10" i="14"/>
  <c r="AJ10" i="14" s="1"/>
  <c r="E12" i="14"/>
  <c r="E11" i="14"/>
  <c r="E10" i="14"/>
  <c r="F7" i="14"/>
  <c r="AJ7" i="14" s="1"/>
  <c r="E9" i="14"/>
  <c r="E8" i="14"/>
  <c r="E7" i="14"/>
  <c r="AG7" i="14"/>
  <c r="E6" i="14"/>
  <c r="E5" i="14"/>
  <c r="F4" i="14"/>
  <c r="H4" i="14" s="1"/>
  <c r="E4" i="14"/>
  <c r="I664" i="11" l="1"/>
  <c r="I659" i="11"/>
  <c r="I353" i="11"/>
  <c r="I671" i="11"/>
  <c r="I340" i="11"/>
  <c r="I722" i="11"/>
  <c r="I710" i="11"/>
  <c r="I650" i="11"/>
  <c r="I625" i="11"/>
  <c r="H773" i="11"/>
  <c r="H774" i="11" s="1"/>
  <c r="I697" i="11"/>
  <c r="I176" i="11"/>
  <c r="I716" i="11"/>
  <c r="F507" i="11"/>
  <c r="F508" i="11" s="1"/>
  <c r="F509" i="11" s="1"/>
  <c r="F505" i="11"/>
  <c r="F506" i="11" s="1"/>
  <c r="F615" i="11"/>
  <c r="F616" i="11" s="1"/>
  <c r="F617" i="11" s="1"/>
  <c r="F613" i="11"/>
  <c r="F614" i="11" s="1"/>
  <c r="F5" i="17"/>
  <c r="AH5" i="17" s="1"/>
  <c r="S52" i="17"/>
  <c r="W52" i="17"/>
  <c r="O52" i="17"/>
  <c r="K52" i="17"/>
  <c r="AA52" i="17"/>
  <c r="I52" i="17"/>
  <c r="M52" i="17"/>
  <c r="Q52" i="17"/>
  <c r="U52" i="17"/>
  <c r="Y52" i="17"/>
  <c r="AE52" i="17"/>
  <c r="E108" i="18"/>
  <c r="E124" i="18" s="1"/>
  <c r="I677" i="11"/>
  <c r="J52" i="17"/>
  <c r="N52" i="17"/>
  <c r="R52" i="17"/>
  <c r="V52" i="17"/>
  <c r="Z52" i="17"/>
  <c r="AF52" i="17"/>
  <c r="I662" i="11"/>
  <c r="H52" i="17"/>
  <c r="L52" i="17"/>
  <c r="P52" i="17"/>
  <c r="T52" i="17"/>
  <c r="X52" i="17"/>
  <c r="AB52" i="17"/>
  <c r="E10" i="18"/>
  <c r="E11" i="18" s="1"/>
  <c r="E12" i="18" s="1"/>
  <c r="E13" i="18" s="1"/>
  <c r="E14" i="18" s="1"/>
  <c r="I758" i="11"/>
  <c r="I644" i="11"/>
  <c r="I299" i="11"/>
  <c r="D645" i="11"/>
  <c r="D646" i="11" s="1"/>
  <c r="D647" i="11" s="1"/>
  <c r="D648" i="11"/>
  <c r="D649" i="11" s="1"/>
  <c r="D650" i="11" s="1"/>
  <c r="D651" i="11" s="1"/>
  <c r="D652" i="11" s="1"/>
  <c r="D653" i="11" s="1"/>
  <c r="D654" i="11" s="1"/>
  <c r="D655" i="11" s="1"/>
  <c r="D656" i="11" s="1"/>
  <c r="H749" i="11"/>
  <c r="I749" i="11" s="1"/>
  <c r="I743" i="11"/>
  <c r="I752" i="11"/>
  <c r="F714" i="11"/>
  <c r="F709" i="11"/>
  <c r="F710" i="11" s="1"/>
  <c r="F711" i="11" s="1"/>
  <c r="F712" i="11" s="1"/>
  <c r="F713" i="11" s="1"/>
  <c r="I728" i="11"/>
  <c r="H737" i="11"/>
  <c r="I737" i="11" s="1"/>
  <c r="I731" i="11"/>
  <c r="H761" i="11"/>
  <c r="I761" i="11" s="1"/>
  <c r="I755" i="11"/>
  <c r="I734" i="11"/>
  <c r="I760" i="11"/>
  <c r="I701" i="11"/>
  <c r="H674" i="11"/>
  <c r="I674" i="11" s="1"/>
  <c r="I668" i="11"/>
  <c r="I623" i="11"/>
  <c r="H713" i="11"/>
  <c r="I713" i="11" s="1"/>
  <c r="I707" i="11"/>
  <c r="F631" i="11"/>
  <c r="F632" i="11" s="1"/>
  <c r="F633" i="11" s="1"/>
  <c r="F634" i="11" s="1"/>
  <c r="F635" i="11" s="1"/>
  <c r="F636" i="11"/>
  <c r="I740" i="11"/>
  <c r="F672" i="11"/>
  <c r="F667" i="11"/>
  <c r="F668" i="11" s="1"/>
  <c r="F669" i="11" s="1"/>
  <c r="F670" i="11" s="1"/>
  <c r="F671" i="11" s="1"/>
  <c r="H725" i="11"/>
  <c r="I725" i="11" s="1"/>
  <c r="I719" i="11"/>
  <c r="I695" i="11"/>
  <c r="I704" i="11"/>
  <c r="I656" i="11"/>
  <c r="H653" i="11"/>
  <c r="I653" i="11" s="1"/>
  <c r="I647" i="11"/>
  <c r="I629" i="11"/>
  <c r="I326" i="11"/>
  <c r="I359" i="11"/>
  <c r="H395" i="11"/>
  <c r="I395" i="11" s="1"/>
  <c r="I392" i="11"/>
  <c r="H350" i="11"/>
  <c r="I350" i="11" s="1"/>
  <c r="I344" i="11"/>
  <c r="I320" i="11"/>
  <c r="H389" i="11"/>
  <c r="I389" i="11" s="1"/>
  <c r="I386" i="11"/>
  <c r="H371" i="11"/>
  <c r="I371" i="11" s="1"/>
  <c r="I368" i="11"/>
  <c r="I347" i="11"/>
  <c r="F381" i="11"/>
  <c r="F379" i="11"/>
  <c r="F380" i="11" s="1"/>
  <c r="H317" i="11"/>
  <c r="I317" i="11" s="1"/>
  <c r="I311" i="11"/>
  <c r="I335" i="11"/>
  <c r="H341" i="11"/>
  <c r="I341" i="11" s="1"/>
  <c r="H338" i="11"/>
  <c r="I338" i="11" s="1"/>
  <c r="I332" i="11"/>
  <c r="I308" i="11"/>
  <c r="H383" i="11"/>
  <c r="I383" i="11" s="1"/>
  <c r="I380" i="11"/>
  <c r="F354" i="11"/>
  <c r="F349" i="11"/>
  <c r="F350" i="11" s="1"/>
  <c r="F351" i="11" s="1"/>
  <c r="F352" i="11" s="1"/>
  <c r="F353" i="11" s="1"/>
  <c r="F312" i="11"/>
  <c r="F307" i="11"/>
  <c r="F308" i="11" s="1"/>
  <c r="F309" i="11" s="1"/>
  <c r="F310" i="11" s="1"/>
  <c r="F311" i="11" s="1"/>
  <c r="H401" i="11"/>
  <c r="I401" i="11" s="1"/>
  <c r="I398" i="11"/>
  <c r="H377" i="11"/>
  <c r="I377" i="11" s="1"/>
  <c r="I374" i="11"/>
  <c r="I314" i="11"/>
  <c r="I365" i="11"/>
  <c r="H329" i="11"/>
  <c r="I329" i="11" s="1"/>
  <c r="I323" i="11"/>
  <c r="H302" i="11"/>
  <c r="I302" i="11" s="1"/>
  <c r="I296" i="11"/>
  <c r="I356" i="11"/>
  <c r="H362" i="11"/>
  <c r="I362" i="11" s="1"/>
  <c r="D309" i="11"/>
  <c r="D310" i="11" s="1"/>
  <c r="D311" i="11" s="1"/>
  <c r="D312" i="11"/>
  <c r="D313" i="11" s="1"/>
  <c r="D314" i="11" s="1"/>
  <c r="D315" i="11" s="1"/>
  <c r="D316" i="11" s="1"/>
  <c r="D317" i="11" s="1"/>
  <c r="D318" i="11" s="1"/>
  <c r="D319" i="11" s="1"/>
  <c r="D320" i="11" s="1"/>
  <c r="I239" i="11"/>
  <c r="I203" i="11"/>
  <c r="I166" i="11"/>
  <c r="I142" i="11"/>
  <c r="D213" i="11"/>
  <c r="D214" i="11" s="1"/>
  <c r="D215" i="11" s="1"/>
  <c r="I113" i="11"/>
  <c r="I245" i="11"/>
  <c r="I232" i="11"/>
  <c r="I263" i="11"/>
  <c r="I172" i="11"/>
  <c r="I152" i="11"/>
  <c r="I260" i="11"/>
  <c r="I196" i="11"/>
  <c r="I130" i="11"/>
  <c r="I221" i="11"/>
  <c r="H116" i="11"/>
  <c r="I116" i="11" s="1"/>
  <c r="D123" i="11"/>
  <c r="D124" i="11" s="1"/>
  <c r="D125" i="11" s="1"/>
  <c r="I193" i="11"/>
  <c r="I148" i="11"/>
  <c r="I179" i="11"/>
  <c r="I182" i="11"/>
  <c r="I254" i="11"/>
  <c r="I248" i="11"/>
  <c r="I236" i="11"/>
  <c r="I206" i="11"/>
  <c r="D33" i="11"/>
  <c r="D34" i="11" s="1"/>
  <c r="D35" i="11" s="1"/>
  <c r="I209" i="11"/>
  <c r="I161" i="11"/>
  <c r="D240" i="11"/>
  <c r="D241" i="11" s="1"/>
  <c r="D242" i="11" s="1"/>
  <c r="D243" i="11" s="1"/>
  <c r="D244" i="11" s="1"/>
  <c r="D245" i="11" s="1"/>
  <c r="D246" i="11" s="1"/>
  <c r="D247" i="11" s="1"/>
  <c r="D248" i="11" s="1"/>
  <c r="D237" i="11"/>
  <c r="D238" i="11" s="1"/>
  <c r="D239" i="11" s="1"/>
  <c r="I155" i="11"/>
  <c r="I101" i="11"/>
  <c r="D111" i="11"/>
  <c r="D112" i="11" s="1"/>
  <c r="D113" i="11" s="1"/>
  <c r="I275" i="11"/>
  <c r="D225" i="11"/>
  <c r="D226" i="11" s="1"/>
  <c r="D227" i="11" s="1"/>
  <c r="I158" i="11"/>
  <c r="I131" i="11"/>
  <c r="I107" i="11"/>
  <c r="I215" i="11"/>
  <c r="I284" i="11"/>
  <c r="H287" i="11"/>
  <c r="I287" i="11" s="1"/>
  <c r="H269" i="11"/>
  <c r="I269" i="11" s="1"/>
  <c r="I266" i="11"/>
  <c r="F240" i="11"/>
  <c r="F235" i="11"/>
  <c r="F236" i="11" s="1"/>
  <c r="F237" i="11" s="1"/>
  <c r="F238" i="11" s="1"/>
  <c r="F239" i="11" s="1"/>
  <c r="I290" i="11"/>
  <c r="H293" i="11"/>
  <c r="I293" i="11" s="1"/>
  <c r="I272" i="11"/>
  <c r="F270" i="11"/>
  <c r="F268" i="11"/>
  <c r="F269" i="11" s="1"/>
  <c r="I212" i="11"/>
  <c r="H218" i="11"/>
  <c r="I218" i="11" s="1"/>
  <c r="G230" i="11"/>
  <c r="I230" i="11" s="1"/>
  <c r="I224" i="11"/>
  <c r="H194" i="11"/>
  <c r="I194" i="11" s="1"/>
  <c r="I188" i="11"/>
  <c r="I191" i="11"/>
  <c r="H197" i="11"/>
  <c r="I197" i="11" s="1"/>
  <c r="H257" i="11"/>
  <c r="I257" i="11" s="1"/>
  <c r="I251" i="11"/>
  <c r="H281" i="11"/>
  <c r="I281" i="11" s="1"/>
  <c r="I278" i="11"/>
  <c r="I200" i="11"/>
  <c r="F211" i="11"/>
  <c r="F212" i="11" s="1"/>
  <c r="F213" i="11" s="1"/>
  <c r="F214" i="11" s="1"/>
  <c r="F215" i="11" s="1"/>
  <c r="F216" i="11"/>
  <c r="F217" i="11" s="1"/>
  <c r="F218" i="11" s="1"/>
  <c r="F219" i="11" s="1"/>
  <c r="F220" i="11" s="1"/>
  <c r="F221" i="11" s="1"/>
  <c r="H167" i="11"/>
  <c r="I167" i="11" s="1"/>
  <c r="I164" i="11"/>
  <c r="I134" i="11"/>
  <c r="I137" i="11"/>
  <c r="F142" i="11"/>
  <c r="F143" i="11" s="1"/>
  <c r="F144" i="11"/>
  <c r="I185" i="11"/>
  <c r="F115" i="11"/>
  <c r="F116" i="11" s="1"/>
  <c r="F117" i="11" s="1"/>
  <c r="F118" i="11" s="1"/>
  <c r="F119" i="11" s="1"/>
  <c r="F120" i="11"/>
  <c r="I122" i="11"/>
  <c r="F162" i="11"/>
  <c r="F160" i="11"/>
  <c r="F161" i="11" s="1"/>
  <c r="H104" i="11"/>
  <c r="I104" i="11" s="1"/>
  <c r="I98" i="11"/>
  <c r="H143" i="11"/>
  <c r="I143" i="11" s="1"/>
  <c r="I140" i="11"/>
  <c r="I128" i="11"/>
  <c r="I125" i="11"/>
  <c r="I35" i="11"/>
  <c r="C46" i="11"/>
  <c r="C47" i="11" s="1"/>
  <c r="F19" i="11"/>
  <c r="F20" i="11" s="1"/>
  <c r="F21" i="11" s="1"/>
  <c r="F22" i="11" s="1"/>
  <c r="F23" i="11" s="1"/>
  <c r="I95" i="11"/>
  <c r="I29" i="11"/>
  <c r="I62" i="11"/>
  <c r="I68" i="11"/>
  <c r="I11" i="11"/>
  <c r="G17" i="11"/>
  <c r="I17" i="11" s="1"/>
  <c r="I8" i="11"/>
  <c r="G14" i="11"/>
  <c r="I14" i="11" s="1"/>
  <c r="I23" i="11"/>
  <c r="I26" i="11"/>
  <c r="I65" i="11"/>
  <c r="F25" i="11"/>
  <c r="F26" i="11" s="1"/>
  <c r="F27" i="11" s="1"/>
  <c r="F28" i="11" s="1"/>
  <c r="F29" i="11" s="1"/>
  <c r="F30" i="11"/>
  <c r="I20" i="11"/>
  <c r="I92" i="11"/>
  <c r="I80" i="11"/>
  <c r="H83" i="11"/>
  <c r="I83" i="11" s="1"/>
  <c r="I86" i="11"/>
  <c r="H89" i="11"/>
  <c r="I89" i="11" s="1"/>
  <c r="I71" i="11"/>
  <c r="I74" i="11"/>
  <c r="H77" i="11"/>
  <c r="I77" i="11" s="1"/>
  <c r="F75" i="11"/>
  <c r="F73" i="11"/>
  <c r="F74" i="11" s="1"/>
  <c r="I50" i="11"/>
  <c r="I44" i="11"/>
  <c r="I47" i="11"/>
  <c r="I56" i="11"/>
  <c r="H59" i="11"/>
  <c r="I59" i="11" s="1"/>
  <c r="I53" i="11"/>
  <c r="F57" i="11"/>
  <c r="F58" i="11" s="1"/>
  <c r="F59" i="11" s="1"/>
  <c r="F55" i="11"/>
  <c r="F56" i="11" s="1"/>
  <c r="I32" i="11"/>
  <c r="H38" i="11"/>
  <c r="I38" i="11" s="1"/>
  <c r="E21" i="18"/>
  <c r="E16" i="18"/>
  <c r="E17" i="18" s="1"/>
  <c r="E18" i="18" s="1"/>
  <c r="E19" i="18" s="1"/>
  <c r="E20" i="18" s="1"/>
  <c r="E51" i="18"/>
  <c r="E109" i="18"/>
  <c r="E110" i="18" s="1"/>
  <c r="E111" i="18" s="1"/>
  <c r="E112" i="18" s="1"/>
  <c r="E113" i="18" s="1"/>
  <c r="E114" i="18" s="1"/>
  <c r="E115" i="18" s="1"/>
  <c r="E116" i="18" s="1"/>
  <c r="E117" i="18" s="1"/>
  <c r="E118" i="18" s="1"/>
  <c r="E119" i="18" s="1"/>
  <c r="E120" i="18" s="1"/>
  <c r="E121" i="18" s="1"/>
  <c r="E122" i="18" s="1"/>
  <c r="E123" i="18" s="1"/>
  <c r="AC52" i="17"/>
  <c r="AF22" i="17"/>
  <c r="U4" i="17"/>
  <c r="AK52" i="17"/>
  <c r="AK4" i="17"/>
  <c r="F23" i="16"/>
  <c r="AJ23" i="16" s="1"/>
  <c r="AI22" i="16"/>
  <c r="I4" i="17"/>
  <c r="Y4" i="17"/>
  <c r="AG52" i="17"/>
  <c r="S22" i="16"/>
  <c r="AH52" i="16"/>
  <c r="M4" i="17"/>
  <c r="AC4" i="17"/>
  <c r="P4" i="15"/>
  <c r="F53" i="16"/>
  <c r="AI53" i="16" s="1"/>
  <c r="Q4" i="17"/>
  <c r="AG4" i="17"/>
  <c r="H22" i="17"/>
  <c r="H22" i="15"/>
  <c r="W22" i="16"/>
  <c r="J52" i="16"/>
  <c r="H40" i="16"/>
  <c r="AK40" i="17"/>
  <c r="AG40" i="17"/>
  <c r="AC40" i="17"/>
  <c r="Y40" i="17"/>
  <c r="U40" i="17"/>
  <c r="Q40" i="17"/>
  <c r="M40" i="17"/>
  <c r="I40" i="17"/>
  <c r="AJ40" i="17"/>
  <c r="AF40" i="17"/>
  <c r="AB40" i="17"/>
  <c r="X40" i="17"/>
  <c r="T40" i="17"/>
  <c r="P40" i="17"/>
  <c r="L40" i="17"/>
  <c r="H40" i="17"/>
  <c r="AI40" i="17"/>
  <c r="AE40" i="17"/>
  <c r="AA40" i="17"/>
  <c r="W40" i="17"/>
  <c r="S40" i="17"/>
  <c r="V40" i="17"/>
  <c r="K40" i="17"/>
  <c r="Z40" i="17"/>
  <c r="N40" i="17"/>
  <c r="O40" i="17"/>
  <c r="AH40" i="17"/>
  <c r="J40" i="17"/>
  <c r="AD40" i="17"/>
  <c r="R40" i="17"/>
  <c r="J4" i="17"/>
  <c r="N4" i="17"/>
  <c r="R4" i="17"/>
  <c r="V4" i="17"/>
  <c r="Z4" i="17"/>
  <c r="AD4" i="17"/>
  <c r="AH4" i="17"/>
  <c r="AI41" i="17"/>
  <c r="AE41" i="17"/>
  <c r="AA41" i="17"/>
  <c r="W41" i="17"/>
  <c r="S41" i="17"/>
  <c r="O41" i="17"/>
  <c r="K41" i="17"/>
  <c r="AH41" i="17"/>
  <c r="AD41" i="17"/>
  <c r="Z41" i="17"/>
  <c r="V41" i="17"/>
  <c r="R41" i="17"/>
  <c r="N41" i="17"/>
  <c r="J41" i="17"/>
  <c r="AK41" i="17"/>
  <c r="AG41" i="17"/>
  <c r="AC41" i="17"/>
  <c r="Y41" i="17"/>
  <c r="U41" i="17"/>
  <c r="Q41" i="17"/>
  <c r="M41" i="17"/>
  <c r="I41" i="17"/>
  <c r="X41" i="17"/>
  <c r="H41" i="17"/>
  <c r="AB41" i="17"/>
  <c r="L41" i="17"/>
  <c r="P41" i="17"/>
  <c r="AJ41" i="17"/>
  <c r="AF41" i="17"/>
  <c r="T41" i="17"/>
  <c r="R22" i="15"/>
  <c r="K22" i="16"/>
  <c r="AA22" i="16"/>
  <c r="R52" i="16"/>
  <c r="X40" i="16"/>
  <c r="AK22" i="17"/>
  <c r="AG22" i="17"/>
  <c r="AC22" i="17"/>
  <c r="Y22" i="17"/>
  <c r="AH22" i="17"/>
  <c r="AD22" i="17"/>
  <c r="Z22" i="17"/>
  <c r="V22" i="17"/>
  <c r="R22" i="17"/>
  <c r="N22" i="17"/>
  <c r="J22" i="17"/>
  <c r="AE22" i="17"/>
  <c r="W22" i="17"/>
  <c r="Q22" i="17"/>
  <c r="L22" i="17"/>
  <c r="AJ22" i="17"/>
  <c r="AB22" i="17"/>
  <c r="U22" i="17"/>
  <c r="P22" i="17"/>
  <c r="K22" i="17"/>
  <c r="AI22" i="17"/>
  <c r="AA22" i="17"/>
  <c r="T22" i="17"/>
  <c r="O22" i="17"/>
  <c r="I22" i="17"/>
  <c r="K4" i="17"/>
  <c r="O4" i="17"/>
  <c r="S4" i="17"/>
  <c r="W4" i="17"/>
  <c r="AA4" i="17"/>
  <c r="AE4" i="17"/>
  <c r="AI4" i="17"/>
  <c r="S22" i="17"/>
  <c r="AB22" i="15"/>
  <c r="O22" i="16"/>
  <c r="AE22" i="16"/>
  <c r="Z52" i="16"/>
  <c r="H4" i="17"/>
  <c r="L4" i="17"/>
  <c r="P4" i="17"/>
  <c r="T4" i="17"/>
  <c r="X4" i="17"/>
  <c r="AB4" i="17"/>
  <c r="AF4" i="17"/>
  <c r="X22" i="17"/>
  <c r="AD52" i="17"/>
  <c r="AH52" i="17"/>
  <c r="AJ52" i="17"/>
  <c r="AI52" i="17"/>
  <c r="AI53" i="17"/>
  <c r="AE53" i="17"/>
  <c r="AA53" i="17"/>
  <c r="W53" i="17"/>
  <c r="S53" i="17"/>
  <c r="O53" i="17"/>
  <c r="K53" i="17"/>
  <c r="AB53" i="17"/>
  <c r="P53" i="17"/>
  <c r="AH53" i="17"/>
  <c r="AD53" i="17"/>
  <c r="Z53" i="17"/>
  <c r="V53" i="17"/>
  <c r="R53" i="17"/>
  <c r="N53" i="17"/>
  <c r="J53" i="17"/>
  <c r="AF53" i="17"/>
  <c r="T53" i="17"/>
  <c r="H53" i="17"/>
  <c r="AK53" i="17"/>
  <c r="AG53" i="17"/>
  <c r="AC53" i="17"/>
  <c r="Y53" i="17"/>
  <c r="U53" i="17"/>
  <c r="Q53" i="17"/>
  <c r="M53" i="17"/>
  <c r="I53" i="17"/>
  <c r="AJ53" i="17"/>
  <c r="X53" i="17"/>
  <c r="L53" i="17"/>
  <c r="F41" i="15"/>
  <c r="AF41" i="15" s="1"/>
  <c r="P40" i="15"/>
  <c r="Z4" i="15"/>
  <c r="H22" i="16"/>
  <c r="L22" i="16"/>
  <c r="P22" i="16"/>
  <c r="T22" i="16"/>
  <c r="X22" i="16"/>
  <c r="AB22" i="16"/>
  <c r="AF22" i="16"/>
  <c r="AJ22" i="16"/>
  <c r="AJ4" i="15"/>
  <c r="I22" i="16"/>
  <c r="M22" i="16"/>
  <c r="Q22" i="16"/>
  <c r="U22" i="16"/>
  <c r="Y22" i="16"/>
  <c r="AC22" i="16"/>
  <c r="AG22" i="16"/>
  <c r="AK22" i="16"/>
  <c r="H4" i="15"/>
  <c r="J22" i="16"/>
  <c r="N22" i="16"/>
  <c r="R22" i="16"/>
  <c r="V22" i="16"/>
  <c r="Z22" i="16"/>
  <c r="AD22" i="16"/>
  <c r="N52" i="16"/>
  <c r="T40" i="16"/>
  <c r="AI40" i="16"/>
  <c r="AE40" i="16"/>
  <c r="AA40" i="16"/>
  <c r="W40" i="16"/>
  <c r="S40" i="16"/>
  <c r="O40" i="16"/>
  <c r="K40" i="16"/>
  <c r="AH40" i="16"/>
  <c r="AD40" i="16"/>
  <c r="Z40" i="16"/>
  <c r="V40" i="16"/>
  <c r="R40" i="16"/>
  <c r="N40" i="16"/>
  <c r="J40" i="16"/>
  <c r="AK40" i="16"/>
  <c r="AG40" i="16"/>
  <c r="AC40" i="16"/>
  <c r="Y40" i="16"/>
  <c r="U40" i="16"/>
  <c r="Q40" i="16"/>
  <c r="M40" i="16"/>
  <c r="I40" i="16"/>
  <c r="AK52" i="16"/>
  <c r="AG52" i="16"/>
  <c r="AC52" i="16"/>
  <c r="Y52" i="16"/>
  <c r="U52" i="16"/>
  <c r="Q52" i="16"/>
  <c r="M52" i="16"/>
  <c r="I52" i="16"/>
  <c r="AJ52" i="16"/>
  <c r="AF52" i="16"/>
  <c r="AB52" i="16"/>
  <c r="X52" i="16"/>
  <c r="T52" i="16"/>
  <c r="P52" i="16"/>
  <c r="L52" i="16"/>
  <c r="AI52" i="16"/>
  <c r="AE52" i="16"/>
  <c r="AA52" i="16"/>
  <c r="W52" i="16"/>
  <c r="S52" i="16"/>
  <c r="O52" i="16"/>
  <c r="K52" i="16"/>
  <c r="H52" i="16"/>
  <c r="V52" i="16"/>
  <c r="L40" i="16"/>
  <c r="AB40" i="16"/>
  <c r="P40" i="16"/>
  <c r="AF40" i="16"/>
  <c r="F23" i="17"/>
  <c r="F42" i="17"/>
  <c r="Z40" i="15"/>
  <c r="S52" i="15"/>
  <c r="J4" i="15"/>
  <c r="S4" i="15"/>
  <c r="AD4" i="15"/>
  <c r="J22" i="15"/>
  <c r="T22" i="15"/>
  <c r="AF22" i="15"/>
  <c r="L23" i="15"/>
  <c r="H40" i="15"/>
  <c r="R40" i="15"/>
  <c r="AB40" i="15"/>
  <c r="J52" i="15"/>
  <c r="V52" i="15"/>
  <c r="AI52" i="15"/>
  <c r="K4" i="15"/>
  <c r="V4" i="15"/>
  <c r="AE4" i="15"/>
  <c r="L22" i="15"/>
  <c r="X22" i="15"/>
  <c r="AH22" i="15"/>
  <c r="T23" i="15"/>
  <c r="J40" i="15"/>
  <c r="T40" i="15"/>
  <c r="AF40" i="15"/>
  <c r="K52" i="15"/>
  <c r="Z52" i="15"/>
  <c r="O4" i="15"/>
  <c r="X4" i="15"/>
  <c r="AF4" i="15"/>
  <c r="P22" i="15"/>
  <c r="Z22" i="15"/>
  <c r="AJ22" i="15"/>
  <c r="AB23" i="15"/>
  <c r="L40" i="15"/>
  <c r="X40" i="15"/>
  <c r="AJ40" i="15"/>
  <c r="N52" i="15"/>
  <c r="AD52" i="15"/>
  <c r="F5" i="16"/>
  <c r="F41" i="16"/>
  <c r="N40" i="15"/>
  <c r="V40" i="15"/>
  <c r="AD40" i="15"/>
  <c r="R52" i="15"/>
  <c r="AA52" i="15"/>
  <c r="N4" i="15"/>
  <c r="T4" i="15"/>
  <c r="AA4" i="15"/>
  <c r="N22" i="15"/>
  <c r="V22" i="15"/>
  <c r="AD22" i="15"/>
  <c r="AJ23" i="15"/>
  <c r="AH40" i="15"/>
  <c r="H23" i="15"/>
  <c r="P23" i="15"/>
  <c r="X23" i="15"/>
  <c r="AF23" i="15"/>
  <c r="AK4" i="15"/>
  <c r="AG4" i="15"/>
  <c r="AC4" i="15"/>
  <c r="Y4" i="15"/>
  <c r="U4" i="15"/>
  <c r="Q4" i="15"/>
  <c r="M4" i="15"/>
  <c r="I4" i="15"/>
  <c r="L4" i="15"/>
  <c r="R4" i="15"/>
  <c r="W4" i="15"/>
  <c r="AB4" i="15"/>
  <c r="AH4" i="15"/>
  <c r="F5" i="15"/>
  <c r="J23" i="15"/>
  <c r="R23" i="15"/>
  <c r="Z23" i="15"/>
  <c r="F24" i="15"/>
  <c r="AI23" i="15"/>
  <c r="AE23" i="15"/>
  <c r="AA23" i="15"/>
  <c r="W23" i="15"/>
  <c r="S23" i="15"/>
  <c r="O23" i="15"/>
  <c r="K23" i="15"/>
  <c r="AK23" i="15"/>
  <c r="AG23" i="15"/>
  <c r="AC23" i="15"/>
  <c r="Y23" i="15"/>
  <c r="U23" i="15"/>
  <c r="Q23" i="15"/>
  <c r="M23" i="15"/>
  <c r="I23" i="15"/>
  <c r="N23" i="15"/>
  <c r="V23" i="15"/>
  <c r="AD23" i="15"/>
  <c r="I22" i="15"/>
  <c r="M22" i="15"/>
  <c r="Q22" i="15"/>
  <c r="U22" i="15"/>
  <c r="Y22" i="15"/>
  <c r="AC22" i="15"/>
  <c r="AG22" i="15"/>
  <c r="AK22" i="15"/>
  <c r="I40" i="15"/>
  <c r="M40" i="15"/>
  <c r="Q40" i="15"/>
  <c r="U40" i="15"/>
  <c r="Y40" i="15"/>
  <c r="AC40" i="15"/>
  <c r="AG40" i="15"/>
  <c r="AK40" i="15"/>
  <c r="AJ52" i="15"/>
  <c r="AF52" i="15"/>
  <c r="AB52" i="15"/>
  <c r="X52" i="15"/>
  <c r="T52" i="15"/>
  <c r="P52" i="15"/>
  <c r="L52" i="15"/>
  <c r="H52" i="15"/>
  <c r="AK52" i="15"/>
  <c r="AG52" i="15"/>
  <c r="AC52" i="15"/>
  <c r="Y52" i="15"/>
  <c r="U52" i="15"/>
  <c r="Q52" i="15"/>
  <c r="M52" i="15"/>
  <c r="I52" i="15"/>
  <c r="O52" i="15"/>
  <c r="W52" i="15"/>
  <c r="AE52" i="15"/>
  <c r="F53" i="15"/>
  <c r="K22" i="15"/>
  <c r="O22" i="15"/>
  <c r="S22" i="15"/>
  <c r="W22" i="15"/>
  <c r="AA22" i="15"/>
  <c r="AE22" i="15"/>
  <c r="AI22" i="15"/>
  <c r="K40" i="15"/>
  <c r="O40" i="15"/>
  <c r="S40" i="15"/>
  <c r="W40" i="15"/>
  <c r="AA40" i="15"/>
  <c r="AE40" i="15"/>
  <c r="AI40" i="15"/>
  <c r="J13" i="14"/>
  <c r="R13" i="14"/>
  <c r="AH13" i="14"/>
  <c r="V13" i="14"/>
  <c r="Z13" i="14"/>
  <c r="Q7" i="14"/>
  <c r="N13" i="14"/>
  <c r="AD13" i="14"/>
  <c r="K13" i="14"/>
  <c r="O13" i="14"/>
  <c r="S13" i="14"/>
  <c r="W13" i="14"/>
  <c r="AA13" i="14"/>
  <c r="AE13" i="14"/>
  <c r="AI13" i="14"/>
  <c r="H13" i="14"/>
  <c r="L13" i="14"/>
  <c r="P13" i="14"/>
  <c r="T13" i="14"/>
  <c r="X13" i="14"/>
  <c r="AB13" i="14"/>
  <c r="AF13" i="14"/>
  <c r="AJ13" i="14"/>
  <c r="I13" i="14"/>
  <c r="M13" i="14"/>
  <c r="Q13" i="14"/>
  <c r="U13" i="14"/>
  <c r="Y13" i="14"/>
  <c r="AC13" i="14"/>
  <c r="AG13" i="14"/>
  <c r="V10" i="14"/>
  <c r="M10" i="14"/>
  <c r="U10" i="14"/>
  <c r="AC10" i="14"/>
  <c r="AK10" i="14"/>
  <c r="I10" i="14"/>
  <c r="Q10" i="14"/>
  <c r="Y10" i="14"/>
  <c r="AG10" i="14"/>
  <c r="N10" i="14"/>
  <c r="AD10" i="14"/>
  <c r="J10" i="14"/>
  <c r="R10" i="14"/>
  <c r="Z10" i="14"/>
  <c r="AH10" i="14"/>
  <c r="K10" i="14"/>
  <c r="O10" i="14"/>
  <c r="S10" i="14"/>
  <c r="W10" i="14"/>
  <c r="AA10" i="14"/>
  <c r="AE10" i="14"/>
  <c r="AI10" i="14"/>
  <c r="H10" i="14"/>
  <c r="L10" i="14"/>
  <c r="P10" i="14"/>
  <c r="T10" i="14"/>
  <c r="X10" i="14"/>
  <c r="AB10" i="14"/>
  <c r="AF10" i="14"/>
  <c r="U7" i="14"/>
  <c r="I7" i="14"/>
  <c r="Y7" i="14"/>
  <c r="M7" i="14"/>
  <c r="AC7" i="14"/>
  <c r="R7" i="14"/>
  <c r="Z7" i="14"/>
  <c r="AH7" i="14"/>
  <c r="K7" i="14"/>
  <c r="O7" i="14"/>
  <c r="S7" i="14"/>
  <c r="W7" i="14"/>
  <c r="AA7" i="14"/>
  <c r="AE7" i="14"/>
  <c r="AI7" i="14"/>
  <c r="AK7" i="14"/>
  <c r="J7" i="14"/>
  <c r="N7" i="14"/>
  <c r="V7" i="14"/>
  <c r="AD7" i="14"/>
  <c r="H7" i="14"/>
  <c r="L7" i="14"/>
  <c r="P7" i="14"/>
  <c r="T7" i="14"/>
  <c r="X7" i="14"/>
  <c r="AB7" i="14"/>
  <c r="AF7" i="14"/>
  <c r="P20" i="2"/>
  <c r="P19" i="2"/>
  <c r="M21" i="2"/>
  <c r="M20" i="2"/>
  <c r="M19" i="2"/>
  <c r="Y21" i="1"/>
  <c r="Y19" i="1"/>
  <c r="Y20" i="1"/>
  <c r="D21" i="2"/>
  <c r="D20" i="2"/>
  <c r="D19" i="2"/>
  <c r="P20" i="1"/>
  <c r="P21" i="1"/>
  <c r="Z19" i="1"/>
  <c r="N15" i="2"/>
  <c r="Z15" i="1"/>
  <c r="Z17" i="1"/>
  <c r="U16" i="1"/>
  <c r="V16" i="1"/>
  <c r="X17" i="1"/>
  <c r="Y17" i="1"/>
  <c r="V17" i="1"/>
  <c r="U17" i="1"/>
  <c r="M16" i="2"/>
  <c r="F34" i="17" s="1"/>
  <c r="M17" i="2"/>
  <c r="F37" i="17" s="1"/>
  <c r="L17" i="2"/>
  <c r="G15" i="2"/>
  <c r="F31" i="16" s="1"/>
  <c r="M14" i="2"/>
  <c r="F28" i="17" s="1"/>
  <c r="L14" i="2"/>
  <c r="G14" i="2"/>
  <c r="F28" i="16" s="1"/>
  <c r="P14" i="1"/>
  <c r="Q14" i="1"/>
  <c r="E14" i="2"/>
  <c r="K13" i="2"/>
  <c r="L13" i="2"/>
  <c r="M13" i="2"/>
  <c r="F25" i="17" s="1"/>
  <c r="Y13" i="1"/>
  <c r="X13" i="1"/>
  <c r="Y14" i="1"/>
  <c r="X14" i="1"/>
  <c r="V14" i="1"/>
  <c r="V13" i="1"/>
  <c r="U14" i="1"/>
  <c r="U13" i="1"/>
  <c r="Y11" i="1"/>
  <c r="U11" i="1"/>
  <c r="V11" i="1"/>
  <c r="P11" i="1"/>
  <c r="D11" i="2"/>
  <c r="E11" i="2"/>
  <c r="E33" i="14"/>
  <c r="Q10" i="1"/>
  <c r="D10" i="2"/>
  <c r="P10" i="1"/>
  <c r="X10" i="1"/>
  <c r="Z10" i="1"/>
  <c r="Y10" i="1"/>
  <c r="M10" i="2"/>
  <c r="L10" i="2"/>
  <c r="M8" i="2"/>
  <c r="Y8" i="1"/>
  <c r="F33" i="14"/>
  <c r="D7" i="2"/>
  <c r="AK5" i="17" l="1"/>
  <c r="U23" i="16"/>
  <c r="U5" i="17"/>
  <c r="AF5" i="17"/>
  <c r="P5" i="17"/>
  <c r="AE5" i="17"/>
  <c r="V5" i="17"/>
  <c r="K5" i="17"/>
  <c r="W5" i="17"/>
  <c r="AC41" i="15"/>
  <c r="AG53" i="16"/>
  <c r="F6" i="17"/>
  <c r="X6" i="17" s="1"/>
  <c r="R5" i="17"/>
  <c r="AG5" i="17"/>
  <c r="Q5" i="17"/>
  <c r="AB5" i="17"/>
  <c r="L5" i="17"/>
  <c r="O5" i="17"/>
  <c r="H23" i="16"/>
  <c r="AD5" i="17"/>
  <c r="N5" i="17"/>
  <c r="AC5" i="17"/>
  <c r="M5" i="17"/>
  <c r="X5" i="17"/>
  <c r="H5" i="17"/>
  <c r="AI5" i="17"/>
  <c r="O23" i="16"/>
  <c r="Z5" i="17"/>
  <c r="J5" i="17"/>
  <c r="Y5" i="17"/>
  <c r="I5" i="17"/>
  <c r="AJ5" i="17"/>
  <c r="T5" i="17"/>
  <c r="S5" i="17"/>
  <c r="AA5" i="17"/>
  <c r="Q53" i="16"/>
  <c r="W53" i="16"/>
  <c r="F54" i="16"/>
  <c r="Y54" i="16" s="1"/>
  <c r="T53" i="16"/>
  <c r="R53" i="16"/>
  <c r="L53" i="16"/>
  <c r="AH53" i="16"/>
  <c r="AD23" i="16"/>
  <c r="Y23" i="16"/>
  <c r="X23" i="16"/>
  <c r="AE23" i="16"/>
  <c r="N23" i="16"/>
  <c r="AI41" i="15"/>
  <c r="T23" i="16"/>
  <c r="AA23" i="16"/>
  <c r="K23" i="16"/>
  <c r="Z23" i="16"/>
  <c r="J23" i="16"/>
  <c r="AG23" i="16"/>
  <c r="I23" i="16"/>
  <c r="AF23" i="16"/>
  <c r="P23" i="16"/>
  <c r="W23" i="16"/>
  <c r="V23" i="16"/>
  <c r="Q23" i="16"/>
  <c r="AK23" i="16"/>
  <c r="AC23" i="16"/>
  <c r="F24" i="16"/>
  <c r="Z24" i="16" s="1"/>
  <c r="AB23" i="16"/>
  <c r="L23" i="16"/>
  <c r="AI23" i="16"/>
  <c r="S23" i="16"/>
  <c r="AH23" i="16"/>
  <c r="R23" i="16"/>
  <c r="M23" i="16"/>
  <c r="E7" i="15"/>
  <c r="E9" i="15"/>
  <c r="E8" i="15"/>
  <c r="F7" i="15"/>
  <c r="E30" i="16"/>
  <c r="E29" i="16"/>
  <c r="E28" i="16"/>
  <c r="E16" i="15"/>
  <c r="E18" i="15"/>
  <c r="E17" i="15"/>
  <c r="F16" i="15"/>
  <c r="E26" i="16"/>
  <c r="E25" i="16"/>
  <c r="E27" i="16"/>
  <c r="E27" i="17"/>
  <c r="E26" i="17"/>
  <c r="E25" i="17"/>
  <c r="E36" i="17"/>
  <c r="E35" i="17"/>
  <c r="E34" i="17"/>
  <c r="E51" i="15"/>
  <c r="E50" i="15"/>
  <c r="F49" i="15"/>
  <c r="E49" i="15"/>
  <c r="F43" i="16"/>
  <c r="E45" i="16"/>
  <c r="E44" i="16"/>
  <c r="E43" i="16"/>
  <c r="E49" i="17"/>
  <c r="E51" i="17"/>
  <c r="E50" i="17"/>
  <c r="F49" i="17"/>
  <c r="E7" i="16"/>
  <c r="F7" i="16"/>
  <c r="E9" i="16"/>
  <c r="E8" i="16"/>
  <c r="E48" i="15"/>
  <c r="E47" i="15"/>
  <c r="F46" i="15"/>
  <c r="E46" i="15"/>
  <c r="E46" i="17"/>
  <c r="E48" i="17"/>
  <c r="E47" i="17"/>
  <c r="F46" i="17"/>
  <c r="E34" i="14"/>
  <c r="E11" i="17"/>
  <c r="F10" i="17"/>
  <c r="E10" i="17"/>
  <c r="E12" i="17"/>
  <c r="E19" i="15"/>
  <c r="E21" i="15"/>
  <c r="E20" i="15"/>
  <c r="F19" i="15"/>
  <c r="E28" i="17"/>
  <c r="E30" i="17"/>
  <c r="E29" i="17"/>
  <c r="E50" i="16"/>
  <c r="E49" i="16"/>
  <c r="F49" i="16"/>
  <c r="E51" i="16"/>
  <c r="E17" i="17"/>
  <c r="F16" i="17"/>
  <c r="E16" i="17"/>
  <c r="E18" i="17"/>
  <c r="E39" i="17"/>
  <c r="E38" i="17"/>
  <c r="E37" i="17"/>
  <c r="E35" i="14"/>
  <c r="E16" i="16"/>
  <c r="F16" i="16"/>
  <c r="E18" i="16"/>
  <c r="E17" i="16"/>
  <c r="E33" i="16"/>
  <c r="E32" i="16"/>
  <c r="E31" i="16"/>
  <c r="E45" i="15"/>
  <c r="E44" i="15"/>
  <c r="F43" i="15"/>
  <c r="E43" i="15"/>
  <c r="F46" i="16"/>
  <c r="E46" i="16"/>
  <c r="E48" i="16"/>
  <c r="E47" i="16"/>
  <c r="E43" i="17"/>
  <c r="E45" i="17"/>
  <c r="E44" i="17"/>
  <c r="F43" i="17"/>
  <c r="E125" i="18"/>
  <c r="E126" i="18" s="1"/>
  <c r="E127" i="18" s="1"/>
  <c r="E128" i="18" s="1"/>
  <c r="E129" i="18" s="1"/>
  <c r="E130" i="18" s="1"/>
  <c r="E131" i="18" s="1"/>
  <c r="E132" i="18" s="1"/>
  <c r="E133" i="18" s="1"/>
  <c r="E134" i="18" s="1"/>
  <c r="E135" i="18" s="1"/>
  <c r="E136" i="18" s="1"/>
  <c r="E137" i="18" s="1"/>
  <c r="E138" i="18" s="1"/>
  <c r="E139" i="18" s="1"/>
  <c r="E140" i="18"/>
  <c r="F673" i="11"/>
  <c r="F674" i="11" s="1"/>
  <c r="F675" i="11" s="1"/>
  <c r="F676" i="11" s="1"/>
  <c r="F677" i="11" s="1"/>
  <c r="F678" i="11"/>
  <c r="F637" i="11"/>
  <c r="F638" i="11" s="1"/>
  <c r="F639" i="11" s="1"/>
  <c r="F640" i="11" s="1"/>
  <c r="F641" i="11" s="1"/>
  <c r="F642" i="11"/>
  <c r="F715" i="11"/>
  <c r="F716" i="11" s="1"/>
  <c r="F717" i="11" s="1"/>
  <c r="F718" i="11" s="1"/>
  <c r="F719" i="11" s="1"/>
  <c r="F720" i="11"/>
  <c r="D660" i="11"/>
  <c r="D661" i="11" s="1"/>
  <c r="D662" i="11" s="1"/>
  <c r="D663" i="11" s="1"/>
  <c r="D664" i="11" s="1"/>
  <c r="D665" i="11" s="1"/>
  <c r="D666" i="11" s="1"/>
  <c r="D667" i="11" s="1"/>
  <c r="D668" i="11" s="1"/>
  <c r="D657" i="11"/>
  <c r="D658" i="11" s="1"/>
  <c r="D659" i="11" s="1"/>
  <c r="D321" i="11"/>
  <c r="D322" i="11" s="1"/>
  <c r="D323" i="11" s="1"/>
  <c r="D324" i="11"/>
  <c r="D325" i="11" s="1"/>
  <c r="D326" i="11" s="1"/>
  <c r="D327" i="11" s="1"/>
  <c r="D328" i="11" s="1"/>
  <c r="D329" i="11" s="1"/>
  <c r="D330" i="11" s="1"/>
  <c r="D331" i="11" s="1"/>
  <c r="D332" i="11" s="1"/>
  <c r="D333" i="11" s="1"/>
  <c r="D334" i="11" s="1"/>
  <c r="D335" i="11" s="1"/>
  <c r="F384" i="11"/>
  <c r="F382" i="11"/>
  <c r="F383" i="11" s="1"/>
  <c r="F313" i="11"/>
  <c r="F314" i="11" s="1"/>
  <c r="F315" i="11" s="1"/>
  <c r="F316" i="11" s="1"/>
  <c r="F317" i="11" s="1"/>
  <c r="F318" i="11"/>
  <c r="F360" i="11"/>
  <c r="F361" i="11" s="1"/>
  <c r="F362" i="11" s="1"/>
  <c r="F363" i="11" s="1"/>
  <c r="F364" i="11" s="1"/>
  <c r="F365" i="11" s="1"/>
  <c r="F355" i="11"/>
  <c r="F356" i="11" s="1"/>
  <c r="F357" i="11" s="1"/>
  <c r="F358" i="11" s="1"/>
  <c r="F359" i="11" s="1"/>
  <c r="D249" i="11"/>
  <c r="D250" i="11" s="1"/>
  <c r="D251" i="11" s="1"/>
  <c r="D252" i="11"/>
  <c r="D253" i="11" s="1"/>
  <c r="D254" i="11" s="1"/>
  <c r="D255" i="11" s="1"/>
  <c r="D256" i="11" s="1"/>
  <c r="D257" i="11" s="1"/>
  <c r="D258" i="11" s="1"/>
  <c r="D259" i="11" s="1"/>
  <c r="D260" i="11" s="1"/>
  <c r="D261" i="11" s="1"/>
  <c r="D262" i="11" s="1"/>
  <c r="D263" i="11" s="1"/>
  <c r="F271" i="11"/>
  <c r="F272" i="11" s="1"/>
  <c r="F273" i="11"/>
  <c r="F241" i="11"/>
  <c r="F242" i="11" s="1"/>
  <c r="F243" i="11" s="1"/>
  <c r="F244" i="11" s="1"/>
  <c r="F245" i="11" s="1"/>
  <c r="F246" i="11"/>
  <c r="F163" i="11"/>
  <c r="F164" i="11" s="1"/>
  <c r="F165" i="11"/>
  <c r="F145" i="11"/>
  <c r="F146" i="11" s="1"/>
  <c r="F147" i="11"/>
  <c r="F148" i="11" s="1"/>
  <c r="F149" i="11" s="1"/>
  <c r="F126" i="11"/>
  <c r="F127" i="11" s="1"/>
  <c r="F128" i="11" s="1"/>
  <c r="F129" i="11" s="1"/>
  <c r="F130" i="11" s="1"/>
  <c r="F131" i="11" s="1"/>
  <c r="F121" i="11"/>
  <c r="F122" i="11" s="1"/>
  <c r="F123" i="11" s="1"/>
  <c r="F124" i="11" s="1"/>
  <c r="F125" i="11" s="1"/>
  <c r="C48" i="11"/>
  <c r="C49" i="11" s="1"/>
  <c r="C50" i="11" s="1"/>
  <c r="F76" i="11"/>
  <c r="F77" i="11" s="1"/>
  <c r="F78" i="11"/>
  <c r="F36" i="11"/>
  <c r="F37" i="11" s="1"/>
  <c r="F38" i="11" s="1"/>
  <c r="F39" i="11" s="1"/>
  <c r="F40" i="11" s="1"/>
  <c r="F41" i="11" s="1"/>
  <c r="F31" i="11"/>
  <c r="F32" i="11" s="1"/>
  <c r="F33" i="11" s="1"/>
  <c r="F34" i="11" s="1"/>
  <c r="F35" i="11" s="1"/>
  <c r="E52" i="18"/>
  <c r="E53" i="18" s="1"/>
  <c r="E54" i="18" s="1"/>
  <c r="E55" i="18" s="1"/>
  <c r="E56" i="18" s="1"/>
  <c r="E57" i="18" s="1"/>
  <c r="E58" i="18" s="1"/>
  <c r="E59" i="18" s="1"/>
  <c r="E60" i="18" s="1"/>
  <c r="E61" i="18" s="1"/>
  <c r="E62" i="18" s="1"/>
  <c r="E63" i="18"/>
  <c r="E27" i="18"/>
  <c r="E22" i="18"/>
  <c r="E23" i="18" s="1"/>
  <c r="E24" i="18" s="1"/>
  <c r="E25" i="18" s="1"/>
  <c r="E26" i="18" s="1"/>
  <c r="AJ53" i="16"/>
  <c r="AB53" i="16"/>
  <c r="U53" i="16"/>
  <c r="AK53" i="16"/>
  <c r="V53" i="16"/>
  <c r="K53" i="16"/>
  <c r="AA53" i="16"/>
  <c r="P53" i="16"/>
  <c r="H53" i="16"/>
  <c r="I53" i="16"/>
  <c r="Y53" i="16"/>
  <c r="J53" i="16"/>
  <c r="Z53" i="16"/>
  <c r="O53" i="16"/>
  <c r="AE53" i="16"/>
  <c r="AF53" i="16"/>
  <c r="X53" i="16"/>
  <c r="M53" i="16"/>
  <c r="AC53" i="16"/>
  <c r="N53" i="16"/>
  <c r="AD53" i="16"/>
  <c r="S53" i="16"/>
  <c r="AB41" i="15"/>
  <c r="N41" i="15"/>
  <c r="AK42" i="17"/>
  <c r="AG42" i="17"/>
  <c r="AC42" i="17"/>
  <c r="Y42" i="17"/>
  <c r="U42" i="17"/>
  <c r="Q42" i="17"/>
  <c r="M42" i="17"/>
  <c r="I42" i="17"/>
  <c r="AJ42" i="17"/>
  <c r="AF42" i="17"/>
  <c r="AB42" i="17"/>
  <c r="X42" i="17"/>
  <c r="T42" i="17"/>
  <c r="P42" i="17"/>
  <c r="L42" i="17"/>
  <c r="H42" i="17"/>
  <c r="AI42" i="17"/>
  <c r="AE42" i="17"/>
  <c r="AA42" i="17"/>
  <c r="W42" i="17"/>
  <c r="S42" i="17"/>
  <c r="O42" i="17"/>
  <c r="K42" i="17"/>
  <c r="Z42" i="17"/>
  <c r="J42" i="17"/>
  <c r="AD42" i="17"/>
  <c r="N42" i="17"/>
  <c r="R42" i="17"/>
  <c r="AH42" i="17"/>
  <c r="V42" i="17"/>
  <c r="AD41" i="15"/>
  <c r="X41" i="15"/>
  <c r="H41" i="15"/>
  <c r="M41" i="15"/>
  <c r="S41" i="15"/>
  <c r="AI23" i="17"/>
  <c r="AE23" i="17"/>
  <c r="AA23" i="17"/>
  <c r="W23" i="17"/>
  <c r="S23" i="17"/>
  <c r="O23" i="17"/>
  <c r="K23" i="17"/>
  <c r="AJ23" i="17"/>
  <c r="AF23" i="17"/>
  <c r="AB23" i="17"/>
  <c r="X23" i="17"/>
  <c r="T23" i="17"/>
  <c r="P23" i="17"/>
  <c r="L23" i="17"/>
  <c r="H23" i="17"/>
  <c r="AG23" i="17"/>
  <c r="Y23" i="17"/>
  <c r="Q23" i="17"/>
  <c r="I23" i="17"/>
  <c r="AD23" i="17"/>
  <c r="V23" i="17"/>
  <c r="N23" i="17"/>
  <c r="AK23" i="17"/>
  <c r="AC23" i="17"/>
  <c r="U23" i="17"/>
  <c r="M23" i="17"/>
  <c r="Z23" i="17"/>
  <c r="R23" i="17"/>
  <c r="AH23" i="17"/>
  <c r="J23" i="17"/>
  <c r="AK54" i="17"/>
  <c r="AG54" i="17"/>
  <c r="AC54" i="17"/>
  <c r="Y54" i="17"/>
  <c r="U54" i="17"/>
  <c r="Q54" i="17"/>
  <c r="M54" i="17"/>
  <c r="I54" i="17"/>
  <c r="AH54" i="17"/>
  <c r="V54" i="17"/>
  <c r="J54" i="17"/>
  <c r="AJ54" i="17"/>
  <c r="AF54" i="17"/>
  <c r="AB54" i="17"/>
  <c r="X54" i="17"/>
  <c r="T54" i="17"/>
  <c r="P54" i="17"/>
  <c r="L54" i="17"/>
  <c r="H54" i="17"/>
  <c r="Z54" i="17"/>
  <c r="N54" i="17"/>
  <c r="AI54" i="17"/>
  <c r="AE54" i="17"/>
  <c r="AA54" i="17"/>
  <c r="W54" i="17"/>
  <c r="S54" i="17"/>
  <c r="O54" i="17"/>
  <c r="K54" i="17"/>
  <c r="AD54" i="17"/>
  <c r="R54" i="17"/>
  <c r="L41" i="15"/>
  <c r="AJ41" i="15"/>
  <c r="Q41" i="15"/>
  <c r="AG41" i="15"/>
  <c r="R41" i="15"/>
  <c r="AH41" i="15"/>
  <c r="W41" i="15"/>
  <c r="F42" i="15"/>
  <c r="AI42" i="15" s="1"/>
  <c r="T41" i="15"/>
  <c r="U41" i="15"/>
  <c r="AK41" i="15"/>
  <c r="V41" i="15"/>
  <c r="K41" i="15"/>
  <c r="AA41" i="15"/>
  <c r="P41" i="15"/>
  <c r="I41" i="15"/>
  <c r="Y41" i="15"/>
  <c r="J41" i="15"/>
  <c r="Z41" i="15"/>
  <c r="O41" i="15"/>
  <c r="AE41" i="15"/>
  <c r="AK41" i="16"/>
  <c r="AG41" i="16"/>
  <c r="AC41" i="16"/>
  <c r="Y41" i="16"/>
  <c r="U41" i="16"/>
  <c r="Q41" i="16"/>
  <c r="M41" i="16"/>
  <c r="I41" i="16"/>
  <c r="AJ41" i="16"/>
  <c r="AF41" i="16"/>
  <c r="AB41" i="16"/>
  <c r="X41" i="16"/>
  <c r="T41" i="16"/>
  <c r="P41" i="16"/>
  <c r="L41" i="16"/>
  <c r="H41" i="16"/>
  <c r="AI41" i="16"/>
  <c r="AE41" i="16"/>
  <c r="AA41" i="16"/>
  <c r="W41" i="16"/>
  <c r="S41" i="16"/>
  <c r="O41" i="16"/>
  <c r="K41" i="16"/>
  <c r="AH41" i="16"/>
  <c r="R41" i="16"/>
  <c r="AD41" i="16"/>
  <c r="N41" i="16"/>
  <c r="Z41" i="16"/>
  <c r="J41" i="16"/>
  <c r="V41" i="16"/>
  <c r="F24" i="17"/>
  <c r="F42" i="16"/>
  <c r="F6" i="16"/>
  <c r="AI24" i="15"/>
  <c r="AE24" i="15"/>
  <c r="AA24" i="15"/>
  <c r="W24" i="15"/>
  <c r="S24" i="15"/>
  <c r="O24" i="15"/>
  <c r="K24" i="15"/>
  <c r="AK24" i="15"/>
  <c r="AG24" i="15"/>
  <c r="AC24" i="15"/>
  <c r="Y24" i="15"/>
  <c r="U24" i="15"/>
  <c r="Q24" i="15"/>
  <c r="M24" i="15"/>
  <c r="I24" i="15"/>
  <c r="AD24" i="15"/>
  <c r="V24" i="15"/>
  <c r="N24" i="15"/>
  <c r="AJ24" i="15"/>
  <c r="AB24" i="15"/>
  <c r="T24" i="15"/>
  <c r="L24" i="15"/>
  <c r="AH24" i="15"/>
  <c r="Z24" i="15"/>
  <c r="R24" i="15"/>
  <c r="J24" i="15"/>
  <c r="AF24" i="15"/>
  <c r="X24" i="15"/>
  <c r="P24" i="15"/>
  <c r="H24" i="15"/>
  <c r="AJ53" i="15"/>
  <c r="AF53" i="15"/>
  <c r="AB53" i="15"/>
  <c r="X53" i="15"/>
  <c r="T53" i="15"/>
  <c r="P53" i="15"/>
  <c r="L53" i="15"/>
  <c r="H53" i="15"/>
  <c r="AK53" i="15"/>
  <c r="AG53" i="15"/>
  <c r="AC53" i="15"/>
  <c r="Y53" i="15"/>
  <c r="U53" i="15"/>
  <c r="Q53" i="15"/>
  <c r="M53" i="15"/>
  <c r="I53" i="15"/>
  <c r="AD53" i="15"/>
  <c r="V53" i="15"/>
  <c r="N53" i="15"/>
  <c r="AI53" i="15"/>
  <c r="AA53" i="15"/>
  <c r="S53" i="15"/>
  <c r="K53" i="15"/>
  <c r="AH53" i="15"/>
  <c r="Z53" i="15"/>
  <c r="R53" i="15"/>
  <c r="J53" i="15"/>
  <c r="F54" i="15"/>
  <c r="AE53" i="15"/>
  <c r="W53" i="15"/>
  <c r="O53" i="15"/>
  <c r="AK5" i="15"/>
  <c r="AG5" i="15"/>
  <c r="AC5" i="15"/>
  <c r="Y5" i="15"/>
  <c r="U5" i="15"/>
  <c r="Q5" i="15"/>
  <c r="M5" i="15"/>
  <c r="I5" i="15"/>
  <c r="AJ5" i="15"/>
  <c r="AE5" i="15"/>
  <c r="Z5" i="15"/>
  <c r="T5" i="15"/>
  <c r="O5" i="15"/>
  <c r="J5" i="15"/>
  <c r="AI5" i="15"/>
  <c r="N5" i="15"/>
  <c r="AD5" i="15"/>
  <c r="H5" i="15"/>
  <c r="F6" i="15"/>
  <c r="AH5" i="15"/>
  <c r="AB5" i="15"/>
  <c r="W5" i="15"/>
  <c r="R5" i="15"/>
  <c r="L5" i="15"/>
  <c r="AF5" i="15"/>
  <c r="AA5" i="15"/>
  <c r="V5" i="15"/>
  <c r="P5" i="15"/>
  <c r="K5" i="15"/>
  <c r="S5" i="15"/>
  <c r="X5" i="15"/>
  <c r="F34" i="14"/>
  <c r="AK42" i="15" l="1"/>
  <c r="AF42" i="15"/>
  <c r="V42" i="15"/>
  <c r="O54" i="16"/>
  <c r="AI24" i="16"/>
  <c r="AK24" i="16"/>
  <c r="Q54" i="16"/>
  <c r="K42" i="15"/>
  <c r="X42" i="15"/>
  <c r="U42" i="15"/>
  <c r="AA42" i="15"/>
  <c r="AD6" i="17"/>
  <c r="P6" i="17"/>
  <c r="P42" i="15"/>
  <c r="H42" i="15"/>
  <c r="Q42" i="15"/>
  <c r="AG42" i="15"/>
  <c r="R42" i="15"/>
  <c r="AH42" i="15"/>
  <c r="W42" i="15"/>
  <c r="N6" i="17"/>
  <c r="Q6" i="17"/>
  <c r="L42" i="15"/>
  <c r="T42" i="15"/>
  <c r="I42" i="15"/>
  <c r="Y42" i="15"/>
  <c r="J42" i="15"/>
  <c r="Z42" i="15"/>
  <c r="O42" i="15"/>
  <c r="AE42" i="15"/>
  <c r="AG6" i="17"/>
  <c r="AF6" i="17"/>
  <c r="AB42" i="15"/>
  <c r="AJ42" i="15"/>
  <c r="M42" i="15"/>
  <c r="AC42" i="15"/>
  <c r="N42" i="15"/>
  <c r="AD42" i="15"/>
  <c r="S42" i="15"/>
  <c r="M6" i="17"/>
  <c r="W6" i="17"/>
  <c r="AJ24" i="16"/>
  <c r="W24" i="16"/>
  <c r="U24" i="16"/>
  <c r="T24" i="16"/>
  <c r="V24" i="16"/>
  <c r="J6" i="17"/>
  <c r="Z6" i="17"/>
  <c r="U6" i="17"/>
  <c r="S6" i="17"/>
  <c r="AI6" i="17"/>
  <c r="L6" i="17"/>
  <c r="AB6" i="17"/>
  <c r="Y6" i="17"/>
  <c r="R6" i="17"/>
  <c r="AH6" i="17"/>
  <c r="K6" i="17"/>
  <c r="AA6" i="17"/>
  <c r="AC6" i="17"/>
  <c r="T6" i="17"/>
  <c r="AJ6" i="17"/>
  <c r="AK6" i="17"/>
  <c r="V6" i="17"/>
  <c r="I6" i="17"/>
  <c r="O6" i="17"/>
  <c r="AE6" i="17"/>
  <c r="H6" i="17"/>
  <c r="K24" i="16"/>
  <c r="AE24" i="16"/>
  <c r="L24" i="16"/>
  <c r="AB24" i="16"/>
  <c r="M24" i="16"/>
  <c r="AC24" i="16"/>
  <c r="N24" i="16"/>
  <c r="AD24" i="16"/>
  <c r="AA24" i="16"/>
  <c r="S24" i="16"/>
  <c r="P24" i="16"/>
  <c r="AF24" i="16"/>
  <c r="Q24" i="16"/>
  <c r="AG24" i="16"/>
  <c r="R24" i="16"/>
  <c r="AH24" i="16"/>
  <c r="O24" i="16"/>
  <c r="H24" i="16"/>
  <c r="X24" i="16"/>
  <c r="I24" i="16"/>
  <c r="Y24" i="16"/>
  <c r="J24" i="16"/>
  <c r="Z54" i="16"/>
  <c r="AF54" i="16"/>
  <c r="AE54" i="16"/>
  <c r="AG54" i="16"/>
  <c r="R54" i="16"/>
  <c r="P54" i="16"/>
  <c r="J54" i="16"/>
  <c r="K54" i="16"/>
  <c r="AA54" i="16"/>
  <c r="L54" i="16"/>
  <c r="AB54" i="16"/>
  <c r="M54" i="16"/>
  <c r="AC54" i="16"/>
  <c r="AH54" i="16"/>
  <c r="N54" i="16"/>
  <c r="S54" i="16"/>
  <c r="AI54" i="16"/>
  <c r="T54" i="16"/>
  <c r="AJ54" i="16"/>
  <c r="U54" i="16"/>
  <c r="AK54" i="16"/>
  <c r="V54" i="16"/>
  <c r="AD54" i="16"/>
  <c r="W54" i="16"/>
  <c r="H54" i="16"/>
  <c r="X54" i="16"/>
  <c r="I54" i="16"/>
  <c r="AE43" i="17"/>
  <c r="O43" i="17"/>
  <c r="Z43" i="17"/>
  <c r="J43" i="17"/>
  <c r="Y43" i="17"/>
  <c r="I43" i="17"/>
  <c r="P43" i="17"/>
  <c r="X43" i="17"/>
  <c r="AA43" i="17"/>
  <c r="K43" i="17"/>
  <c r="V43" i="17"/>
  <c r="AK43" i="17"/>
  <c r="U43" i="17"/>
  <c r="AB43" i="17"/>
  <c r="T43" i="17"/>
  <c r="W43" i="17"/>
  <c r="AH43" i="17"/>
  <c r="R43" i="17"/>
  <c r="AG43" i="17"/>
  <c r="Q43" i="17"/>
  <c r="L43" i="17"/>
  <c r="H43" i="17"/>
  <c r="AI43" i="17"/>
  <c r="S43" i="17"/>
  <c r="AD43" i="17"/>
  <c r="N43" i="17"/>
  <c r="AC43" i="17"/>
  <c r="M43" i="17"/>
  <c r="AF43" i="17"/>
  <c r="AJ43" i="17"/>
  <c r="F44" i="17"/>
  <c r="F50" i="16"/>
  <c r="Y49" i="16"/>
  <c r="I49" i="16"/>
  <c r="X49" i="16"/>
  <c r="H49" i="16"/>
  <c r="W49" i="16"/>
  <c r="AH49" i="16"/>
  <c r="Z49" i="16"/>
  <c r="AK49" i="16"/>
  <c r="U49" i="16"/>
  <c r="AJ49" i="16"/>
  <c r="T49" i="16"/>
  <c r="AI49" i="16"/>
  <c r="S49" i="16"/>
  <c r="R49" i="16"/>
  <c r="J49" i="16"/>
  <c r="AG49" i="16"/>
  <c r="Q49" i="16"/>
  <c r="AF49" i="16"/>
  <c r="P49" i="16"/>
  <c r="AE49" i="16"/>
  <c r="O49" i="16"/>
  <c r="AD49" i="16"/>
  <c r="V49" i="16"/>
  <c r="AC49" i="16"/>
  <c r="M49" i="16"/>
  <c r="AB49" i="16"/>
  <c r="L49" i="16"/>
  <c r="AA49" i="16"/>
  <c r="K49" i="16"/>
  <c r="N49" i="16"/>
  <c r="F17" i="15"/>
  <c r="P16" i="15"/>
  <c r="H16" i="15"/>
  <c r="AF16" i="15"/>
  <c r="L16" i="15"/>
  <c r="AB16" i="15"/>
  <c r="X16" i="15"/>
  <c r="T16" i="15"/>
  <c r="AJ16" i="15"/>
  <c r="AH16" i="15"/>
  <c r="I16" i="15"/>
  <c r="Y16" i="15"/>
  <c r="W16" i="15"/>
  <c r="N16" i="15"/>
  <c r="J16" i="15"/>
  <c r="M16" i="15"/>
  <c r="AC16" i="15"/>
  <c r="K16" i="15"/>
  <c r="AA16" i="15"/>
  <c r="V16" i="15"/>
  <c r="R16" i="15"/>
  <c r="Q16" i="15"/>
  <c r="AG16" i="15"/>
  <c r="O16" i="15"/>
  <c r="AE16" i="15"/>
  <c r="AD16" i="15"/>
  <c r="Z16" i="15"/>
  <c r="U16" i="15"/>
  <c r="AK16" i="15"/>
  <c r="S16" i="15"/>
  <c r="AI16" i="15"/>
  <c r="S49" i="15"/>
  <c r="N49" i="15"/>
  <c r="K49" i="15"/>
  <c r="R49" i="15"/>
  <c r="V49" i="15"/>
  <c r="J49" i="15"/>
  <c r="AA49" i="15"/>
  <c r="AH49" i="15"/>
  <c r="AI49" i="15"/>
  <c r="AD49" i="15"/>
  <c r="Z49" i="15"/>
  <c r="AJ49" i="15"/>
  <c r="T49" i="15"/>
  <c r="AK49" i="15"/>
  <c r="U49" i="15"/>
  <c r="O49" i="15"/>
  <c r="AF49" i="15"/>
  <c r="P49" i="15"/>
  <c r="AG49" i="15"/>
  <c r="Q49" i="15"/>
  <c r="W49" i="15"/>
  <c r="AB49" i="15"/>
  <c r="L49" i="15"/>
  <c r="AC49" i="15"/>
  <c r="M49" i="15"/>
  <c r="AE49" i="15"/>
  <c r="X49" i="15"/>
  <c r="H49" i="15"/>
  <c r="Y49" i="15"/>
  <c r="I49" i="15"/>
  <c r="F50" i="15"/>
  <c r="Y10" i="17"/>
  <c r="U10" i="17"/>
  <c r="I10" i="17"/>
  <c r="AK10" i="17"/>
  <c r="AG10" i="17"/>
  <c r="Q10" i="17"/>
  <c r="AF10" i="17"/>
  <c r="P10" i="17"/>
  <c r="AE10" i="17"/>
  <c r="O10" i="17"/>
  <c r="Z10" i="17"/>
  <c r="J10" i="17"/>
  <c r="AC10" i="17"/>
  <c r="AB10" i="17"/>
  <c r="L10" i="17"/>
  <c r="AA10" i="17"/>
  <c r="K10" i="17"/>
  <c r="V10" i="17"/>
  <c r="AJ10" i="17"/>
  <c r="T10" i="17"/>
  <c r="AI10" i="17"/>
  <c r="S10" i="17"/>
  <c r="AD10" i="17"/>
  <c r="N10" i="17"/>
  <c r="M10" i="17"/>
  <c r="H10" i="17"/>
  <c r="W10" i="17"/>
  <c r="AH10" i="17"/>
  <c r="X10" i="17"/>
  <c r="R10" i="17"/>
  <c r="F11" i="17"/>
  <c r="F47" i="15"/>
  <c r="H46" i="15"/>
  <c r="T46" i="15"/>
  <c r="L46" i="15"/>
  <c r="AB46" i="15"/>
  <c r="R46" i="15"/>
  <c r="AJ46" i="15"/>
  <c r="J46" i="15"/>
  <c r="P46" i="15"/>
  <c r="X46" i="15"/>
  <c r="Z46" i="15"/>
  <c r="I46" i="15"/>
  <c r="Y46" i="15"/>
  <c r="AD46" i="15"/>
  <c r="O46" i="15"/>
  <c r="AE46" i="15"/>
  <c r="N46" i="15"/>
  <c r="M46" i="15"/>
  <c r="AC46" i="15"/>
  <c r="AH46" i="15"/>
  <c r="S46" i="15"/>
  <c r="AI46" i="15"/>
  <c r="V46" i="15"/>
  <c r="Q46" i="15"/>
  <c r="AG46" i="15"/>
  <c r="W46" i="15"/>
  <c r="AF46" i="15"/>
  <c r="U46" i="15"/>
  <c r="AK46" i="15"/>
  <c r="K46" i="15"/>
  <c r="AA46" i="15"/>
  <c r="AJ46" i="16"/>
  <c r="T46" i="16"/>
  <c r="W46" i="16"/>
  <c r="AH46" i="16"/>
  <c r="R46" i="16"/>
  <c r="AG46" i="16"/>
  <c r="Q46" i="16"/>
  <c r="H46" i="16"/>
  <c r="L46" i="16"/>
  <c r="AI46" i="16"/>
  <c r="S46" i="16"/>
  <c r="AD46" i="16"/>
  <c r="N46" i="16"/>
  <c r="AC46" i="16"/>
  <c r="M46" i="16"/>
  <c r="P46" i="16"/>
  <c r="X46" i="16"/>
  <c r="AB46" i="16"/>
  <c r="F47" i="16"/>
  <c r="AE46" i="16"/>
  <c r="O46" i="16"/>
  <c r="Z46" i="16"/>
  <c r="J46" i="16"/>
  <c r="Y46" i="16"/>
  <c r="I46" i="16"/>
  <c r="AF46" i="16"/>
  <c r="AA46" i="16"/>
  <c r="K46" i="16"/>
  <c r="V46" i="16"/>
  <c r="AK46" i="16"/>
  <c r="U46" i="16"/>
  <c r="Y46" i="17"/>
  <c r="I46" i="17"/>
  <c r="X46" i="17"/>
  <c r="H46" i="17"/>
  <c r="R46" i="17"/>
  <c r="O46" i="17"/>
  <c r="K46" i="17"/>
  <c r="AK46" i="17"/>
  <c r="U46" i="17"/>
  <c r="AJ46" i="17"/>
  <c r="T46" i="17"/>
  <c r="AI46" i="17"/>
  <c r="J46" i="17"/>
  <c r="AD46" i="17"/>
  <c r="S46" i="17"/>
  <c r="AG46" i="17"/>
  <c r="Q46" i="17"/>
  <c r="AF46" i="17"/>
  <c r="P46" i="17"/>
  <c r="AH46" i="17"/>
  <c r="AE46" i="17"/>
  <c r="V46" i="17"/>
  <c r="AA46" i="17"/>
  <c r="AC46" i="17"/>
  <c r="M46" i="17"/>
  <c r="AB46" i="17"/>
  <c r="L46" i="17"/>
  <c r="Z46" i="17"/>
  <c r="W46" i="17"/>
  <c r="N46" i="17"/>
  <c r="F47" i="17"/>
  <c r="AE49" i="17"/>
  <c r="O49" i="17"/>
  <c r="Z49" i="17"/>
  <c r="J49" i="17"/>
  <c r="Y49" i="17"/>
  <c r="I49" i="17"/>
  <c r="T49" i="17"/>
  <c r="AB49" i="17"/>
  <c r="AA49" i="17"/>
  <c r="K49" i="17"/>
  <c r="V49" i="17"/>
  <c r="AK49" i="17"/>
  <c r="U49" i="17"/>
  <c r="X49" i="17"/>
  <c r="AF49" i="17"/>
  <c r="W49" i="17"/>
  <c r="AH49" i="17"/>
  <c r="R49" i="17"/>
  <c r="AG49" i="17"/>
  <c r="Q49" i="17"/>
  <c r="H49" i="17"/>
  <c r="P49" i="17"/>
  <c r="AI49" i="17"/>
  <c r="S49" i="17"/>
  <c r="AD49" i="17"/>
  <c r="N49" i="17"/>
  <c r="AC49" i="17"/>
  <c r="M49" i="17"/>
  <c r="AJ49" i="17"/>
  <c r="L49" i="17"/>
  <c r="F50" i="17"/>
  <c r="AA7" i="15"/>
  <c r="AE7" i="15"/>
  <c r="Z7" i="15"/>
  <c r="AD7" i="15"/>
  <c r="T7" i="15"/>
  <c r="S7" i="15"/>
  <c r="V7" i="15"/>
  <c r="AI7" i="15"/>
  <c r="P7" i="15"/>
  <c r="K7" i="15"/>
  <c r="O7" i="15"/>
  <c r="N7" i="15"/>
  <c r="AF7" i="15"/>
  <c r="AJ7" i="15"/>
  <c r="H7" i="15"/>
  <c r="X7" i="15"/>
  <c r="J7" i="15"/>
  <c r="Y7" i="15"/>
  <c r="I7" i="15"/>
  <c r="AB7" i="15"/>
  <c r="AK7" i="15"/>
  <c r="U7" i="15"/>
  <c r="L7" i="15"/>
  <c r="AH7" i="15"/>
  <c r="AG7" i="15"/>
  <c r="Q7" i="15"/>
  <c r="R7" i="15"/>
  <c r="F8" i="15"/>
  <c r="AC7" i="15"/>
  <c r="M7" i="15"/>
  <c r="W7" i="15"/>
  <c r="R43" i="15"/>
  <c r="J43" i="15"/>
  <c r="X43" i="15"/>
  <c r="AB43" i="15"/>
  <c r="Z43" i="15"/>
  <c r="AD43" i="15"/>
  <c r="P43" i="15"/>
  <c r="T43" i="15"/>
  <c r="N43" i="15"/>
  <c r="AH43" i="15"/>
  <c r="AF43" i="15"/>
  <c r="AJ43" i="15"/>
  <c r="V43" i="15"/>
  <c r="H43" i="15"/>
  <c r="I43" i="15"/>
  <c r="Y43" i="15"/>
  <c r="K43" i="15"/>
  <c r="AA43" i="15"/>
  <c r="L43" i="15"/>
  <c r="M43" i="15"/>
  <c r="AC43" i="15"/>
  <c r="O43" i="15"/>
  <c r="AE43" i="15"/>
  <c r="Q43" i="15"/>
  <c r="AG43" i="15"/>
  <c r="S43" i="15"/>
  <c r="AI43" i="15"/>
  <c r="F44" i="15"/>
  <c r="U43" i="15"/>
  <c r="AK43" i="15"/>
  <c r="W43" i="15"/>
  <c r="F17" i="16"/>
  <c r="AK16" i="17"/>
  <c r="F17" i="17"/>
  <c r="AC16" i="17"/>
  <c r="Q16" i="17"/>
  <c r="AG16" i="17"/>
  <c r="M16" i="17"/>
  <c r="AJ16" i="17"/>
  <c r="T16" i="17"/>
  <c r="AI16" i="17"/>
  <c r="S16" i="17"/>
  <c r="AD16" i="17"/>
  <c r="N16" i="17"/>
  <c r="Y16" i="17"/>
  <c r="U16" i="17"/>
  <c r="AF16" i="17"/>
  <c r="P16" i="17"/>
  <c r="AE16" i="17"/>
  <c r="O16" i="17"/>
  <c r="Z16" i="17"/>
  <c r="J16" i="17"/>
  <c r="X16" i="17"/>
  <c r="H16" i="17"/>
  <c r="W16" i="17"/>
  <c r="AH16" i="17"/>
  <c r="R16" i="17"/>
  <c r="I16" i="17"/>
  <c r="AA16" i="17"/>
  <c r="K16" i="17"/>
  <c r="AB16" i="17"/>
  <c r="V16" i="17"/>
  <c r="L16" i="17"/>
  <c r="F8" i="16"/>
  <c r="E156" i="18"/>
  <c r="E157" i="18" s="1"/>
  <c r="E141" i="18"/>
  <c r="E142" i="18" s="1"/>
  <c r="E143" i="18" s="1"/>
  <c r="E144" i="18" s="1"/>
  <c r="E145" i="18" s="1"/>
  <c r="E146" i="18" s="1"/>
  <c r="E147" i="18" s="1"/>
  <c r="E148" i="18" s="1"/>
  <c r="E149" i="18" s="1"/>
  <c r="E150" i="18" s="1"/>
  <c r="E151" i="18" s="1"/>
  <c r="E152" i="18" s="1"/>
  <c r="E153" i="18" s="1"/>
  <c r="E154" i="18" s="1"/>
  <c r="E155" i="18" s="1"/>
  <c r="T19" i="15"/>
  <c r="P19" i="15"/>
  <c r="J19" i="15"/>
  <c r="N19" i="15"/>
  <c r="F20" i="15"/>
  <c r="L19" i="15"/>
  <c r="H19" i="15"/>
  <c r="Z19" i="15"/>
  <c r="AD19" i="15"/>
  <c r="AJ19" i="15"/>
  <c r="AF19" i="15"/>
  <c r="V19" i="15"/>
  <c r="AB19" i="15"/>
  <c r="X19" i="15"/>
  <c r="AH19" i="15"/>
  <c r="I19" i="15"/>
  <c r="Y19" i="15"/>
  <c r="K19" i="15"/>
  <c r="AA19" i="15"/>
  <c r="R19" i="15"/>
  <c r="M19" i="15"/>
  <c r="AC19" i="15"/>
  <c r="O19" i="15"/>
  <c r="AE19" i="15"/>
  <c r="Q19" i="15"/>
  <c r="AG19" i="15"/>
  <c r="S19" i="15"/>
  <c r="AI19" i="15"/>
  <c r="U19" i="15"/>
  <c r="AK19" i="15"/>
  <c r="W19" i="15"/>
  <c r="AH43" i="16"/>
  <c r="AD43" i="16"/>
  <c r="N43" i="16"/>
  <c r="Z43" i="16"/>
  <c r="AC43" i="16"/>
  <c r="M43" i="16"/>
  <c r="AB43" i="16"/>
  <c r="L43" i="16"/>
  <c r="AA43" i="16"/>
  <c r="K43" i="16"/>
  <c r="Y43" i="16"/>
  <c r="I43" i="16"/>
  <c r="X43" i="16"/>
  <c r="H43" i="16"/>
  <c r="W43" i="16"/>
  <c r="AK43" i="16"/>
  <c r="U43" i="16"/>
  <c r="AJ43" i="16"/>
  <c r="T43" i="16"/>
  <c r="AI43" i="16"/>
  <c r="S43" i="16"/>
  <c r="J43" i="16"/>
  <c r="R43" i="16"/>
  <c r="AG43" i="16"/>
  <c r="Q43" i="16"/>
  <c r="AF43" i="16"/>
  <c r="P43" i="16"/>
  <c r="AE43" i="16"/>
  <c r="O43" i="16"/>
  <c r="V43" i="16"/>
  <c r="F44" i="16"/>
  <c r="F726" i="11"/>
  <c r="F721" i="11"/>
  <c r="F722" i="11" s="1"/>
  <c r="F723" i="11" s="1"/>
  <c r="F724" i="11" s="1"/>
  <c r="F725" i="11" s="1"/>
  <c r="F684" i="11"/>
  <c r="F685" i="11" s="1"/>
  <c r="F686" i="11" s="1"/>
  <c r="F687" i="11" s="1"/>
  <c r="F688" i="11" s="1"/>
  <c r="F689" i="11" s="1"/>
  <c r="F679" i="11"/>
  <c r="F680" i="11" s="1"/>
  <c r="F681" i="11" s="1"/>
  <c r="F682" i="11" s="1"/>
  <c r="F683" i="11" s="1"/>
  <c r="F643" i="11"/>
  <c r="F644" i="11" s="1"/>
  <c r="F645" i="11" s="1"/>
  <c r="F646" i="11" s="1"/>
  <c r="F647" i="11" s="1"/>
  <c r="F648" i="11"/>
  <c r="F649" i="11" s="1"/>
  <c r="F650" i="11" s="1"/>
  <c r="F651" i="11" s="1"/>
  <c r="F652" i="11" s="1"/>
  <c r="F653" i="11" s="1"/>
  <c r="D672" i="11"/>
  <c r="D673" i="11" s="1"/>
  <c r="D674" i="11" s="1"/>
  <c r="D675" i="11" s="1"/>
  <c r="D676" i="11" s="1"/>
  <c r="D677" i="11" s="1"/>
  <c r="D678" i="11" s="1"/>
  <c r="D679" i="11" s="1"/>
  <c r="D680" i="11" s="1"/>
  <c r="D669" i="11"/>
  <c r="D670" i="11" s="1"/>
  <c r="D671" i="11" s="1"/>
  <c r="F387" i="11"/>
  <c r="F385" i="11"/>
  <c r="F386" i="11" s="1"/>
  <c r="D264" i="11"/>
  <c r="D265" i="11" s="1"/>
  <c r="D266" i="11" s="1"/>
  <c r="D267" i="11" s="1"/>
  <c r="D268" i="11" s="1"/>
  <c r="D269" i="11" s="1"/>
  <c r="F324" i="11"/>
  <c r="F325" i="11" s="1"/>
  <c r="F326" i="11" s="1"/>
  <c r="F327" i="11" s="1"/>
  <c r="F328" i="11" s="1"/>
  <c r="F329" i="11" s="1"/>
  <c r="F319" i="11"/>
  <c r="F320" i="11" s="1"/>
  <c r="F321" i="11" s="1"/>
  <c r="F322" i="11" s="1"/>
  <c r="F323" i="11" s="1"/>
  <c r="D336" i="11"/>
  <c r="D337" i="11" s="1"/>
  <c r="D338" i="11" s="1"/>
  <c r="D339" i="11" s="1"/>
  <c r="D340" i="11" s="1"/>
  <c r="D341" i="11" s="1"/>
  <c r="D342" i="11" s="1"/>
  <c r="D343" i="11" s="1"/>
  <c r="D344" i="11" s="1"/>
  <c r="F252" i="11"/>
  <c r="F253" i="11" s="1"/>
  <c r="F254" i="11" s="1"/>
  <c r="F255" i="11" s="1"/>
  <c r="F256" i="11" s="1"/>
  <c r="F257" i="11" s="1"/>
  <c r="F247" i="11"/>
  <c r="F248" i="11" s="1"/>
  <c r="F249" i="11" s="1"/>
  <c r="F250" i="11" s="1"/>
  <c r="F251" i="11" s="1"/>
  <c r="F274" i="11"/>
  <c r="F275" i="11" s="1"/>
  <c r="F276" i="11"/>
  <c r="F166" i="11"/>
  <c r="F167" i="11" s="1"/>
  <c r="F168" i="11"/>
  <c r="C51" i="11"/>
  <c r="C52" i="11" s="1"/>
  <c r="C53" i="11" s="1"/>
  <c r="C54" i="11" s="1"/>
  <c r="C55" i="11" s="1"/>
  <c r="C56" i="11" s="1"/>
  <c r="C57" i="11" s="1"/>
  <c r="C58" i="11" s="1"/>
  <c r="C59" i="11" s="1"/>
  <c r="C60" i="11" s="1"/>
  <c r="C61" i="11" s="1"/>
  <c r="C62" i="11" s="1"/>
  <c r="C63" i="11" s="1"/>
  <c r="C64" i="11" s="1"/>
  <c r="C65" i="11" s="1"/>
  <c r="C66" i="11" s="1"/>
  <c r="C67" i="11" s="1"/>
  <c r="C68" i="11" s="1"/>
  <c r="C69" i="11" s="1"/>
  <c r="C70" i="11" s="1"/>
  <c r="C71" i="11" s="1"/>
  <c r="C72" i="11" s="1"/>
  <c r="C73" i="11" s="1"/>
  <c r="C74" i="11" s="1"/>
  <c r="C75" i="11" s="1"/>
  <c r="C76" i="11" s="1"/>
  <c r="C77" i="11" s="1"/>
  <c r="C78" i="11" s="1"/>
  <c r="C79" i="11" s="1"/>
  <c r="C80" i="11" s="1"/>
  <c r="C81" i="11" s="1"/>
  <c r="C82" i="11" s="1"/>
  <c r="C83" i="11" s="1"/>
  <c r="C84" i="11" s="1"/>
  <c r="C85" i="11" s="1"/>
  <c r="C86" i="11" s="1"/>
  <c r="C87" i="11" s="1"/>
  <c r="C88" i="11" s="1"/>
  <c r="C89" i="11" s="1"/>
  <c r="C90" i="11" s="1"/>
  <c r="C91" i="11" s="1"/>
  <c r="C92" i="11" s="1"/>
  <c r="C93" i="11" s="1"/>
  <c r="C94" i="11" s="1"/>
  <c r="C95" i="11" s="1"/>
  <c r="C96" i="11" s="1"/>
  <c r="C97" i="11" s="1"/>
  <c r="C98" i="11" s="1"/>
  <c r="C99" i="11" s="1"/>
  <c r="C100" i="11" s="1"/>
  <c r="C101" i="11" s="1"/>
  <c r="C102" i="11" s="1"/>
  <c r="C103" i="11" s="1"/>
  <c r="C104" i="11" s="1"/>
  <c r="C105" i="11" s="1"/>
  <c r="C106" i="11" s="1"/>
  <c r="C107" i="11" s="1"/>
  <c r="C108" i="11" s="1"/>
  <c r="C109" i="11" s="1"/>
  <c r="C110" i="11" s="1"/>
  <c r="C111" i="11" s="1"/>
  <c r="C112" i="11" s="1"/>
  <c r="C113" i="11" s="1"/>
  <c r="C114" i="11" s="1"/>
  <c r="C115" i="11" s="1"/>
  <c r="C116" i="11" s="1"/>
  <c r="C117" i="11" s="1"/>
  <c r="C118" i="11" s="1"/>
  <c r="C119" i="11" s="1"/>
  <c r="C120" i="11" s="1"/>
  <c r="C121" i="11" s="1"/>
  <c r="C122" i="11" s="1"/>
  <c r="C123" i="11" s="1"/>
  <c r="C124" i="11" s="1"/>
  <c r="C125" i="11" s="1"/>
  <c r="C126" i="11" s="1"/>
  <c r="C127" i="11" s="1"/>
  <c r="C128" i="11" s="1"/>
  <c r="C129" i="11" s="1"/>
  <c r="C130" i="11" s="1"/>
  <c r="C131" i="11" s="1"/>
  <c r="C132" i="11" s="1"/>
  <c r="C133" i="11" s="1"/>
  <c r="C134" i="11" s="1"/>
  <c r="C135" i="11" s="1"/>
  <c r="C136" i="11" s="1"/>
  <c r="C137" i="11" s="1"/>
  <c r="C138" i="11" s="1"/>
  <c r="C139" i="11" s="1"/>
  <c r="C140" i="11" s="1"/>
  <c r="C141" i="11" s="1"/>
  <c r="C142" i="11" s="1"/>
  <c r="C143" i="11" s="1"/>
  <c r="C144" i="11" s="1"/>
  <c r="C145" i="11" s="1"/>
  <c r="C146" i="11" s="1"/>
  <c r="C147" i="11" s="1"/>
  <c r="C148" i="11" s="1"/>
  <c r="C149" i="11" s="1"/>
  <c r="C150" i="11" s="1"/>
  <c r="C151" i="11" s="1"/>
  <c r="C152" i="11" s="1"/>
  <c r="C153" i="11" s="1"/>
  <c r="C154" i="11" s="1"/>
  <c r="C155" i="11" s="1"/>
  <c r="C156" i="11" s="1"/>
  <c r="C157" i="11" s="1"/>
  <c r="C158" i="11" s="1"/>
  <c r="C159" i="11" s="1"/>
  <c r="C160" i="11" s="1"/>
  <c r="C161" i="11" s="1"/>
  <c r="C162" i="11" s="1"/>
  <c r="C163" i="11" s="1"/>
  <c r="C164" i="11" s="1"/>
  <c r="C165" i="11" s="1"/>
  <c r="C166" i="11" s="1"/>
  <c r="C167" i="11" s="1"/>
  <c r="C168" i="11" s="1"/>
  <c r="C169" i="11" s="1"/>
  <c r="C170" i="11" s="1"/>
  <c r="C171" i="11" s="1"/>
  <c r="C172" i="11" s="1"/>
  <c r="C173" i="11" s="1"/>
  <c r="C174" i="11" s="1"/>
  <c r="C175" i="11" s="1"/>
  <c r="C176" i="11" s="1"/>
  <c r="C177" i="11" s="1"/>
  <c r="C178" i="11" s="1"/>
  <c r="C179" i="11" s="1"/>
  <c r="C180" i="11" s="1"/>
  <c r="C181" i="11" s="1"/>
  <c r="C182" i="11" s="1"/>
  <c r="C183" i="11" s="1"/>
  <c r="C184" i="11" s="1"/>
  <c r="C185" i="11" s="1"/>
  <c r="C186" i="11" s="1"/>
  <c r="C187" i="11" s="1"/>
  <c r="C188" i="11" s="1"/>
  <c r="C189" i="11" s="1"/>
  <c r="C190" i="11" s="1"/>
  <c r="C191" i="11" s="1"/>
  <c r="C192" i="11" s="1"/>
  <c r="C193" i="11" s="1"/>
  <c r="C194" i="11" s="1"/>
  <c r="C195" i="11" s="1"/>
  <c r="C196" i="11" s="1"/>
  <c r="C197" i="11" s="1"/>
  <c r="C198" i="11" s="1"/>
  <c r="C199" i="11" s="1"/>
  <c r="C200" i="11" s="1"/>
  <c r="C201" i="11" s="1"/>
  <c r="C202" i="11" s="1"/>
  <c r="C203" i="11" s="1"/>
  <c r="C204" i="11" s="1"/>
  <c r="C205" i="11" s="1"/>
  <c r="C206" i="11" s="1"/>
  <c r="C207" i="11" s="1"/>
  <c r="C208" i="11" s="1"/>
  <c r="C209" i="11" s="1"/>
  <c r="C210" i="11" s="1"/>
  <c r="C211" i="11" s="1"/>
  <c r="C212" i="11" s="1"/>
  <c r="C213" i="11" s="1"/>
  <c r="C214" i="11" s="1"/>
  <c r="C215" i="11" s="1"/>
  <c r="C216" i="11" s="1"/>
  <c r="C217" i="11" s="1"/>
  <c r="C218" i="11" s="1"/>
  <c r="C219" i="11" s="1"/>
  <c r="C220" i="11" s="1"/>
  <c r="C221" i="11" s="1"/>
  <c r="C222" i="11" s="1"/>
  <c r="C223" i="11" s="1"/>
  <c r="C224" i="11" s="1"/>
  <c r="C225" i="11" s="1"/>
  <c r="C226" i="11" s="1"/>
  <c r="C227" i="11" s="1"/>
  <c r="C228" i="11" s="1"/>
  <c r="C229" i="11" s="1"/>
  <c r="C230" i="11" s="1"/>
  <c r="C231" i="11" s="1"/>
  <c r="C232" i="11" s="1"/>
  <c r="C233" i="11" s="1"/>
  <c r="C234" i="11" s="1"/>
  <c r="C235" i="11" s="1"/>
  <c r="C236" i="11" s="1"/>
  <c r="C237" i="11" s="1"/>
  <c r="C238" i="11" s="1"/>
  <c r="C239" i="11" s="1"/>
  <c r="C240" i="11" s="1"/>
  <c r="C241" i="11" s="1"/>
  <c r="C242" i="11" s="1"/>
  <c r="C243" i="11" s="1"/>
  <c r="C244" i="11" s="1"/>
  <c r="C245" i="11" s="1"/>
  <c r="C246" i="11" s="1"/>
  <c r="C247" i="11" s="1"/>
  <c r="C248" i="11" s="1"/>
  <c r="C249" i="11" s="1"/>
  <c r="C250" i="11" s="1"/>
  <c r="C251" i="11" s="1"/>
  <c r="C252" i="11" s="1"/>
  <c r="C253" i="11" s="1"/>
  <c r="C254" i="11" s="1"/>
  <c r="C255" i="11" s="1"/>
  <c r="C256" i="11" s="1"/>
  <c r="C257" i="11" s="1"/>
  <c r="C258" i="11" s="1"/>
  <c r="C259" i="11" s="1"/>
  <c r="C260" i="11" s="1"/>
  <c r="F81" i="11"/>
  <c r="F79" i="11"/>
  <c r="F80" i="11" s="1"/>
  <c r="E64" i="18"/>
  <c r="E65" i="18" s="1"/>
  <c r="E66" i="18" s="1"/>
  <c r="E67" i="18" s="1"/>
  <c r="E68" i="18" s="1"/>
  <c r="E69" i="18" s="1"/>
  <c r="E70" i="18" s="1"/>
  <c r="E71" i="18" s="1"/>
  <c r="E72" i="18" s="1"/>
  <c r="E73" i="18" s="1"/>
  <c r="E74" i="18" s="1"/>
  <c r="E75" i="18"/>
  <c r="E28" i="18"/>
  <c r="E29" i="18" s="1"/>
  <c r="E30" i="18" s="1"/>
  <c r="E31" i="18" s="1"/>
  <c r="E32" i="18" s="1"/>
  <c r="E33" i="18"/>
  <c r="E34" i="18" s="1"/>
  <c r="E35" i="18" s="1"/>
  <c r="AK24" i="17"/>
  <c r="AG24" i="17"/>
  <c r="AC24" i="17"/>
  <c r="Y24" i="17"/>
  <c r="U24" i="17"/>
  <c r="Q24" i="17"/>
  <c r="M24" i="17"/>
  <c r="I24" i="17"/>
  <c r="AH24" i="17"/>
  <c r="AD24" i="17"/>
  <c r="Z24" i="17"/>
  <c r="V24" i="17"/>
  <c r="R24" i="17"/>
  <c r="N24" i="17"/>
  <c r="J24" i="17"/>
  <c r="AI24" i="17"/>
  <c r="AA24" i="17"/>
  <c r="S24" i="17"/>
  <c r="K24" i="17"/>
  <c r="AF24" i="17"/>
  <c r="X24" i="17"/>
  <c r="P24" i="17"/>
  <c r="H24" i="17"/>
  <c r="AE24" i="17"/>
  <c r="W24" i="17"/>
  <c r="O24" i="17"/>
  <c r="AB24" i="17"/>
  <c r="T24" i="17"/>
  <c r="L24" i="17"/>
  <c r="AJ24" i="17"/>
  <c r="AI42" i="16"/>
  <c r="AE42" i="16"/>
  <c r="AA42" i="16"/>
  <c r="W42" i="16"/>
  <c r="S42" i="16"/>
  <c r="O42" i="16"/>
  <c r="K42" i="16"/>
  <c r="AH42" i="16"/>
  <c r="AD42" i="16"/>
  <c r="Z42" i="16"/>
  <c r="V42" i="16"/>
  <c r="R42" i="16"/>
  <c r="N42" i="16"/>
  <c r="J42" i="16"/>
  <c r="AK42" i="16"/>
  <c r="AG42" i="16"/>
  <c r="AC42" i="16"/>
  <c r="Y42" i="16"/>
  <c r="U42" i="16"/>
  <c r="Q42" i="16"/>
  <c r="M42" i="16"/>
  <c r="I42" i="16"/>
  <c r="AJ42" i="16"/>
  <c r="T42" i="16"/>
  <c r="AF42" i="16"/>
  <c r="P42" i="16"/>
  <c r="AB42" i="16"/>
  <c r="L42" i="16"/>
  <c r="X42" i="16"/>
  <c r="H42" i="16"/>
  <c r="AJ54" i="15"/>
  <c r="AF54" i="15"/>
  <c r="AB54" i="15"/>
  <c r="X54" i="15"/>
  <c r="T54" i="15"/>
  <c r="P54" i="15"/>
  <c r="L54" i="15"/>
  <c r="H54" i="15"/>
  <c r="AK54" i="15"/>
  <c r="AG54" i="15"/>
  <c r="AC54" i="15"/>
  <c r="Y54" i="15"/>
  <c r="U54" i="15"/>
  <c r="Q54" i="15"/>
  <c r="M54" i="15"/>
  <c r="I54" i="15"/>
  <c r="AD54" i="15"/>
  <c r="V54" i="15"/>
  <c r="N54" i="15"/>
  <c r="AI54" i="15"/>
  <c r="AA54" i="15"/>
  <c r="S54" i="15"/>
  <c r="K54" i="15"/>
  <c r="AH54" i="15"/>
  <c r="Z54" i="15"/>
  <c r="R54" i="15"/>
  <c r="J54" i="15"/>
  <c r="AE54" i="15"/>
  <c r="W54" i="15"/>
  <c r="O54" i="15"/>
  <c r="AK6" i="15"/>
  <c r="AG6" i="15"/>
  <c r="AC6" i="15"/>
  <c r="Y6" i="15"/>
  <c r="U6" i="15"/>
  <c r="Q6" i="15"/>
  <c r="M6" i="15"/>
  <c r="I6" i="15"/>
  <c r="AJ6" i="15"/>
  <c r="AE6" i="15"/>
  <c r="Z6" i="15"/>
  <c r="T6" i="15"/>
  <c r="O6" i="15"/>
  <c r="J6" i="15"/>
  <c r="AD6" i="15"/>
  <c r="N6" i="15"/>
  <c r="AH6" i="15"/>
  <c r="AB6" i="15"/>
  <c r="W6" i="15"/>
  <c r="R6" i="15"/>
  <c r="L6" i="15"/>
  <c r="AI6" i="15"/>
  <c r="X6" i="15"/>
  <c r="S6" i="15"/>
  <c r="H6" i="15"/>
  <c r="AF6" i="15"/>
  <c r="AA6" i="15"/>
  <c r="V6" i="15"/>
  <c r="P6" i="15"/>
  <c r="K6" i="15"/>
  <c r="F35" i="14"/>
  <c r="AE47" i="17" l="1"/>
  <c r="O47" i="17"/>
  <c r="Z47" i="17"/>
  <c r="J47" i="17"/>
  <c r="Y47" i="17"/>
  <c r="I47" i="17"/>
  <c r="P47" i="17"/>
  <c r="X47" i="17"/>
  <c r="AA47" i="17"/>
  <c r="K47" i="17"/>
  <c r="V47" i="17"/>
  <c r="AK47" i="17"/>
  <c r="U47" i="17"/>
  <c r="AJ47" i="17"/>
  <c r="AB47" i="17"/>
  <c r="AI47" i="17"/>
  <c r="S47" i="17"/>
  <c r="AD47" i="17"/>
  <c r="N47" i="17"/>
  <c r="AC47" i="17"/>
  <c r="M47" i="17"/>
  <c r="AF47" i="17"/>
  <c r="H47" i="17"/>
  <c r="W47" i="17"/>
  <c r="Q47" i="17"/>
  <c r="AH47" i="17"/>
  <c r="T47" i="17"/>
  <c r="AG47" i="17"/>
  <c r="R47" i="17"/>
  <c r="F48" i="17"/>
  <c r="L47" i="17"/>
  <c r="AE47" i="15"/>
  <c r="O47" i="15"/>
  <c r="Z47" i="15"/>
  <c r="J47" i="15"/>
  <c r="Y47" i="15"/>
  <c r="I47" i="15"/>
  <c r="T47" i="15"/>
  <c r="AJ47" i="15"/>
  <c r="AA47" i="15"/>
  <c r="K47" i="15"/>
  <c r="V47" i="15"/>
  <c r="F48" i="15"/>
  <c r="U47" i="15"/>
  <c r="AF47" i="15"/>
  <c r="P47" i="15"/>
  <c r="AK47" i="15"/>
  <c r="W47" i="15"/>
  <c r="AH47" i="15"/>
  <c r="R47" i="15"/>
  <c r="AG47" i="15"/>
  <c r="Q47" i="15"/>
  <c r="AB47" i="15"/>
  <c r="L47" i="15"/>
  <c r="AI47" i="15"/>
  <c r="S47" i="15"/>
  <c r="AD47" i="15"/>
  <c r="N47" i="15"/>
  <c r="AC47" i="15"/>
  <c r="M47" i="15"/>
  <c r="X47" i="15"/>
  <c r="H47" i="15"/>
  <c r="AJ50" i="15"/>
  <c r="T50" i="15"/>
  <c r="AK50" i="15"/>
  <c r="U50" i="15"/>
  <c r="AD50" i="15"/>
  <c r="S50" i="15"/>
  <c r="R50" i="15"/>
  <c r="W50" i="15"/>
  <c r="AF50" i="15"/>
  <c r="P50" i="15"/>
  <c r="AG50" i="15"/>
  <c r="Q50" i="15"/>
  <c r="V50" i="15"/>
  <c r="K50" i="15"/>
  <c r="J50" i="15"/>
  <c r="O50" i="15"/>
  <c r="X50" i="15"/>
  <c r="Y50" i="15"/>
  <c r="AA50" i="15"/>
  <c r="AE50" i="15"/>
  <c r="L50" i="15"/>
  <c r="M50" i="15"/>
  <c r="AH50" i="15"/>
  <c r="N50" i="15"/>
  <c r="H50" i="15"/>
  <c r="I50" i="15"/>
  <c r="Z50" i="15"/>
  <c r="AB50" i="15"/>
  <c r="AC50" i="15"/>
  <c r="AI50" i="15"/>
  <c r="F51" i="15"/>
  <c r="AE50" i="16"/>
  <c r="O50" i="16"/>
  <c r="Z50" i="16"/>
  <c r="J50" i="16"/>
  <c r="Y50" i="16"/>
  <c r="I50" i="16"/>
  <c r="P50" i="16"/>
  <c r="H50" i="16"/>
  <c r="AA50" i="16"/>
  <c r="K50" i="16"/>
  <c r="V50" i="16"/>
  <c r="AK50" i="16"/>
  <c r="U50" i="16"/>
  <c r="AJ50" i="16"/>
  <c r="AB50" i="16"/>
  <c r="W50" i="16"/>
  <c r="R50" i="16"/>
  <c r="Q50" i="16"/>
  <c r="L50" i="16"/>
  <c r="F51" i="16"/>
  <c r="S50" i="16"/>
  <c r="N50" i="16"/>
  <c r="M50" i="16"/>
  <c r="X50" i="16"/>
  <c r="AH50" i="16"/>
  <c r="AG50" i="16"/>
  <c r="T50" i="16"/>
  <c r="AI50" i="16"/>
  <c r="AD50" i="16"/>
  <c r="AC50" i="16"/>
  <c r="AF50" i="16"/>
  <c r="F9" i="16"/>
  <c r="F18" i="16"/>
  <c r="AG8" i="15"/>
  <c r="Q8" i="15"/>
  <c r="AE8" i="15"/>
  <c r="J8" i="15"/>
  <c r="F9" i="15"/>
  <c r="R8" i="15"/>
  <c r="AA8" i="15"/>
  <c r="AD8" i="15"/>
  <c r="AC8" i="15"/>
  <c r="M8" i="15"/>
  <c r="Z8" i="15"/>
  <c r="AI8" i="15"/>
  <c r="AH8" i="15"/>
  <c r="L8" i="15"/>
  <c r="V8" i="15"/>
  <c r="S8" i="15"/>
  <c r="I8" i="15"/>
  <c r="N8" i="15"/>
  <c r="H8" i="15"/>
  <c r="AB8" i="15"/>
  <c r="AK8" i="15"/>
  <c r="AJ8" i="15"/>
  <c r="X8" i="15"/>
  <c r="AF8" i="15"/>
  <c r="T8" i="15"/>
  <c r="U8" i="15"/>
  <c r="O8" i="15"/>
  <c r="W8" i="15"/>
  <c r="K8" i="15"/>
  <c r="Y8" i="15"/>
  <c r="P8" i="15"/>
  <c r="Y50" i="17"/>
  <c r="I50" i="17"/>
  <c r="X50" i="17"/>
  <c r="H50" i="17"/>
  <c r="W50" i="17"/>
  <c r="Z50" i="17"/>
  <c r="R50" i="17"/>
  <c r="AK50" i="17"/>
  <c r="U50" i="17"/>
  <c r="AJ50" i="17"/>
  <c r="T50" i="17"/>
  <c r="AI50" i="17"/>
  <c r="S50" i="17"/>
  <c r="J50" i="17"/>
  <c r="N50" i="17"/>
  <c r="AC50" i="17"/>
  <c r="M50" i="17"/>
  <c r="AB50" i="17"/>
  <c r="L50" i="17"/>
  <c r="AA50" i="17"/>
  <c r="K50" i="17"/>
  <c r="AH50" i="17"/>
  <c r="Q50" i="17"/>
  <c r="O50" i="17"/>
  <c r="AF50" i="17"/>
  <c r="V50" i="17"/>
  <c r="F51" i="17"/>
  <c r="AG50" i="17"/>
  <c r="AE50" i="17"/>
  <c r="AD50" i="17"/>
  <c r="P50" i="17"/>
  <c r="F12" i="17"/>
  <c r="Z11" i="17"/>
  <c r="J11" i="17"/>
  <c r="Y11" i="17"/>
  <c r="I11" i="17"/>
  <c r="X11" i="17"/>
  <c r="H11" i="17"/>
  <c r="AA11" i="17"/>
  <c r="V11" i="17"/>
  <c r="AK11" i="17"/>
  <c r="U11" i="17"/>
  <c r="AJ11" i="17"/>
  <c r="T11" i="17"/>
  <c r="AE11" i="17"/>
  <c r="K11" i="17"/>
  <c r="AD11" i="17"/>
  <c r="N11" i="17"/>
  <c r="AC11" i="17"/>
  <c r="M11" i="17"/>
  <c r="AB11" i="17"/>
  <c r="L11" i="17"/>
  <c r="AI11" i="17"/>
  <c r="S11" i="17"/>
  <c r="AH11" i="17"/>
  <c r="AF11" i="17"/>
  <c r="R11" i="17"/>
  <c r="P11" i="17"/>
  <c r="Q11" i="17"/>
  <c r="W11" i="17"/>
  <c r="O11" i="17"/>
  <c r="AG11" i="17"/>
  <c r="AJ17" i="15"/>
  <c r="X17" i="15"/>
  <c r="H17" i="15"/>
  <c r="AF17" i="15"/>
  <c r="L17" i="15"/>
  <c r="AI17" i="15"/>
  <c r="S17" i="15"/>
  <c r="AG17" i="15"/>
  <c r="Q17" i="15"/>
  <c r="V17" i="15"/>
  <c r="R17" i="15"/>
  <c r="P17" i="15"/>
  <c r="T17" i="15"/>
  <c r="AE17" i="15"/>
  <c r="O17" i="15"/>
  <c r="AC17" i="15"/>
  <c r="M17" i="15"/>
  <c r="AD17" i="15"/>
  <c r="Z17" i="15"/>
  <c r="AB17" i="15"/>
  <c r="AA17" i="15"/>
  <c r="K17" i="15"/>
  <c r="Y17" i="15"/>
  <c r="I17" i="15"/>
  <c r="AH17" i="15"/>
  <c r="F18" i="15"/>
  <c r="W17" i="15"/>
  <c r="AK17" i="15"/>
  <c r="U17" i="15"/>
  <c r="N17" i="15"/>
  <c r="J17" i="15"/>
  <c r="AJ44" i="17"/>
  <c r="U44" i="17"/>
  <c r="AI44" i="17"/>
  <c r="P44" i="17"/>
  <c r="AA44" i="17"/>
  <c r="K44" i="17"/>
  <c r="V44" i="17"/>
  <c r="AK44" i="17"/>
  <c r="AF44" i="17"/>
  <c r="Q44" i="17"/>
  <c r="AB44" i="17"/>
  <c r="L44" i="17"/>
  <c r="W44" i="17"/>
  <c r="AE44" i="17"/>
  <c r="J44" i="17"/>
  <c r="AC44" i="17"/>
  <c r="Y44" i="17"/>
  <c r="I44" i="17"/>
  <c r="T44" i="17"/>
  <c r="AH44" i="17"/>
  <c r="O44" i="17"/>
  <c r="R44" i="17"/>
  <c r="AD44" i="17"/>
  <c r="S44" i="17"/>
  <c r="M44" i="17"/>
  <c r="N44" i="17"/>
  <c r="AG44" i="17"/>
  <c r="H44" i="17"/>
  <c r="X44" i="17"/>
  <c r="Z44" i="17"/>
  <c r="F45" i="17"/>
  <c r="AA44" i="16"/>
  <c r="K44" i="16"/>
  <c r="V44" i="16"/>
  <c r="AK44" i="16"/>
  <c r="U44" i="16"/>
  <c r="X44" i="16"/>
  <c r="AF44" i="16"/>
  <c r="W44" i="16"/>
  <c r="AH44" i="16"/>
  <c r="R44" i="16"/>
  <c r="AG44" i="16"/>
  <c r="Q44" i="16"/>
  <c r="H44" i="16"/>
  <c r="P44" i="16"/>
  <c r="AE44" i="16"/>
  <c r="O44" i="16"/>
  <c r="Z44" i="16"/>
  <c r="J44" i="16"/>
  <c r="Y44" i="16"/>
  <c r="I44" i="16"/>
  <c r="T44" i="16"/>
  <c r="L44" i="16"/>
  <c r="N44" i="16"/>
  <c r="AB44" i="16"/>
  <c r="AI44" i="16"/>
  <c r="AC44" i="16"/>
  <c r="M44" i="16"/>
  <c r="F45" i="16"/>
  <c r="AD44" i="16"/>
  <c r="AJ44" i="16"/>
  <c r="S44" i="16"/>
  <c r="AJ17" i="17"/>
  <c r="V17" i="17"/>
  <c r="AG17" i="17"/>
  <c r="Q17" i="17"/>
  <c r="AF17" i="17"/>
  <c r="P17" i="17"/>
  <c r="O17" i="17"/>
  <c r="AE17" i="17"/>
  <c r="AH17" i="17"/>
  <c r="R17" i="17"/>
  <c r="AC17" i="17"/>
  <c r="M17" i="17"/>
  <c r="AB17" i="17"/>
  <c r="L17" i="17"/>
  <c r="AD17" i="17"/>
  <c r="N17" i="17"/>
  <c r="Y17" i="17"/>
  <c r="I17" i="17"/>
  <c r="X17" i="17"/>
  <c r="H17" i="17"/>
  <c r="S17" i="17"/>
  <c r="Z17" i="17"/>
  <c r="J17" i="17"/>
  <c r="U17" i="17"/>
  <c r="AK17" i="17"/>
  <c r="T17" i="17"/>
  <c r="AI17" i="17"/>
  <c r="W17" i="17"/>
  <c r="K17" i="17"/>
  <c r="AA17" i="17"/>
  <c r="F18" i="17"/>
  <c r="H44" i="15"/>
  <c r="P44" i="15"/>
  <c r="O44" i="15"/>
  <c r="J44" i="15"/>
  <c r="I44" i="15"/>
  <c r="AI44" i="15"/>
  <c r="AD44" i="15"/>
  <c r="AC44" i="15"/>
  <c r="T44" i="15"/>
  <c r="AE44" i="15"/>
  <c r="Z44" i="15"/>
  <c r="Y44" i="15"/>
  <c r="L44" i="15"/>
  <c r="X44" i="15"/>
  <c r="S44" i="15"/>
  <c r="N44" i="15"/>
  <c r="M44" i="15"/>
  <c r="AG44" i="15"/>
  <c r="F45" i="15"/>
  <c r="R44" i="15"/>
  <c r="AF44" i="15"/>
  <c r="Q44" i="15"/>
  <c r="W44" i="15"/>
  <c r="U44" i="15"/>
  <c r="AA44" i="15"/>
  <c r="AK44" i="15"/>
  <c r="AH44" i="15"/>
  <c r="AJ44" i="15"/>
  <c r="K44" i="15"/>
  <c r="AB44" i="15"/>
  <c r="V44" i="15"/>
  <c r="AD20" i="15"/>
  <c r="Y20" i="15"/>
  <c r="K20" i="15"/>
  <c r="I20" i="15"/>
  <c r="AE20" i="15"/>
  <c r="L20" i="15"/>
  <c r="N20" i="15"/>
  <c r="M20" i="15"/>
  <c r="Z20" i="15"/>
  <c r="AH20" i="15"/>
  <c r="AF20" i="15"/>
  <c r="X20" i="15"/>
  <c r="O20" i="15"/>
  <c r="AC20" i="15"/>
  <c r="AG20" i="15"/>
  <c r="H20" i="15"/>
  <c r="F21" i="15"/>
  <c r="AB20" i="15"/>
  <c r="S20" i="15"/>
  <c r="AJ20" i="15"/>
  <c r="U20" i="15"/>
  <c r="V20" i="15"/>
  <c r="J20" i="15"/>
  <c r="T20" i="15"/>
  <c r="Q20" i="15"/>
  <c r="W20" i="15"/>
  <c r="P20" i="15"/>
  <c r="AA20" i="15"/>
  <c r="AI20" i="15"/>
  <c r="R20" i="15"/>
  <c r="AK20" i="15"/>
  <c r="AC47" i="16"/>
  <c r="M47" i="16"/>
  <c r="AB47" i="16"/>
  <c r="L47" i="16"/>
  <c r="AA47" i="16"/>
  <c r="K47" i="16"/>
  <c r="J47" i="16"/>
  <c r="Y47" i="16"/>
  <c r="I47" i="16"/>
  <c r="X47" i="16"/>
  <c r="H47" i="16"/>
  <c r="W47" i="16"/>
  <c r="AD47" i="16"/>
  <c r="V47" i="16"/>
  <c r="AG47" i="16"/>
  <c r="Q47" i="16"/>
  <c r="AF47" i="16"/>
  <c r="P47" i="16"/>
  <c r="AE47" i="16"/>
  <c r="O47" i="16"/>
  <c r="Z47" i="16"/>
  <c r="R47" i="16"/>
  <c r="AJ47" i="16"/>
  <c r="N47" i="16"/>
  <c r="F48" i="16"/>
  <c r="AK47" i="16"/>
  <c r="T47" i="16"/>
  <c r="AH47" i="16"/>
  <c r="AI47" i="16"/>
  <c r="U47" i="16"/>
  <c r="S47" i="16"/>
  <c r="C261" i="11"/>
  <c r="C262" i="11" s="1"/>
  <c r="C263" i="11" s="1"/>
  <c r="C264" i="11" s="1"/>
  <c r="C265" i="11" s="1"/>
  <c r="C266" i="11" s="1"/>
  <c r="C267" i="11" s="1"/>
  <c r="C268" i="11" s="1"/>
  <c r="C269" i="11" s="1"/>
  <c r="D681" i="11"/>
  <c r="D682" i="11" s="1"/>
  <c r="D683" i="11" s="1"/>
  <c r="D684" i="11"/>
  <c r="D685" i="11" s="1"/>
  <c r="D686" i="11" s="1"/>
  <c r="D687" i="11" s="1"/>
  <c r="D688" i="11" s="1"/>
  <c r="D689" i="11" s="1"/>
  <c r="D690" i="11" s="1"/>
  <c r="D691" i="11" s="1"/>
  <c r="D692" i="11" s="1"/>
  <c r="F727" i="11"/>
  <c r="F728" i="11" s="1"/>
  <c r="F729" i="11" s="1"/>
  <c r="F730" i="11" s="1"/>
  <c r="F731" i="11" s="1"/>
  <c r="F732" i="11"/>
  <c r="D270" i="11"/>
  <c r="D271" i="11" s="1"/>
  <c r="D272" i="11" s="1"/>
  <c r="D273" i="11" s="1"/>
  <c r="D274" i="11" s="1"/>
  <c r="D275" i="11" s="1"/>
  <c r="D348" i="11"/>
  <c r="D349" i="11" s="1"/>
  <c r="D350" i="11" s="1"/>
  <c r="D351" i="11" s="1"/>
  <c r="D352" i="11" s="1"/>
  <c r="D353" i="11" s="1"/>
  <c r="D354" i="11" s="1"/>
  <c r="D355" i="11" s="1"/>
  <c r="D356" i="11" s="1"/>
  <c r="D345" i="11"/>
  <c r="D346" i="11" s="1"/>
  <c r="D347" i="11" s="1"/>
  <c r="F390" i="11"/>
  <c r="F388" i="11"/>
  <c r="F389" i="11" s="1"/>
  <c r="F279" i="11"/>
  <c r="F277" i="11"/>
  <c r="F278" i="11" s="1"/>
  <c r="F169" i="11"/>
  <c r="F170" i="11" s="1"/>
  <c r="F171" i="11"/>
  <c r="F84" i="11"/>
  <c r="F82" i="11"/>
  <c r="F83" i="11" s="1"/>
  <c r="E76" i="18"/>
  <c r="E77" i="18" s="1"/>
  <c r="E78" i="18" s="1"/>
  <c r="E79" i="18" s="1"/>
  <c r="E80" i="18" s="1"/>
  <c r="E81" i="18" s="1"/>
  <c r="E82" i="18" s="1"/>
  <c r="E83" i="18" s="1"/>
  <c r="E84" i="18" s="1"/>
  <c r="E85" i="18" s="1"/>
  <c r="E86" i="18" s="1"/>
  <c r="E87" i="18"/>
  <c r="E88" i="18" s="1"/>
  <c r="E89" i="18" s="1"/>
  <c r="AH18" i="17" l="1"/>
  <c r="R18" i="17"/>
  <c r="AE18" i="17"/>
  <c r="I18" i="17"/>
  <c r="S18" i="17"/>
  <c r="AB18" i="17"/>
  <c r="AK18" i="17"/>
  <c r="AA18" i="17"/>
  <c r="AD18" i="17"/>
  <c r="N18" i="17"/>
  <c r="Y18" i="17"/>
  <c r="AI18" i="17"/>
  <c r="M18" i="17"/>
  <c r="W18" i="17"/>
  <c r="P18" i="17"/>
  <c r="U18" i="17"/>
  <c r="V18" i="17"/>
  <c r="AJ18" i="17"/>
  <c r="O18" i="17"/>
  <c r="X18" i="17"/>
  <c r="AG18" i="17"/>
  <c r="L18" i="17"/>
  <c r="K18" i="17"/>
  <c r="AC18" i="17"/>
  <c r="Z18" i="17"/>
  <c r="H18" i="17"/>
  <c r="T18" i="17"/>
  <c r="AF18" i="17"/>
  <c r="Q18" i="17"/>
  <c r="J18" i="17"/>
  <c r="AE51" i="17"/>
  <c r="O51" i="17"/>
  <c r="Z51" i="17"/>
  <c r="J51" i="17"/>
  <c r="Y51" i="17"/>
  <c r="I51" i="17"/>
  <c r="H51" i="17"/>
  <c r="AF51" i="17"/>
  <c r="AA51" i="17"/>
  <c r="K51" i="17"/>
  <c r="V51" i="17"/>
  <c r="AK51" i="17"/>
  <c r="U51" i="17"/>
  <c r="AB51" i="17"/>
  <c r="AJ51" i="17"/>
  <c r="W51" i="17"/>
  <c r="AH51" i="17"/>
  <c r="R51" i="17"/>
  <c r="AG51" i="17"/>
  <c r="Q51" i="17"/>
  <c r="L51" i="17"/>
  <c r="T51" i="17"/>
  <c r="S51" i="17"/>
  <c r="M51" i="17"/>
  <c r="P51" i="17"/>
  <c r="AD51" i="17"/>
  <c r="X51" i="17"/>
  <c r="N51" i="17"/>
  <c r="AI51" i="17"/>
  <c r="AC51" i="17"/>
  <c r="W21" i="15"/>
  <c r="AK21" i="15"/>
  <c r="U21" i="15"/>
  <c r="AF21" i="15"/>
  <c r="AD21" i="15"/>
  <c r="AB21" i="15"/>
  <c r="Z21" i="15"/>
  <c r="AI21" i="15"/>
  <c r="S21" i="15"/>
  <c r="AG21" i="15"/>
  <c r="Q21" i="15"/>
  <c r="X21" i="15"/>
  <c r="V21" i="15"/>
  <c r="T21" i="15"/>
  <c r="R21" i="15"/>
  <c r="O21" i="15"/>
  <c r="M21" i="15"/>
  <c r="N21" i="15"/>
  <c r="J21" i="15"/>
  <c r="P21" i="15"/>
  <c r="L21" i="15"/>
  <c r="K21" i="15"/>
  <c r="I21" i="15"/>
  <c r="AJ21" i="15"/>
  <c r="AE21" i="15"/>
  <c r="AA21" i="15"/>
  <c r="Y21" i="15"/>
  <c r="H21" i="15"/>
  <c r="AH21" i="15"/>
  <c r="AC21" i="15"/>
  <c r="X48" i="15"/>
  <c r="H48" i="15"/>
  <c r="Y48" i="15"/>
  <c r="I48" i="15"/>
  <c r="AI48" i="15"/>
  <c r="AH48" i="15"/>
  <c r="AE48" i="15"/>
  <c r="AJ48" i="15"/>
  <c r="T48" i="15"/>
  <c r="AK48" i="15"/>
  <c r="U48" i="15"/>
  <c r="AD48" i="15"/>
  <c r="AA48" i="15"/>
  <c r="Z48" i="15"/>
  <c r="W48" i="15"/>
  <c r="L48" i="15"/>
  <c r="M48" i="15"/>
  <c r="K48" i="15"/>
  <c r="AC48" i="15"/>
  <c r="AF48" i="15"/>
  <c r="AG48" i="15"/>
  <c r="V48" i="15"/>
  <c r="R48" i="15"/>
  <c r="AB48" i="15"/>
  <c r="J48" i="15"/>
  <c r="P48" i="15"/>
  <c r="Q48" i="15"/>
  <c r="S48" i="15"/>
  <c r="O48" i="15"/>
  <c r="N48" i="15"/>
  <c r="AI48" i="16"/>
  <c r="S48" i="16"/>
  <c r="AD48" i="16"/>
  <c r="N48" i="16"/>
  <c r="AC48" i="16"/>
  <c r="M48" i="16"/>
  <c r="AB48" i="16"/>
  <c r="AJ48" i="16"/>
  <c r="AE48" i="16"/>
  <c r="O48" i="16"/>
  <c r="Z48" i="16"/>
  <c r="J48" i="16"/>
  <c r="Y48" i="16"/>
  <c r="I48" i="16"/>
  <c r="L48" i="16"/>
  <c r="T48" i="16"/>
  <c r="AH48" i="16"/>
  <c r="AG48" i="16"/>
  <c r="P48" i="16"/>
  <c r="AA48" i="16"/>
  <c r="V48" i="16"/>
  <c r="X48" i="16"/>
  <c r="R48" i="16"/>
  <c r="H48" i="16"/>
  <c r="U48" i="16"/>
  <c r="W48" i="16"/>
  <c r="Q48" i="16"/>
  <c r="K48" i="16"/>
  <c r="AK48" i="16"/>
  <c r="AF48" i="16"/>
  <c r="AB45" i="15"/>
  <c r="AE45" i="15"/>
  <c r="O45" i="15"/>
  <c r="J45" i="15"/>
  <c r="I45" i="15"/>
  <c r="L45" i="15"/>
  <c r="AH45" i="15"/>
  <c r="Q45" i="15"/>
  <c r="T45" i="15"/>
  <c r="AA45" i="15"/>
  <c r="K45" i="15"/>
  <c r="V45" i="15"/>
  <c r="AK45" i="15"/>
  <c r="U45" i="15"/>
  <c r="AF45" i="15"/>
  <c r="AG45" i="15"/>
  <c r="AJ45" i="15"/>
  <c r="AI45" i="15"/>
  <c r="S45" i="15"/>
  <c r="AD45" i="15"/>
  <c r="N45" i="15"/>
  <c r="AC45" i="15"/>
  <c r="M45" i="15"/>
  <c r="P45" i="15"/>
  <c r="Z45" i="15"/>
  <c r="Y45" i="15"/>
  <c r="H45" i="15"/>
  <c r="W45" i="15"/>
  <c r="R45" i="15"/>
  <c r="X45" i="15"/>
  <c r="Y48" i="17"/>
  <c r="I48" i="17"/>
  <c r="X48" i="17"/>
  <c r="H48" i="17"/>
  <c r="W48" i="17"/>
  <c r="V48" i="17"/>
  <c r="N48" i="17"/>
  <c r="AK48" i="17"/>
  <c r="U48" i="17"/>
  <c r="AJ48" i="17"/>
  <c r="T48" i="17"/>
  <c r="AI48" i="17"/>
  <c r="S48" i="17"/>
  <c r="AH48" i="17"/>
  <c r="Z48" i="17"/>
  <c r="AG48" i="17"/>
  <c r="Q48" i="17"/>
  <c r="AF48" i="17"/>
  <c r="P48" i="17"/>
  <c r="AE48" i="17"/>
  <c r="O48" i="17"/>
  <c r="R48" i="17"/>
  <c r="J48" i="17"/>
  <c r="L48" i="17"/>
  <c r="K48" i="17"/>
  <c r="AC48" i="17"/>
  <c r="AA48" i="17"/>
  <c r="M48" i="17"/>
  <c r="AB48" i="17"/>
  <c r="AD48" i="17"/>
  <c r="AC9" i="15"/>
  <c r="M9" i="15"/>
  <c r="Z9" i="15"/>
  <c r="X9" i="15"/>
  <c r="AB9" i="15"/>
  <c r="AF9" i="15"/>
  <c r="K9" i="15"/>
  <c r="I9" i="15"/>
  <c r="T9" i="15"/>
  <c r="AA9" i="15"/>
  <c r="AI9" i="15"/>
  <c r="U9" i="15"/>
  <c r="AJ9" i="15"/>
  <c r="H9" i="15"/>
  <c r="V9" i="15"/>
  <c r="Q9" i="15"/>
  <c r="J9" i="15"/>
  <c r="P9" i="15"/>
  <c r="Y9" i="15"/>
  <c r="AD9" i="15"/>
  <c r="W9" i="15"/>
  <c r="AK9" i="15"/>
  <c r="O9" i="15"/>
  <c r="R9" i="15"/>
  <c r="S9" i="15"/>
  <c r="AG9" i="15"/>
  <c r="AE9" i="15"/>
  <c r="L9" i="15"/>
  <c r="N9" i="15"/>
  <c r="AH9" i="15"/>
  <c r="AC45" i="16"/>
  <c r="M45" i="16"/>
  <c r="AB45" i="16"/>
  <c r="L45" i="16"/>
  <c r="AA45" i="16"/>
  <c r="K45" i="16"/>
  <c r="AH45" i="16"/>
  <c r="Y45" i="16"/>
  <c r="I45" i="16"/>
  <c r="X45" i="16"/>
  <c r="H45" i="16"/>
  <c r="W45" i="16"/>
  <c r="Z45" i="16"/>
  <c r="R45" i="16"/>
  <c r="AG45" i="16"/>
  <c r="AF45" i="16"/>
  <c r="AE45" i="16"/>
  <c r="V45" i="16"/>
  <c r="U45" i="16"/>
  <c r="T45" i="16"/>
  <c r="AD45" i="16"/>
  <c r="Q45" i="16"/>
  <c r="P45" i="16"/>
  <c r="N45" i="16"/>
  <c r="S45" i="16"/>
  <c r="O45" i="16"/>
  <c r="AK45" i="16"/>
  <c r="AJ45" i="16"/>
  <c r="AI45" i="16"/>
  <c r="J45" i="16"/>
  <c r="W45" i="17"/>
  <c r="AH45" i="17"/>
  <c r="R45" i="17"/>
  <c r="X45" i="17"/>
  <c r="AC45" i="17"/>
  <c r="AB45" i="17"/>
  <c r="I45" i="17"/>
  <c r="AI45" i="17"/>
  <c r="S45" i="17"/>
  <c r="AD45" i="17"/>
  <c r="N45" i="17"/>
  <c r="P45" i="17"/>
  <c r="U45" i="17"/>
  <c r="T45" i="17"/>
  <c r="Y45" i="17"/>
  <c r="AE45" i="17"/>
  <c r="O45" i="17"/>
  <c r="Z45" i="17"/>
  <c r="J45" i="17"/>
  <c r="H45" i="17"/>
  <c r="M45" i="17"/>
  <c r="L45" i="17"/>
  <c r="Q45" i="17"/>
  <c r="AA45" i="17"/>
  <c r="AK45" i="17"/>
  <c r="AG45" i="17"/>
  <c r="K45" i="17"/>
  <c r="AJ45" i="17"/>
  <c r="V45" i="17"/>
  <c r="AF45" i="17"/>
  <c r="AA18" i="15"/>
  <c r="K18" i="15"/>
  <c r="Y18" i="15"/>
  <c r="I18" i="15"/>
  <c r="J18" i="15"/>
  <c r="H18" i="15"/>
  <c r="AJ18" i="15"/>
  <c r="W18" i="15"/>
  <c r="AK18" i="15"/>
  <c r="U18" i="15"/>
  <c r="AH18" i="15"/>
  <c r="AF18" i="15"/>
  <c r="AD18" i="15"/>
  <c r="AB18" i="15"/>
  <c r="S18" i="15"/>
  <c r="Q18" i="15"/>
  <c r="X18" i="15"/>
  <c r="T18" i="15"/>
  <c r="AG18" i="15"/>
  <c r="O18" i="15"/>
  <c r="M18" i="15"/>
  <c r="P18" i="15"/>
  <c r="L18" i="15"/>
  <c r="Z18" i="15"/>
  <c r="AE18" i="15"/>
  <c r="AC18" i="15"/>
  <c r="R18" i="15"/>
  <c r="N18" i="15"/>
  <c r="AI18" i="15"/>
  <c r="V18" i="15"/>
  <c r="AJ12" i="17"/>
  <c r="T12" i="17"/>
  <c r="AI12" i="17"/>
  <c r="S12" i="17"/>
  <c r="AD12" i="17"/>
  <c r="N12" i="17"/>
  <c r="AK12" i="17"/>
  <c r="Y12" i="17"/>
  <c r="AF12" i="17"/>
  <c r="P12" i="17"/>
  <c r="AE12" i="17"/>
  <c r="O12" i="17"/>
  <c r="Z12" i="17"/>
  <c r="J12" i="17"/>
  <c r="AC12" i="17"/>
  <c r="I12" i="17"/>
  <c r="X12" i="17"/>
  <c r="H12" i="17"/>
  <c r="W12" i="17"/>
  <c r="AH12" i="17"/>
  <c r="R12" i="17"/>
  <c r="Q12" i="17"/>
  <c r="U12" i="17"/>
  <c r="K12" i="17"/>
  <c r="AB12" i="17"/>
  <c r="V12" i="17"/>
  <c r="AA12" i="17"/>
  <c r="M12" i="17"/>
  <c r="AG12" i="17"/>
  <c r="L12" i="17"/>
  <c r="Y51" i="16"/>
  <c r="I51" i="16"/>
  <c r="X51" i="16"/>
  <c r="H51" i="16"/>
  <c r="W51" i="16"/>
  <c r="V51" i="16"/>
  <c r="N51" i="16"/>
  <c r="AK51" i="16"/>
  <c r="U51" i="16"/>
  <c r="AJ51" i="16"/>
  <c r="T51" i="16"/>
  <c r="AI51" i="16"/>
  <c r="S51" i="16"/>
  <c r="AH51" i="16"/>
  <c r="Z51" i="16"/>
  <c r="AC51" i="16"/>
  <c r="M51" i="16"/>
  <c r="AB51" i="16"/>
  <c r="L51" i="16"/>
  <c r="AA51" i="16"/>
  <c r="K51" i="16"/>
  <c r="AD51" i="16"/>
  <c r="AG51" i="16"/>
  <c r="AE51" i="16"/>
  <c r="Q51" i="16"/>
  <c r="O51" i="16"/>
  <c r="P51" i="16"/>
  <c r="J51" i="16"/>
  <c r="R51" i="16"/>
  <c r="AF51" i="16"/>
  <c r="AB51" i="15"/>
  <c r="L51" i="15"/>
  <c r="AC51" i="15"/>
  <c r="M51" i="15"/>
  <c r="N51" i="15"/>
  <c r="K51" i="15"/>
  <c r="J51" i="15"/>
  <c r="H51" i="15"/>
  <c r="Y51" i="15"/>
  <c r="AI51" i="15"/>
  <c r="AH51" i="15"/>
  <c r="T51" i="15"/>
  <c r="U51" i="15"/>
  <c r="AA51" i="15"/>
  <c r="W51" i="15"/>
  <c r="P51" i="15"/>
  <c r="V51" i="15"/>
  <c r="R51" i="15"/>
  <c r="X51" i="15"/>
  <c r="I51" i="15"/>
  <c r="AE51" i="15"/>
  <c r="AJ51" i="15"/>
  <c r="AK51" i="15"/>
  <c r="AD51" i="15"/>
  <c r="Z51" i="15"/>
  <c r="AF51" i="15"/>
  <c r="AG51" i="15"/>
  <c r="S51" i="15"/>
  <c r="O51" i="15"/>
  <c r="Q51" i="15"/>
  <c r="F738" i="11"/>
  <c r="F733" i="11"/>
  <c r="F734" i="11" s="1"/>
  <c r="F735" i="11" s="1"/>
  <c r="F736" i="11" s="1"/>
  <c r="F737" i="11" s="1"/>
  <c r="D696" i="11"/>
  <c r="D697" i="11" s="1"/>
  <c r="D698" i="11" s="1"/>
  <c r="D699" i="11" s="1"/>
  <c r="D700" i="11" s="1"/>
  <c r="D701" i="11" s="1"/>
  <c r="D702" i="11" s="1"/>
  <c r="D703" i="11" s="1"/>
  <c r="D704" i="11" s="1"/>
  <c r="D693" i="11"/>
  <c r="D694" i="11" s="1"/>
  <c r="D695" i="11" s="1"/>
  <c r="C270" i="11"/>
  <c r="C271" i="11" s="1"/>
  <c r="C272" i="11" s="1"/>
  <c r="D276" i="11"/>
  <c r="D277" i="11" s="1"/>
  <c r="D278" i="11" s="1"/>
  <c r="D279" i="11" s="1"/>
  <c r="D280" i="11" s="1"/>
  <c r="D281" i="11" s="1"/>
  <c r="F393" i="11"/>
  <c r="F391" i="11"/>
  <c r="F392" i="11" s="1"/>
  <c r="D360" i="11"/>
  <c r="D361" i="11" s="1"/>
  <c r="D362" i="11" s="1"/>
  <c r="D363" i="11" s="1"/>
  <c r="D364" i="11" s="1"/>
  <c r="D365" i="11" s="1"/>
  <c r="D366" i="11" s="1"/>
  <c r="D367" i="11" s="1"/>
  <c r="D368" i="11" s="1"/>
  <c r="D369" i="11" s="1"/>
  <c r="D370" i="11" s="1"/>
  <c r="D371" i="11" s="1"/>
  <c r="D372" i="11" s="1"/>
  <c r="D373" i="11" s="1"/>
  <c r="D374" i="11" s="1"/>
  <c r="D375" i="11" s="1"/>
  <c r="D376" i="11" s="1"/>
  <c r="D377" i="11" s="1"/>
  <c r="D378" i="11" s="1"/>
  <c r="D379" i="11" s="1"/>
  <c r="D380" i="11" s="1"/>
  <c r="D381" i="11" s="1"/>
  <c r="D382" i="11" s="1"/>
  <c r="D383" i="11" s="1"/>
  <c r="D384" i="11" s="1"/>
  <c r="D385" i="11" s="1"/>
  <c r="D386" i="11" s="1"/>
  <c r="D387" i="11" s="1"/>
  <c r="D388" i="11" s="1"/>
  <c r="D389" i="11" s="1"/>
  <c r="D390" i="11" s="1"/>
  <c r="D391" i="11" s="1"/>
  <c r="D392" i="11" s="1"/>
  <c r="D393" i="11" s="1"/>
  <c r="D394" i="11" s="1"/>
  <c r="D395" i="11" s="1"/>
  <c r="D396" i="11" s="1"/>
  <c r="D397" i="11" s="1"/>
  <c r="D398" i="11" s="1"/>
  <c r="D399" i="11" s="1"/>
  <c r="D400" i="11" s="1"/>
  <c r="D401" i="11" s="1"/>
  <c r="D357" i="11"/>
  <c r="D358" i="11" s="1"/>
  <c r="D359" i="11" s="1"/>
  <c r="F280" i="11"/>
  <c r="F281" i="11" s="1"/>
  <c r="F282" i="11"/>
  <c r="F172" i="11"/>
  <c r="F173" i="11" s="1"/>
  <c r="F174" i="11"/>
  <c r="F87" i="11"/>
  <c r="F85" i="11"/>
  <c r="F86" i="11" s="1"/>
  <c r="N21" i="2"/>
  <c r="N17" i="2"/>
  <c r="N16" i="2"/>
  <c r="N11" i="2"/>
  <c r="N9" i="2"/>
  <c r="N8" i="2"/>
  <c r="N7" i="2"/>
  <c r="L8" i="2"/>
  <c r="L9" i="2"/>
  <c r="L7" i="2"/>
  <c r="L11" i="2"/>
  <c r="K8" i="2"/>
  <c r="K7" i="2"/>
  <c r="K11" i="2"/>
  <c r="K10" i="2"/>
  <c r="K9" i="2"/>
  <c r="J11" i="2"/>
  <c r="J10" i="2"/>
  <c r="J9" i="2"/>
  <c r="J8" i="2"/>
  <c r="J7" i="2"/>
  <c r="K15" i="2"/>
  <c r="K14" i="2"/>
  <c r="K17" i="2"/>
  <c r="K16" i="2"/>
  <c r="J12" i="2"/>
  <c r="K20" i="2"/>
  <c r="K19" i="2"/>
  <c r="K21" i="2"/>
  <c r="P11" i="2"/>
  <c r="P10" i="2"/>
  <c r="P9" i="2"/>
  <c r="P8" i="2"/>
  <c r="P7" i="2"/>
  <c r="P29" i="2"/>
  <c r="P28" i="2"/>
  <c r="P27" i="2"/>
  <c r="P26" i="2"/>
  <c r="P25" i="2"/>
  <c r="P24" i="2"/>
  <c r="P23" i="2"/>
  <c r="P21" i="2"/>
  <c r="P17" i="2"/>
  <c r="P16" i="2"/>
  <c r="P15" i="2"/>
  <c r="P14" i="2"/>
  <c r="P13" i="2"/>
  <c r="K23" i="2"/>
  <c r="K24" i="2" s="1"/>
  <c r="K25" i="2" s="1"/>
  <c r="K26" i="2" s="1"/>
  <c r="K27" i="2" s="1"/>
  <c r="K28" i="2" s="1"/>
  <c r="K29" i="2" s="1"/>
  <c r="N10" i="2"/>
  <c r="AB29" i="1"/>
  <c r="AB28" i="1"/>
  <c r="AB27" i="1"/>
  <c r="AB26" i="1"/>
  <c r="AB25" i="1"/>
  <c r="AB24" i="1"/>
  <c r="AB23" i="1"/>
  <c r="AB21" i="1"/>
  <c r="AB20" i="1"/>
  <c r="AB19" i="1"/>
  <c r="AB17" i="1"/>
  <c r="AB16" i="1"/>
  <c r="AB15" i="1"/>
  <c r="AB14" i="1"/>
  <c r="AB13" i="1"/>
  <c r="AB11" i="1"/>
  <c r="AB10" i="1"/>
  <c r="AB9" i="1"/>
  <c r="AB8" i="1"/>
  <c r="AB7" i="1"/>
  <c r="J18" i="2" l="1"/>
  <c r="J17" i="2"/>
  <c r="D708" i="11"/>
  <c r="D709" i="11" s="1"/>
  <c r="D710" i="11" s="1"/>
  <c r="D711" i="11" s="1"/>
  <c r="D712" i="11" s="1"/>
  <c r="D713" i="11" s="1"/>
  <c r="D714" i="11" s="1"/>
  <c r="D715" i="11" s="1"/>
  <c r="D716" i="11" s="1"/>
  <c r="D705" i="11"/>
  <c r="D706" i="11" s="1"/>
  <c r="D707" i="11" s="1"/>
  <c r="F739" i="11"/>
  <c r="F740" i="11" s="1"/>
  <c r="F741" i="11" s="1"/>
  <c r="F742" i="11" s="1"/>
  <c r="F743" i="11" s="1"/>
  <c r="F744" i="11"/>
  <c r="D282" i="11"/>
  <c r="D283" i="11" s="1"/>
  <c r="D284" i="11" s="1"/>
  <c r="D285" i="11" s="1"/>
  <c r="D286" i="11" s="1"/>
  <c r="D287" i="11" s="1"/>
  <c r="C273" i="11"/>
  <c r="C274" i="11" s="1"/>
  <c r="C275" i="11" s="1"/>
  <c r="C276" i="11" s="1"/>
  <c r="C277" i="11" s="1"/>
  <c r="C278" i="11" s="1"/>
  <c r="F396" i="11"/>
  <c r="F394" i="11"/>
  <c r="F395" i="11" s="1"/>
  <c r="F285" i="11"/>
  <c r="F283" i="11"/>
  <c r="F284" i="11" s="1"/>
  <c r="F177" i="11"/>
  <c r="F175" i="11"/>
  <c r="F176" i="11" s="1"/>
  <c r="F88" i="11"/>
  <c r="F89" i="11" s="1"/>
  <c r="F90" i="11"/>
  <c r="J16" i="2"/>
  <c r="J13" i="2"/>
  <c r="J14" i="2"/>
  <c r="J15" i="2"/>
  <c r="J21" i="2"/>
  <c r="J22" i="2"/>
  <c r="J23" i="2" s="1"/>
  <c r="J24" i="2" s="1"/>
  <c r="J25" i="2" s="1"/>
  <c r="J26" i="2" s="1"/>
  <c r="J27" i="2" s="1"/>
  <c r="J28" i="2" s="1"/>
  <c r="J29" i="2" s="1"/>
  <c r="J20" i="2"/>
  <c r="J19" i="2"/>
  <c r="AA29" i="1"/>
  <c r="Z29" i="1"/>
  <c r="Y29" i="1"/>
  <c r="X29" i="1"/>
  <c r="W29" i="1"/>
  <c r="V29" i="1"/>
  <c r="U29" i="1"/>
  <c r="Q29" i="1"/>
  <c r="P29" i="1"/>
  <c r="AA28" i="1"/>
  <c r="Z28" i="1"/>
  <c r="Y28" i="1"/>
  <c r="X28" i="1"/>
  <c r="W28" i="1"/>
  <c r="V28" i="1"/>
  <c r="U28" i="1"/>
  <c r="Q28" i="1"/>
  <c r="P28" i="1"/>
  <c r="AA27" i="1"/>
  <c r="Z27" i="1"/>
  <c r="Y27" i="1"/>
  <c r="X27" i="1"/>
  <c r="W27" i="1"/>
  <c r="V27" i="1"/>
  <c r="U27" i="1"/>
  <c r="Q27" i="1"/>
  <c r="P27" i="1"/>
  <c r="AA26" i="1"/>
  <c r="Z26" i="1"/>
  <c r="Y26" i="1"/>
  <c r="X26" i="1"/>
  <c r="W26" i="1"/>
  <c r="V26" i="1"/>
  <c r="U26" i="1"/>
  <c r="Q26" i="1"/>
  <c r="P26" i="1"/>
  <c r="AA25" i="1"/>
  <c r="Z25" i="1"/>
  <c r="Y25" i="1"/>
  <c r="X25" i="1"/>
  <c r="W25" i="1"/>
  <c r="V25" i="1"/>
  <c r="U25" i="1"/>
  <c r="Q25" i="1"/>
  <c r="P25" i="1"/>
  <c r="AA24" i="1"/>
  <c r="Z24" i="1"/>
  <c r="Y24" i="1"/>
  <c r="X24" i="1"/>
  <c r="W24" i="1"/>
  <c r="V24" i="1"/>
  <c r="U24" i="1"/>
  <c r="R24" i="1"/>
  <c r="R25" i="1" s="1"/>
  <c r="R26" i="1" s="1"/>
  <c r="R27" i="1" s="1"/>
  <c r="R28" i="1" s="1"/>
  <c r="R29" i="1" s="1"/>
  <c r="Q24" i="1"/>
  <c r="P24" i="1"/>
  <c r="AD23" i="1"/>
  <c r="AD24" i="1" s="1"/>
  <c r="AD25" i="1" s="1"/>
  <c r="AD26" i="1" s="1"/>
  <c r="AD27" i="1" s="1"/>
  <c r="AD28" i="1" s="1"/>
  <c r="AD29" i="1" s="1"/>
  <c r="AA23" i="1"/>
  <c r="Z23" i="1"/>
  <c r="Y23" i="1"/>
  <c r="X23" i="1"/>
  <c r="W23" i="1"/>
  <c r="V23" i="1"/>
  <c r="U23" i="1"/>
  <c r="R23" i="1"/>
  <c r="Q23" i="1"/>
  <c r="P23" i="1"/>
  <c r="AA21" i="1"/>
  <c r="Z21" i="1"/>
  <c r="X21" i="1"/>
  <c r="W21" i="1"/>
  <c r="V21" i="1"/>
  <c r="U21" i="1"/>
  <c r="Q21" i="1"/>
  <c r="AA20" i="1"/>
  <c r="Z20" i="1"/>
  <c r="X20" i="1"/>
  <c r="W20" i="1"/>
  <c r="V20" i="1"/>
  <c r="U20" i="1"/>
  <c r="Q20" i="1"/>
  <c r="AD19" i="1"/>
  <c r="AD20" i="1" s="1"/>
  <c r="AD21" i="1" s="1"/>
  <c r="AA19" i="1"/>
  <c r="X19" i="1"/>
  <c r="W19" i="1"/>
  <c r="V19" i="1"/>
  <c r="U19" i="1"/>
  <c r="R19" i="1"/>
  <c r="R20" i="1" s="1"/>
  <c r="R21" i="1" s="1"/>
  <c r="Q19" i="1"/>
  <c r="AA17" i="1"/>
  <c r="W17" i="1"/>
  <c r="Q17" i="1"/>
  <c r="P17" i="1"/>
  <c r="AA16" i="1"/>
  <c r="Z16" i="1"/>
  <c r="Y16" i="1"/>
  <c r="X16" i="1"/>
  <c r="W16" i="1"/>
  <c r="Q16" i="1"/>
  <c r="P16" i="1"/>
  <c r="AA15" i="1"/>
  <c r="Y15" i="1"/>
  <c r="X15" i="1"/>
  <c r="W15" i="1"/>
  <c r="V15" i="1"/>
  <c r="U15" i="1"/>
  <c r="Q15" i="1"/>
  <c r="P15" i="1"/>
  <c r="AA14" i="1"/>
  <c r="Z14" i="1"/>
  <c r="W14" i="1"/>
  <c r="AD13" i="1"/>
  <c r="AD14" i="1" s="1"/>
  <c r="AD15" i="1" s="1"/>
  <c r="AD16" i="1" s="1"/>
  <c r="AD17" i="1" s="1"/>
  <c r="AA13" i="1"/>
  <c r="Z13" i="1"/>
  <c r="W13" i="1"/>
  <c r="R13" i="1"/>
  <c r="R14" i="1" s="1"/>
  <c r="R15" i="1" s="1"/>
  <c r="R16" i="1" s="1"/>
  <c r="R17" i="1" s="1"/>
  <c r="Q13" i="1"/>
  <c r="P13" i="1"/>
  <c r="C12" i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AA11" i="1"/>
  <c r="Z11" i="1"/>
  <c r="X11" i="1"/>
  <c r="W11" i="1"/>
  <c r="Q11" i="1"/>
  <c r="AA10" i="1"/>
  <c r="W10" i="1"/>
  <c r="V10" i="1"/>
  <c r="U10" i="1"/>
  <c r="AA9" i="1"/>
  <c r="Z9" i="1"/>
  <c r="Y9" i="1"/>
  <c r="X9" i="1"/>
  <c r="W9" i="1"/>
  <c r="V9" i="1"/>
  <c r="U9" i="1"/>
  <c r="Q9" i="1"/>
  <c r="P9" i="1"/>
  <c r="AA8" i="1"/>
  <c r="Z8" i="1"/>
  <c r="X8" i="1"/>
  <c r="W8" i="1"/>
  <c r="V8" i="1"/>
  <c r="U8" i="1"/>
  <c r="Q8" i="1"/>
  <c r="P8" i="1"/>
  <c r="AD7" i="1"/>
  <c r="AD8" i="1" s="1"/>
  <c r="AD9" i="1" s="1"/>
  <c r="AD10" i="1" s="1"/>
  <c r="AD11" i="1" s="1"/>
  <c r="AA7" i="1"/>
  <c r="Z7" i="1"/>
  <c r="Y7" i="1"/>
  <c r="X7" i="1"/>
  <c r="W7" i="1"/>
  <c r="V7" i="1"/>
  <c r="U7" i="1"/>
  <c r="R7" i="1"/>
  <c r="R8" i="1" s="1"/>
  <c r="R9" i="1" s="1"/>
  <c r="R10" i="1" s="1"/>
  <c r="R11" i="1" s="1"/>
  <c r="Q7" i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C7" i="1"/>
  <c r="C8" i="1" s="1"/>
  <c r="C9" i="1" s="1"/>
  <c r="C10" i="1" s="1"/>
  <c r="C11" i="1" s="1"/>
  <c r="O29" i="2"/>
  <c r="N29" i="2"/>
  <c r="M29" i="2"/>
  <c r="L29" i="2"/>
  <c r="E29" i="2"/>
  <c r="D29" i="2"/>
  <c r="O28" i="2"/>
  <c r="N28" i="2"/>
  <c r="M28" i="2"/>
  <c r="L28" i="2"/>
  <c r="E28" i="2"/>
  <c r="D28" i="2"/>
  <c r="O27" i="2"/>
  <c r="N27" i="2"/>
  <c r="M27" i="2"/>
  <c r="L27" i="2"/>
  <c r="E27" i="2"/>
  <c r="D27" i="2"/>
  <c r="O26" i="2"/>
  <c r="N26" i="2"/>
  <c r="M26" i="2"/>
  <c r="L26" i="2"/>
  <c r="E26" i="2"/>
  <c r="D26" i="2"/>
  <c r="O25" i="2"/>
  <c r="N25" i="2"/>
  <c r="M25" i="2"/>
  <c r="L25" i="2"/>
  <c r="E25" i="2"/>
  <c r="D25" i="2"/>
  <c r="O24" i="2"/>
  <c r="N24" i="2"/>
  <c r="M24" i="2"/>
  <c r="L24" i="2"/>
  <c r="E24" i="2"/>
  <c r="D24" i="2"/>
  <c r="R23" i="2"/>
  <c r="R24" i="2" s="1"/>
  <c r="R25" i="2" s="1"/>
  <c r="R26" i="2" s="1"/>
  <c r="R27" i="2" s="1"/>
  <c r="R28" i="2" s="1"/>
  <c r="R29" i="2" s="1"/>
  <c r="O23" i="2"/>
  <c r="N23" i="2"/>
  <c r="M23" i="2"/>
  <c r="L23" i="2"/>
  <c r="I23" i="2"/>
  <c r="I24" i="2" s="1"/>
  <c r="I25" i="2" s="1"/>
  <c r="I26" i="2" s="1"/>
  <c r="I27" i="2" s="1"/>
  <c r="I28" i="2" s="1"/>
  <c r="I29" i="2" s="1"/>
  <c r="F23" i="2"/>
  <c r="F24" i="2" s="1"/>
  <c r="F25" i="2" s="1"/>
  <c r="F26" i="2" s="1"/>
  <c r="F27" i="2" s="1"/>
  <c r="F28" i="2" s="1"/>
  <c r="F29" i="2" s="1"/>
  <c r="E23" i="2"/>
  <c r="D23" i="2"/>
  <c r="O21" i="2"/>
  <c r="L21" i="2"/>
  <c r="E21" i="2"/>
  <c r="O20" i="2"/>
  <c r="N20" i="2"/>
  <c r="L20" i="2"/>
  <c r="E20" i="2"/>
  <c r="R19" i="2"/>
  <c r="R20" i="2" s="1"/>
  <c r="R21" i="2" s="1"/>
  <c r="O19" i="2"/>
  <c r="N19" i="2"/>
  <c r="L19" i="2"/>
  <c r="I19" i="2"/>
  <c r="I20" i="2" s="1"/>
  <c r="I21" i="2" s="1"/>
  <c r="F19" i="2"/>
  <c r="F20" i="2" s="1"/>
  <c r="F21" i="2" s="1"/>
  <c r="E19" i="2"/>
  <c r="O17" i="2"/>
  <c r="G17" i="2"/>
  <c r="F37" i="16" s="1"/>
  <c r="AK37" i="16" s="1"/>
  <c r="E17" i="2"/>
  <c r="D17" i="2"/>
  <c r="O16" i="2"/>
  <c r="L16" i="2"/>
  <c r="G16" i="2"/>
  <c r="F34" i="16" s="1"/>
  <c r="E16" i="2"/>
  <c r="D16" i="2"/>
  <c r="O15" i="2"/>
  <c r="M15" i="2"/>
  <c r="F31" i="17" s="1"/>
  <c r="L15" i="2"/>
  <c r="E15" i="2"/>
  <c r="D15" i="2"/>
  <c r="O14" i="2"/>
  <c r="N14" i="2"/>
  <c r="D14" i="2"/>
  <c r="R13" i="2"/>
  <c r="R14" i="2" s="1"/>
  <c r="R15" i="2" s="1"/>
  <c r="R16" i="2" s="1"/>
  <c r="R17" i="2" s="1"/>
  <c r="O13" i="2"/>
  <c r="N13" i="2"/>
  <c r="I13" i="2"/>
  <c r="I14" i="2" s="1"/>
  <c r="I15" i="2" s="1"/>
  <c r="I16" i="2" s="1"/>
  <c r="I17" i="2" s="1"/>
  <c r="F13" i="2"/>
  <c r="F14" i="2" s="1"/>
  <c r="F15" i="2" s="1"/>
  <c r="F16" i="2" s="1"/>
  <c r="F17" i="2" s="1"/>
  <c r="E13" i="2"/>
  <c r="D13" i="2"/>
  <c r="C12" i="2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O11" i="2"/>
  <c r="M11" i="2"/>
  <c r="O10" i="2"/>
  <c r="E10" i="2"/>
  <c r="O9" i="2"/>
  <c r="M9" i="2"/>
  <c r="E9" i="2"/>
  <c r="D9" i="2"/>
  <c r="O8" i="2"/>
  <c r="E8" i="2"/>
  <c r="D8" i="2"/>
  <c r="R7" i="2"/>
  <c r="R8" i="2" s="1"/>
  <c r="R9" i="2" s="1"/>
  <c r="R10" i="2" s="1"/>
  <c r="R11" i="2" s="1"/>
  <c r="O7" i="2"/>
  <c r="M7" i="2"/>
  <c r="I7" i="2"/>
  <c r="I8" i="2" s="1"/>
  <c r="I9" i="2" s="1"/>
  <c r="I10" i="2" s="1"/>
  <c r="I11" i="2" s="1"/>
  <c r="H8" i="2"/>
  <c r="H9" i="2" s="1"/>
  <c r="H10" i="2" s="1"/>
  <c r="H11" i="2" s="1"/>
  <c r="H12" i="2" s="1"/>
  <c r="F7" i="2"/>
  <c r="F8" i="2" s="1"/>
  <c r="F9" i="2" s="1"/>
  <c r="F10" i="2" s="1"/>
  <c r="F11" i="2" s="1"/>
  <c r="E7" i="2"/>
  <c r="C7" i="2"/>
  <c r="C8" i="2" s="1"/>
  <c r="C9" i="2" s="1"/>
  <c r="C10" i="2" s="1"/>
  <c r="C11" i="2" s="1"/>
  <c r="E33" i="15" l="1"/>
  <c r="E32" i="15"/>
  <c r="F31" i="15"/>
  <c r="E31" i="15"/>
  <c r="E38" i="16"/>
  <c r="E37" i="16"/>
  <c r="E39" i="16"/>
  <c r="F55" i="16"/>
  <c r="E57" i="16"/>
  <c r="E56" i="16"/>
  <c r="E55" i="16"/>
  <c r="E65" i="16"/>
  <c r="F64" i="16"/>
  <c r="E66" i="16"/>
  <c r="E64" i="16"/>
  <c r="E14" i="17"/>
  <c r="F13" i="17"/>
  <c r="E13" i="17"/>
  <c r="E15" i="17"/>
  <c r="E19" i="16"/>
  <c r="F19" i="16"/>
  <c r="E21" i="16"/>
  <c r="E20" i="16"/>
  <c r="E25" i="15"/>
  <c r="E27" i="15"/>
  <c r="E26" i="15"/>
  <c r="F25" i="15"/>
  <c r="E30" i="15"/>
  <c r="E28" i="15"/>
  <c r="E29" i="15"/>
  <c r="F28" i="15"/>
  <c r="E36" i="15"/>
  <c r="E35" i="15"/>
  <c r="F34" i="15"/>
  <c r="E34" i="15"/>
  <c r="E57" i="15"/>
  <c r="E56" i="15"/>
  <c r="F55" i="15"/>
  <c r="E55" i="15"/>
  <c r="F61" i="16"/>
  <c r="E62" i="16"/>
  <c r="E63" i="16"/>
  <c r="E61" i="16"/>
  <c r="E69" i="15"/>
  <c r="E68" i="15"/>
  <c r="F67" i="15"/>
  <c r="E67" i="15"/>
  <c r="E73" i="16"/>
  <c r="F73" i="16"/>
  <c r="E75" i="16"/>
  <c r="E74" i="16"/>
  <c r="E10" i="16"/>
  <c r="F10" i="16"/>
  <c r="E12" i="16"/>
  <c r="E11" i="16"/>
  <c r="E8" i="17"/>
  <c r="F7" i="17"/>
  <c r="E7" i="17"/>
  <c r="E9" i="17"/>
  <c r="E13" i="15"/>
  <c r="E15" i="15"/>
  <c r="E14" i="15"/>
  <c r="F13" i="15"/>
  <c r="E39" i="15"/>
  <c r="E38" i="15"/>
  <c r="F37" i="15"/>
  <c r="E37" i="15"/>
  <c r="F58" i="16"/>
  <c r="E58" i="16"/>
  <c r="E60" i="16"/>
  <c r="E59" i="16"/>
  <c r="E66" i="15"/>
  <c r="E65" i="15"/>
  <c r="F64" i="15"/>
  <c r="E64" i="15"/>
  <c r="E71" i="16"/>
  <c r="F70" i="16"/>
  <c r="E70" i="16"/>
  <c r="E72" i="16"/>
  <c r="H18" i="2"/>
  <c r="E13" i="16"/>
  <c r="F13" i="16"/>
  <c r="E15" i="16"/>
  <c r="E14" i="16"/>
  <c r="F58" i="15"/>
  <c r="E58" i="15"/>
  <c r="E71" i="15"/>
  <c r="F70" i="15"/>
  <c r="E72" i="15"/>
  <c r="E70" i="15"/>
  <c r="E10" i="15"/>
  <c r="E12" i="15"/>
  <c r="E11" i="15"/>
  <c r="F10" i="15"/>
  <c r="E20" i="17"/>
  <c r="F19" i="17"/>
  <c r="E19" i="17"/>
  <c r="E21" i="17"/>
  <c r="E32" i="17"/>
  <c r="E31" i="17"/>
  <c r="E33" i="17"/>
  <c r="E34" i="16"/>
  <c r="E36" i="16"/>
  <c r="E35" i="16"/>
  <c r="E63" i="15"/>
  <c r="E62" i="15"/>
  <c r="F61" i="15"/>
  <c r="E61" i="15"/>
  <c r="F67" i="16"/>
  <c r="E69" i="16"/>
  <c r="E67" i="16"/>
  <c r="E68" i="16"/>
  <c r="E74" i="15"/>
  <c r="F73" i="15"/>
  <c r="E73" i="15"/>
  <c r="E75" i="15"/>
  <c r="F750" i="11"/>
  <c r="F745" i="11"/>
  <c r="F746" i="11" s="1"/>
  <c r="F747" i="11" s="1"/>
  <c r="F748" i="11" s="1"/>
  <c r="F749" i="11" s="1"/>
  <c r="D720" i="11"/>
  <c r="D721" i="11" s="1"/>
  <c r="D722" i="11" s="1"/>
  <c r="D723" i="11" s="1"/>
  <c r="D724" i="11" s="1"/>
  <c r="D725" i="11" s="1"/>
  <c r="D726" i="11" s="1"/>
  <c r="D727" i="11" s="1"/>
  <c r="D728" i="11" s="1"/>
  <c r="D717" i="11"/>
  <c r="D718" i="11" s="1"/>
  <c r="D719" i="11" s="1"/>
  <c r="C279" i="11"/>
  <c r="C280" i="11" s="1"/>
  <c r="C281" i="11" s="1"/>
  <c r="C282" i="11" s="1"/>
  <c r="C283" i="11" s="1"/>
  <c r="C284" i="11" s="1"/>
  <c r="D288" i="11"/>
  <c r="D289" i="11" s="1"/>
  <c r="D290" i="11" s="1"/>
  <c r="D291" i="11" s="1"/>
  <c r="D292" i="11" s="1"/>
  <c r="D293" i="11" s="1"/>
  <c r="F399" i="11"/>
  <c r="F400" i="11" s="1"/>
  <c r="F401" i="11" s="1"/>
  <c r="F397" i="11"/>
  <c r="F398" i="11" s="1"/>
  <c r="F288" i="11"/>
  <c r="F286" i="11"/>
  <c r="F287" i="11" s="1"/>
  <c r="F180" i="11"/>
  <c r="F178" i="11"/>
  <c r="F179" i="11" s="1"/>
  <c r="F93" i="11"/>
  <c r="F94" i="11" s="1"/>
  <c r="F95" i="11" s="1"/>
  <c r="F91" i="11"/>
  <c r="F92" i="11" s="1"/>
  <c r="E58" i="17"/>
  <c r="E60" i="17"/>
  <c r="E59" i="17"/>
  <c r="F58" i="17"/>
  <c r="E70" i="17"/>
  <c r="F70" i="17"/>
  <c r="E72" i="17"/>
  <c r="E71" i="17"/>
  <c r="E67" i="17"/>
  <c r="E69" i="17"/>
  <c r="F67" i="17"/>
  <c r="E68" i="17"/>
  <c r="E64" i="17"/>
  <c r="F64" i="17"/>
  <c r="E66" i="17"/>
  <c r="E65" i="17"/>
  <c r="E55" i="17"/>
  <c r="F55" i="17"/>
  <c r="E57" i="17"/>
  <c r="E56" i="17"/>
  <c r="E61" i="17"/>
  <c r="E63" i="17"/>
  <c r="F61" i="17"/>
  <c r="E62" i="17"/>
  <c r="E73" i="17"/>
  <c r="E75" i="17"/>
  <c r="E74" i="17"/>
  <c r="F73" i="17"/>
  <c r="C13" i="1"/>
  <c r="C14" i="1" s="1"/>
  <c r="C15" i="1" s="1"/>
  <c r="C16" i="1" s="1"/>
  <c r="C17" i="1" s="1"/>
  <c r="H20" i="2"/>
  <c r="H21" i="2" s="1"/>
  <c r="C13" i="2"/>
  <c r="C14" i="2" s="1"/>
  <c r="C15" i="2" s="1"/>
  <c r="C16" i="2" s="1"/>
  <c r="C17" i="2" s="1"/>
  <c r="AJ25" i="16" l="1"/>
  <c r="AK25" i="16"/>
  <c r="Y25" i="16"/>
  <c r="M25" i="16"/>
  <c r="AC25" i="16"/>
  <c r="U25" i="16"/>
  <c r="I25" i="16"/>
  <c r="AG25" i="16"/>
  <c r="Q25" i="16"/>
  <c r="N25" i="16"/>
  <c r="AD25" i="16"/>
  <c r="R25" i="16"/>
  <c r="AH25" i="16"/>
  <c r="S25" i="16"/>
  <c r="Z25" i="16"/>
  <c r="AA25" i="16"/>
  <c r="P25" i="16"/>
  <c r="AF25" i="16"/>
  <c r="K25" i="16"/>
  <c r="AE25" i="16"/>
  <c r="T25" i="16"/>
  <c r="J25" i="16"/>
  <c r="O25" i="16"/>
  <c r="AI25" i="16"/>
  <c r="H25" i="16"/>
  <c r="X25" i="16"/>
  <c r="V25" i="16"/>
  <c r="W25" i="16"/>
  <c r="L25" i="16"/>
  <c r="AB25" i="16"/>
  <c r="F26" i="16"/>
  <c r="W19" i="17"/>
  <c r="M19" i="17"/>
  <c r="F20" i="17"/>
  <c r="AH19" i="17"/>
  <c r="R19" i="17"/>
  <c r="AB19" i="17"/>
  <c r="L19" i="17"/>
  <c r="V19" i="17"/>
  <c r="AE19" i="17"/>
  <c r="J19" i="17"/>
  <c r="S19" i="17"/>
  <c r="X19" i="17"/>
  <c r="H19" i="17"/>
  <c r="Q19" i="17"/>
  <c r="Z19" i="17"/>
  <c r="AI19" i="17"/>
  <c r="N19" i="17"/>
  <c r="AF19" i="17"/>
  <c r="P19" i="17"/>
  <c r="AA19" i="17"/>
  <c r="AK19" i="17"/>
  <c r="O19" i="17"/>
  <c r="Y19" i="17"/>
  <c r="AC19" i="17"/>
  <c r="T19" i="17"/>
  <c r="AD19" i="17"/>
  <c r="AG19" i="17"/>
  <c r="I19" i="17"/>
  <c r="K19" i="17"/>
  <c r="AJ19" i="17"/>
  <c r="U19" i="17"/>
  <c r="F14" i="16"/>
  <c r="Z64" i="15"/>
  <c r="AJ64" i="15"/>
  <c r="AH64" i="15"/>
  <c r="J64" i="15"/>
  <c r="R64" i="15"/>
  <c r="V64" i="15"/>
  <c r="AD64" i="15"/>
  <c r="Q64" i="15"/>
  <c r="AG64" i="15"/>
  <c r="S64" i="15"/>
  <c r="AI64" i="15"/>
  <c r="P64" i="15"/>
  <c r="AF64" i="15"/>
  <c r="U64" i="15"/>
  <c r="AK64" i="15"/>
  <c r="W64" i="15"/>
  <c r="F65" i="15"/>
  <c r="T64" i="15"/>
  <c r="I64" i="15"/>
  <c r="Y64" i="15"/>
  <c r="K64" i="15"/>
  <c r="AA64" i="15"/>
  <c r="H64" i="15"/>
  <c r="X64" i="15"/>
  <c r="N64" i="15"/>
  <c r="M64" i="15"/>
  <c r="AC64" i="15"/>
  <c r="O64" i="15"/>
  <c r="AE64" i="15"/>
  <c r="L64" i="15"/>
  <c r="AB64" i="15"/>
  <c r="AD37" i="15"/>
  <c r="N37" i="15"/>
  <c r="X37" i="15"/>
  <c r="AB37" i="15"/>
  <c r="J37" i="15"/>
  <c r="AH37" i="15"/>
  <c r="P37" i="15"/>
  <c r="T37" i="15"/>
  <c r="Z37" i="15"/>
  <c r="R37" i="15"/>
  <c r="AF37" i="15"/>
  <c r="AJ37" i="15"/>
  <c r="V37" i="15"/>
  <c r="I37" i="15"/>
  <c r="Y37" i="15"/>
  <c r="S37" i="15"/>
  <c r="AI37" i="15"/>
  <c r="F38" i="15"/>
  <c r="M37" i="15"/>
  <c r="AC37" i="15"/>
  <c r="W37" i="15"/>
  <c r="H37" i="15"/>
  <c r="Q37" i="15"/>
  <c r="AG37" i="15"/>
  <c r="K37" i="15"/>
  <c r="AA37" i="15"/>
  <c r="L37" i="15"/>
  <c r="U37" i="15"/>
  <c r="AK37" i="15"/>
  <c r="O37" i="15"/>
  <c r="AE37" i="15"/>
  <c r="W37" i="17"/>
  <c r="AH37" i="17"/>
  <c r="R37" i="17"/>
  <c r="AC37" i="17"/>
  <c r="X37" i="17"/>
  <c r="I37" i="17"/>
  <c r="Q37" i="17"/>
  <c r="AI37" i="17"/>
  <c r="S37" i="17"/>
  <c r="AD37" i="17"/>
  <c r="N37" i="17"/>
  <c r="U37" i="17"/>
  <c r="P37" i="17"/>
  <c r="AJ37" i="17"/>
  <c r="AB37" i="17"/>
  <c r="AA37" i="17"/>
  <c r="K37" i="17"/>
  <c r="V37" i="17"/>
  <c r="AK37" i="17"/>
  <c r="AF37" i="17"/>
  <c r="Y37" i="17"/>
  <c r="AG37" i="17"/>
  <c r="J37" i="17"/>
  <c r="L37" i="17"/>
  <c r="AE37" i="17"/>
  <c r="M37" i="17"/>
  <c r="O37" i="17"/>
  <c r="H37" i="17"/>
  <c r="Z37" i="17"/>
  <c r="T37" i="17"/>
  <c r="F38" i="17"/>
  <c r="S61" i="16"/>
  <c r="F62" i="16"/>
  <c r="AH61" i="16"/>
  <c r="R61" i="16"/>
  <c r="AF61" i="16"/>
  <c r="P61" i="16"/>
  <c r="Y61" i="16"/>
  <c r="W61" i="16"/>
  <c r="U61" i="16"/>
  <c r="K61" i="16"/>
  <c r="AD61" i="16"/>
  <c r="N61" i="16"/>
  <c r="AB61" i="16"/>
  <c r="L61" i="16"/>
  <c r="Q61" i="16"/>
  <c r="O61" i="16"/>
  <c r="M61" i="16"/>
  <c r="Z61" i="16"/>
  <c r="J61" i="16"/>
  <c r="X61" i="16"/>
  <c r="H61" i="16"/>
  <c r="I61" i="16"/>
  <c r="AK61" i="16"/>
  <c r="V61" i="16"/>
  <c r="AJ61" i="16"/>
  <c r="T61" i="16"/>
  <c r="AG61" i="16"/>
  <c r="AE61" i="16"/>
  <c r="AC61" i="16"/>
  <c r="AA61" i="16"/>
  <c r="AI61" i="16"/>
  <c r="AC34" i="16"/>
  <c r="Y34" i="16"/>
  <c r="J34" i="16"/>
  <c r="AA34" i="16"/>
  <c r="K34" i="16"/>
  <c r="V34" i="16"/>
  <c r="AF34" i="16"/>
  <c r="P34" i="16"/>
  <c r="M34" i="16"/>
  <c r="W34" i="16"/>
  <c r="AH34" i="16"/>
  <c r="R34" i="16"/>
  <c r="AB34" i="16"/>
  <c r="L34" i="16"/>
  <c r="AI34" i="16"/>
  <c r="AD34" i="16"/>
  <c r="X34" i="16"/>
  <c r="I34" i="16"/>
  <c r="AE34" i="16"/>
  <c r="Z34" i="16"/>
  <c r="T34" i="16"/>
  <c r="U34" i="16"/>
  <c r="S34" i="16"/>
  <c r="N34" i="16"/>
  <c r="H34" i="16"/>
  <c r="Q34" i="16"/>
  <c r="F35" i="16"/>
  <c r="AK34" i="16"/>
  <c r="O34" i="16"/>
  <c r="AJ34" i="16"/>
  <c r="AG34" i="16"/>
  <c r="AE28" i="16"/>
  <c r="O28" i="16"/>
  <c r="AD28" i="16"/>
  <c r="N28" i="16"/>
  <c r="AC28" i="16"/>
  <c r="M28" i="16"/>
  <c r="AF28" i="16"/>
  <c r="P28" i="16"/>
  <c r="Z28" i="16"/>
  <c r="J28" i="16"/>
  <c r="Y28" i="16"/>
  <c r="I28" i="16"/>
  <c r="AB28" i="16"/>
  <c r="L28" i="16"/>
  <c r="AH28" i="16"/>
  <c r="R28" i="16"/>
  <c r="AG28" i="16"/>
  <c r="Q28" i="16"/>
  <c r="AJ28" i="16"/>
  <c r="T28" i="16"/>
  <c r="AI28" i="16"/>
  <c r="AA28" i="16"/>
  <c r="V28" i="16"/>
  <c r="X28" i="16"/>
  <c r="W28" i="16"/>
  <c r="AK28" i="16"/>
  <c r="H28" i="16"/>
  <c r="S28" i="16"/>
  <c r="U28" i="16"/>
  <c r="K28" i="16"/>
  <c r="F29" i="16"/>
  <c r="AK28" i="17"/>
  <c r="U28" i="17"/>
  <c r="AH28" i="17"/>
  <c r="R28" i="17"/>
  <c r="AA28" i="17"/>
  <c r="X28" i="17"/>
  <c r="W28" i="17"/>
  <c r="T28" i="17"/>
  <c r="AG28" i="17"/>
  <c r="Q28" i="17"/>
  <c r="AD28" i="17"/>
  <c r="N28" i="17"/>
  <c r="S28" i="17"/>
  <c r="P28" i="17"/>
  <c r="O28" i="17"/>
  <c r="L28" i="17"/>
  <c r="AC28" i="17"/>
  <c r="M28" i="17"/>
  <c r="Z28" i="17"/>
  <c r="J28" i="17"/>
  <c r="K28" i="17"/>
  <c r="H28" i="17"/>
  <c r="AJ28" i="17"/>
  <c r="Y28" i="17"/>
  <c r="I28" i="17"/>
  <c r="V28" i="17"/>
  <c r="AI28" i="17"/>
  <c r="AF28" i="17"/>
  <c r="AE28" i="17"/>
  <c r="AB28" i="17"/>
  <c r="F29" i="17"/>
  <c r="AJ31" i="16"/>
  <c r="Q31" i="16"/>
  <c r="U31" i="16"/>
  <c r="AC31" i="16"/>
  <c r="M31" i="16"/>
  <c r="AG31" i="16"/>
  <c r="AK31" i="16"/>
  <c r="I31" i="16"/>
  <c r="R31" i="16"/>
  <c r="AH31" i="16"/>
  <c r="Y31" i="16"/>
  <c r="V31" i="16"/>
  <c r="AD31" i="16"/>
  <c r="O31" i="16"/>
  <c r="AE31" i="16"/>
  <c r="T31" i="16"/>
  <c r="J31" i="16"/>
  <c r="S31" i="16"/>
  <c r="AI31" i="16"/>
  <c r="H31" i="16"/>
  <c r="X31" i="16"/>
  <c r="F32" i="16"/>
  <c r="N31" i="16"/>
  <c r="W31" i="16"/>
  <c r="L31" i="16"/>
  <c r="AB31" i="16"/>
  <c r="Z31" i="16"/>
  <c r="K31" i="16"/>
  <c r="AA31" i="16"/>
  <c r="P31" i="16"/>
  <c r="AF31" i="16"/>
  <c r="AD61" i="15"/>
  <c r="K61" i="15"/>
  <c r="AH61" i="15"/>
  <c r="V61" i="15"/>
  <c r="AA61" i="15"/>
  <c r="AJ61" i="15"/>
  <c r="T61" i="15"/>
  <c r="AK61" i="15"/>
  <c r="U61" i="15"/>
  <c r="O61" i="15"/>
  <c r="N61" i="15"/>
  <c r="J61" i="15"/>
  <c r="AF61" i="15"/>
  <c r="P61" i="15"/>
  <c r="AG61" i="15"/>
  <c r="Q61" i="15"/>
  <c r="W61" i="15"/>
  <c r="Z61" i="15"/>
  <c r="S61" i="15"/>
  <c r="AB61" i="15"/>
  <c r="L61" i="15"/>
  <c r="AC61" i="15"/>
  <c r="M61" i="15"/>
  <c r="AE61" i="15"/>
  <c r="AI61" i="15"/>
  <c r="R61" i="15"/>
  <c r="X61" i="15"/>
  <c r="H61" i="15"/>
  <c r="Y61" i="15"/>
  <c r="I61" i="15"/>
  <c r="F62" i="15"/>
  <c r="AA58" i="15"/>
  <c r="J58" i="15"/>
  <c r="N58" i="15"/>
  <c r="AD58" i="15"/>
  <c r="AI58" i="15"/>
  <c r="S58" i="15"/>
  <c r="Z58" i="15"/>
  <c r="AH58" i="15"/>
  <c r="R58" i="15"/>
  <c r="AJ58" i="15"/>
  <c r="T58" i="15"/>
  <c r="AK58" i="15"/>
  <c r="U58" i="15"/>
  <c r="O58" i="15"/>
  <c r="AF58" i="15"/>
  <c r="P58" i="15"/>
  <c r="AG58" i="15"/>
  <c r="Q58" i="15"/>
  <c r="W58" i="15"/>
  <c r="K58" i="15"/>
  <c r="AB58" i="15"/>
  <c r="L58" i="15"/>
  <c r="AC58" i="15"/>
  <c r="M58" i="15"/>
  <c r="AE58" i="15"/>
  <c r="V58" i="15"/>
  <c r="X58" i="15"/>
  <c r="H58" i="15"/>
  <c r="Y58" i="15"/>
  <c r="I58" i="15"/>
  <c r="F59" i="15"/>
  <c r="F71" i="16"/>
  <c r="AJ70" i="16"/>
  <c r="T70" i="16"/>
  <c r="AH70" i="16"/>
  <c r="R70" i="16"/>
  <c r="AG70" i="16"/>
  <c r="Q70" i="16"/>
  <c r="K70" i="16"/>
  <c r="W70" i="16"/>
  <c r="AF70" i="16"/>
  <c r="P70" i="16"/>
  <c r="AD70" i="16"/>
  <c r="N70" i="16"/>
  <c r="AC70" i="16"/>
  <c r="M70" i="16"/>
  <c r="AI70" i="16"/>
  <c r="AB70" i="16"/>
  <c r="L70" i="16"/>
  <c r="Z70" i="16"/>
  <c r="J70" i="16"/>
  <c r="Y70" i="16"/>
  <c r="I70" i="16"/>
  <c r="S70" i="16"/>
  <c r="O70" i="16"/>
  <c r="X70" i="16"/>
  <c r="H70" i="16"/>
  <c r="V70" i="16"/>
  <c r="AK70" i="16"/>
  <c r="U70" i="16"/>
  <c r="AA70" i="16"/>
  <c r="AE70" i="16"/>
  <c r="Y64" i="16"/>
  <c r="AG64" i="16"/>
  <c r="F65" i="16"/>
  <c r="X64" i="16"/>
  <c r="H64" i="16"/>
  <c r="V64" i="16"/>
  <c r="AE64" i="16"/>
  <c r="AC64" i="16"/>
  <c r="AA64" i="16"/>
  <c r="I64" i="16"/>
  <c r="AJ64" i="16"/>
  <c r="T64" i="16"/>
  <c r="AH64" i="16"/>
  <c r="R64" i="16"/>
  <c r="W64" i="16"/>
  <c r="U64" i="16"/>
  <c r="S64" i="16"/>
  <c r="Q64" i="16"/>
  <c r="AF64" i="16"/>
  <c r="P64" i="16"/>
  <c r="AD64" i="16"/>
  <c r="N64" i="16"/>
  <c r="O64" i="16"/>
  <c r="M64" i="16"/>
  <c r="K64" i="16"/>
  <c r="AB64" i="16"/>
  <c r="L64" i="16"/>
  <c r="Z64" i="16"/>
  <c r="J64" i="16"/>
  <c r="AK64" i="16"/>
  <c r="AI64" i="16"/>
  <c r="AJ73" i="15"/>
  <c r="N73" i="15"/>
  <c r="AD73" i="15"/>
  <c r="J73" i="15"/>
  <c r="Q73" i="15"/>
  <c r="AG73" i="15"/>
  <c r="S73" i="15"/>
  <c r="AI73" i="15"/>
  <c r="L73" i="15"/>
  <c r="AB73" i="15"/>
  <c r="R73" i="15"/>
  <c r="Z73" i="15"/>
  <c r="U73" i="15"/>
  <c r="AK73" i="15"/>
  <c r="W73" i="15"/>
  <c r="F74" i="15"/>
  <c r="P73" i="15"/>
  <c r="AF73" i="15"/>
  <c r="AH73" i="15"/>
  <c r="I73" i="15"/>
  <c r="Y73" i="15"/>
  <c r="K73" i="15"/>
  <c r="AA73" i="15"/>
  <c r="T73" i="15"/>
  <c r="V73" i="15"/>
  <c r="M73" i="15"/>
  <c r="AC73" i="15"/>
  <c r="O73" i="15"/>
  <c r="AE73" i="15"/>
  <c r="H73" i="15"/>
  <c r="X73" i="15"/>
  <c r="AB10" i="15"/>
  <c r="H10" i="15"/>
  <c r="AD10" i="15"/>
  <c r="X10" i="15"/>
  <c r="T10" i="15"/>
  <c r="O10" i="15"/>
  <c r="AJ10" i="15"/>
  <c r="K10" i="15"/>
  <c r="N10" i="15"/>
  <c r="AF10" i="15"/>
  <c r="P10" i="15"/>
  <c r="AI10" i="15"/>
  <c r="S10" i="15"/>
  <c r="Y10" i="15"/>
  <c r="I10" i="15"/>
  <c r="AH10" i="15"/>
  <c r="AE10" i="15"/>
  <c r="AK10" i="15"/>
  <c r="U10" i="15"/>
  <c r="L10" i="15"/>
  <c r="AA10" i="15"/>
  <c r="AG10" i="15"/>
  <c r="Q10" i="15"/>
  <c r="R10" i="15"/>
  <c r="V10" i="15"/>
  <c r="J10" i="15"/>
  <c r="F11" i="15"/>
  <c r="W10" i="15"/>
  <c r="AC10" i="15"/>
  <c r="M10" i="15"/>
  <c r="Z10" i="15"/>
  <c r="AJ70" i="15"/>
  <c r="Z70" i="15"/>
  <c r="AH70" i="15"/>
  <c r="J70" i="15"/>
  <c r="R70" i="15"/>
  <c r="AD70" i="15"/>
  <c r="Q70" i="15"/>
  <c r="AG70" i="15"/>
  <c r="S70" i="15"/>
  <c r="AI70" i="15"/>
  <c r="H70" i="15"/>
  <c r="X70" i="15"/>
  <c r="U70" i="15"/>
  <c r="AK70" i="15"/>
  <c r="W70" i="15"/>
  <c r="F71" i="15"/>
  <c r="L70" i="15"/>
  <c r="AB70" i="15"/>
  <c r="I70" i="15"/>
  <c r="Y70" i="15"/>
  <c r="K70" i="15"/>
  <c r="AA70" i="15"/>
  <c r="P70" i="15"/>
  <c r="AF70" i="15"/>
  <c r="N70" i="15"/>
  <c r="V70" i="15"/>
  <c r="M70" i="15"/>
  <c r="AC70" i="15"/>
  <c r="O70" i="15"/>
  <c r="AE70" i="15"/>
  <c r="T70" i="15"/>
  <c r="W58" i="16"/>
  <c r="F59" i="16"/>
  <c r="AF58" i="16"/>
  <c r="Z58" i="16"/>
  <c r="J58" i="16"/>
  <c r="P58" i="16"/>
  <c r="T58" i="16"/>
  <c r="X58" i="16"/>
  <c r="AB58" i="16"/>
  <c r="V58" i="16"/>
  <c r="AI58" i="16"/>
  <c r="K58" i="16"/>
  <c r="O58" i="16"/>
  <c r="S58" i="16"/>
  <c r="AH58" i="16"/>
  <c r="R58" i="16"/>
  <c r="AA58" i="16"/>
  <c r="AG58" i="16"/>
  <c r="I58" i="16"/>
  <c r="M58" i="16"/>
  <c r="AC58" i="16"/>
  <c r="L58" i="16"/>
  <c r="AJ58" i="16"/>
  <c r="AD58" i="16"/>
  <c r="N58" i="16"/>
  <c r="U58" i="16"/>
  <c r="Y58" i="16"/>
  <c r="AE58" i="16"/>
  <c r="H58" i="16"/>
  <c r="Q58" i="16"/>
  <c r="AK58" i="16"/>
  <c r="AJ67" i="15"/>
  <c r="Q67" i="15"/>
  <c r="AG67" i="15"/>
  <c r="S67" i="15"/>
  <c r="AI67" i="15"/>
  <c r="T67" i="15"/>
  <c r="J67" i="15"/>
  <c r="N67" i="15"/>
  <c r="R67" i="15"/>
  <c r="U67" i="15"/>
  <c r="AK67" i="15"/>
  <c r="W67" i="15"/>
  <c r="F68" i="15"/>
  <c r="H67" i="15"/>
  <c r="X67" i="15"/>
  <c r="V67" i="15"/>
  <c r="Z67" i="15"/>
  <c r="AD67" i="15"/>
  <c r="AH67" i="15"/>
  <c r="I67" i="15"/>
  <c r="Y67" i="15"/>
  <c r="K67" i="15"/>
  <c r="AA67" i="15"/>
  <c r="L67" i="15"/>
  <c r="AB67" i="15"/>
  <c r="M67" i="15"/>
  <c r="AC67" i="15"/>
  <c r="O67" i="15"/>
  <c r="AE67" i="15"/>
  <c r="P67" i="15"/>
  <c r="AF67" i="15"/>
  <c r="N55" i="15"/>
  <c r="AD55" i="15"/>
  <c r="AH55" i="15"/>
  <c r="S55" i="15"/>
  <c r="R55" i="15"/>
  <c r="AA55" i="15"/>
  <c r="AI55" i="15"/>
  <c r="V55" i="15"/>
  <c r="J55" i="15"/>
  <c r="Z55" i="15"/>
  <c r="K55" i="15"/>
  <c r="AJ55" i="15"/>
  <c r="T55" i="15"/>
  <c r="AK55" i="15"/>
  <c r="U55" i="15"/>
  <c r="O55" i="15"/>
  <c r="AF55" i="15"/>
  <c r="P55" i="15"/>
  <c r="AG55" i="15"/>
  <c r="Q55" i="15"/>
  <c r="W55" i="15"/>
  <c r="AB55" i="15"/>
  <c r="L55" i="15"/>
  <c r="AC55" i="15"/>
  <c r="M55" i="15"/>
  <c r="AE55" i="15"/>
  <c r="X55" i="15"/>
  <c r="H55" i="15"/>
  <c r="Y55" i="15"/>
  <c r="I55" i="15"/>
  <c r="F56" i="15"/>
  <c r="F35" i="15"/>
  <c r="X34" i="15"/>
  <c r="H34" i="15"/>
  <c r="L34" i="15"/>
  <c r="T34" i="15"/>
  <c r="P34" i="15"/>
  <c r="AJ34" i="15"/>
  <c r="AF34" i="15"/>
  <c r="AB34" i="15"/>
  <c r="AH34" i="15"/>
  <c r="V34" i="15"/>
  <c r="I34" i="15"/>
  <c r="Y34" i="15"/>
  <c r="O34" i="15"/>
  <c r="AE34" i="15"/>
  <c r="J34" i="15"/>
  <c r="AD34" i="15"/>
  <c r="M34" i="15"/>
  <c r="AC34" i="15"/>
  <c r="S34" i="15"/>
  <c r="AI34" i="15"/>
  <c r="R34" i="15"/>
  <c r="Q34" i="15"/>
  <c r="AG34" i="15"/>
  <c r="W34" i="15"/>
  <c r="Z34" i="15"/>
  <c r="N34" i="15"/>
  <c r="U34" i="15"/>
  <c r="AK34" i="15"/>
  <c r="K34" i="15"/>
  <c r="AA34" i="15"/>
  <c r="Y34" i="17"/>
  <c r="I34" i="17"/>
  <c r="V34" i="17"/>
  <c r="AE34" i="17"/>
  <c r="AB34" i="17"/>
  <c r="AA34" i="17"/>
  <c r="X34" i="17"/>
  <c r="AC34" i="17"/>
  <c r="M34" i="17"/>
  <c r="Z34" i="17"/>
  <c r="J34" i="17"/>
  <c r="AJ34" i="17"/>
  <c r="AI34" i="17"/>
  <c r="AF34" i="17"/>
  <c r="U34" i="17"/>
  <c r="R34" i="17"/>
  <c r="T34" i="17"/>
  <c r="P34" i="17"/>
  <c r="Q34" i="17"/>
  <c r="N34" i="17"/>
  <c r="L34" i="17"/>
  <c r="H34" i="17"/>
  <c r="AG34" i="17"/>
  <c r="AD34" i="17"/>
  <c r="O34" i="17"/>
  <c r="K34" i="17"/>
  <c r="W34" i="17"/>
  <c r="S34" i="17"/>
  <c r="AK34" i="17"/>
  <c r="AH34" i="17"/>
  <c r="F35" i="17"/>
  <c r="V25" i="17"/>
  <c r="N25" i="17"/>
  <c r="AA25" i="17"/>
  <c r="K25" i="17"/>
  <c r="X25" i="17"/>
  <c r="H25" i="17"/>
  <c r="M25" i="17"/>
  <c r="J25" i="17"/>
  <c r="I25" i="17"/>
  <c r="W25" i="17"/>
  <c r="AJ25" i="17"/>
  <c r="T25" i="17"/>
  <c r="AK25" i="17"/>
  <c r="AH25" i="17"/>
  <c r="AG25" i="17"/>
  <c r="AE25" i="17"/>
  <c r="O25" i="17"/>
  <c r="AB25" i="17"/>
  <c r="L25" i="17"/>
  <c r="U25" i="17"/>
  <c r="R25" i="17"/>
  <c r="Q25" i="17"/>
  <c r="AF25" i="17"/>
  <c r="Y25" i="17"/>
  <c r="AD25" i="17"/>
  <c r="P25" i="17"/>
  <c r="AI25" i="17"/>
  <c r="AC25" i="17"/>
  <c r="S25" i="17"/>
  <c r="Z25" i="17"/>
  <c r="F26" i="17"/>
  <c r="AI55" i="16"/>
  <c r="F56" i="16"/>
  <c r="P55" i="16"/>
  <c r="AB55" i="16"/>
  <c r="AF55" i="16"/>
  <c r="T55" i="16"/>
  <c r="L55" i="16"/>
  <c r="AJ55" i="16"/>
  <c r="X55" i="16"/>
  <c r="H55" i="16"/>
  <c r="M55" i="16"/>
  <c r="AC55" i="16"/>
  <c r="J55" i="16"/>
  <c r="Z55" i="16"/>
  <c r="W55" i="16"/>
  <c r="Q55" i="16"/>
  <c r="AG55" i="16"/>
  <c r="N55" i="16"/>
  <c r="AD55" i="16"/>
  <c r="K55" i="16"/>
  <c r="AA55" i="16"/>
  <c r="U55" i="16"/>
  <c r="AK55" i="16"/>
  <c r="R55" i="16"/>
  <c r="AH55" i="16"/>
  <c r="O55" i="16"/>
  <c r="AE55" i="16"/>
  <c r="I55" i="16"/>
  <c r="Y55" i="16"/>
  <c r="V55" i="16"/>
  <c r="S55" i="16"/>
  <c r="AH13" i="15"/>
  <c r="R13" i="15"/>
  <c r="X13" i="15"/>
  <c r="AB13" i="15"/>
  <c r="N13" i="15"/>
  <c r="P13" i="15"/>
  <c r="T13" i="15"/>
  <c r="AD13" i="15"/>
  <c r="F14" i="15"/>
  <c r="H13" i="15"/>
  <c r="L13" i="15"/>
  <c r="AF13" i="15"/>
  <c r="AJ13" i="15"/>
  <c r="V13" i="15"/>
  <c r="Z13" i="15"/>
  <c r="I13" i="15"/>
  <c r="Y13" i="15"/>
  <c r="S13" i="15"/>
  <c r="AI13" i="15"/>
  <c r="J13" i="15"/>
  <c r="M13" i="15"/>
  <c r="AC13" i="15"/>
  <c r="W13" i="15"/>
  <c r="Q13" i="15"/>
  <c r="AG13" i="15"/>
  <c r="K13" i="15"/>
  <c r="AA13" i="15"/>
  <c r="U13" i="15"/>
  <c r="AK13" i="15"/>
  <c r="O13" i="15"/>
  <c r="AE13" i="15"/>
  <c r="AH25" i="15"/>
  <c r="R25" i="15"/>
  <c r="N25" i="15"/>
  <c r="AD25" i="15"/>
  <c r="X25" i="15"/>
  <c r="AB25" i="15"/>
  <c r="J25" i="15"/>
  <c r="P25" i="15"/>
  <c r="T25" i="15"/>
  <c r="Z25" i="15"/>
  <c r="AF25" i="15"/>
  <c r="AJ25" i="15"/>
  <c r="V25" i="15"/>
  <c r="L25" i="15"/>
  <c r="I25" i="15"/>
  <c r="Y25" i="15"/>
  <c r="S25" i="15"/>
  <c r="AI25" i="15"/>
  <c r="M25" i="15"/>
  <c r="AC25" i="15"/>
  <c r="W25" i="15"/>
  <c r="F26" i="15"/>
  <c r="Q25" i="15"/>
  <c r="AG25" i="15"/>
  <c r="K25" i="15"/>
  <c r="AA25" i="15"/>
  <c r="H25" i="15"/>
  <c r="U25" i="15"/>
  <c r="AK25" i="15"/>
  <c r="O25" i="15"/>
  <c r="AE25" i="15"/>
  <c r="F20" i="16"/>
  <c r="AE13" i="17"/>
  <c r="K13" i="17"/>
  <c r="W13" i="17"/>
  <c r="AA13" i="17"/>
  <c r="O13" i="17"/>
  <c r="V13" i="17"/>
  <c r="AK13" i="17"/>
  <c r="U13" i="17"/>
  <c r="AJ13" i="17"/>
  <c r="T13" i="17"/>
  <c r="AH13" i="17"/>
  <c r="R13" i="17"/>
  <c r="AG13" i="17"/>
  <c r="Q13" i="17"/>
  <c r="AF13" i="17"/>
  <c r="P13" i="17"/>
  <c r="S13" i="17"/>
  <c r="Z13" i="17"/>
  <c r="J13" i="17"/>
  <c r="Y13" i="17"/>
  <c r="I13" i="17"/>
  <c r="X13" i="17"/>
  <c r="H13" i="17"/>
  <c r="AD13" i="17"/>
  <c r="AB13" i="17"/>
  <c r="N13" i="17"/>
  <c r="L13" i="17"/>
  <c r="AI13" i="17"/>
  <c r="AC13" i="17"/>
  <c r="M13" i="17"/>
  <c r="F14" i="17"/>
  <c r="Y67" i="16"/>
  <c r="I67" i="16"/>
  <c r="AD67" i="16"/>
  <c r="N67" i="16"/>
  <c r="AB67" i="16"/>
  <c r="L67" i="16"/>
  <c r="AA67" i="16"/>
  <c r="K67" i="16"/>
  <c r="M67" i="16"/>
  <c r="Z67" i="16"/>
  <c r="J67" i="16"/>
  <c r="X67" i="16"/>
  <c r="H67" i="16"/>
  <c r="W67" i="16"/>
  <c r="AK67" i="16"/>
  <c r="V67" i="16"/>
  <c r="AJ67" i="16"/>
  <c r="T67" i="16"/>
  <c r="AI67" i="16"/>
  <c r="S67" i="16"/>
  <c r="U67" i="16"/>
  <c r="F68" i="16"/>
  <c r="Q67" i="16"/>
  <c r="AH67" i="16"/>
  <c r="R67" i="16"/>
  <c r="AF67" i="16"/>
  <c r="P67" i="16"/>
  <c r="AE67" i="16"/>
  <c r="O67" i="16"/>
  <c r="AC67" i="16"/>
  <c r="AG67" i="16"/>
  <c r="AE37" i="16"/>
  <c r="O37" i="16"/>
  <c r="U37" i="16"/>
  <c r="AJ37" i="16"/>
  <c r="T37" i="16"/>
  <c r="AH37" i="16"/>
  <c r="R37" i="16"/>
  <c r="AG37" i="16"/>
  <c r="Q37" i="16"/>
  <c r="AF37" i="16"/>
  <c r="P37" i="16"/>
  <c r="AD37" i="16"/>
  <c r="N37" i="16"/>
  <c r="AC37" i="16"/>
  <c r="M37" i="16"/>
  <c r="AB37" i="16"/>
  <c r="L37" i="16"/>
  <c r="Z37" i="16"/>
  <c r="J37" i="16"/>
  <c r="Y37" i="16"/>
  <c r="I37" i="16"/>
  <c r="X37" i="16"/>
  <c r="H37" i="16"/>
  <c r="V37" i="16"/>
  <c r="W37" i="16"/>
  <c r="AA37" i="16"/>
  <c r="F38" i="16"/>
  <c r="AK38" i="16" s="1"/>
  <c r="S37" i="16"/>
  <c r="AI37" i="16"/>
  <c r="K37" i="16"/>
  <c r="AI7" i="17"/>
  <c r="F8" i="17"/>
  <c r="AA7" i="17"/>
  <c r="S7" i="17"/>
  <c r="H7" i="17"/>
  <c r="X7" i="17"/>
  <c r="Q7" i="17"/>
  <c r="O7" i="17"/>
  <c r="L7" i="17"/>
  <c r="AE7" i="17"/>
  <c r="W7" i="17"/>
  <c r="P7" i="17"/>
  <c r="K7" i="17"/>
  <c r="T7" i="17"/>
  <c r="M7" i="17"/>
  <c r="AD7" i="17"/>
  <c r="AJ7" i="17"/>
  <c r="J7" i="17"/>
  <c r="Z7" i="17"/>
  <c r="I7" i="17"/>
  <c r="AK7" i="17"/>
  <c r="AF7" i="17"/>
  <c r="N7" i="17"/>
  <c r="Y7" i="17"/>
  <c r="AH7" i="17"/>
  <c r="AC7" i="17"/>
  <c r="V7" i="17"/>
  <c r="U7" i="17"/>
  <c r="AG7" i="17"/>
  <c r="AB7" i="17"/>
  <c r="R7" i="17"/>
  <c r="F11" i="16"/>
  <c r="Z73" i="16"/>
  <c r="J73" i="16"/>
  <c r="X73" i="16"/>
  <c r="H73" i="16"/>
  <c r="W73" i="16"/>
  <c r="AG73" i="16"/>
  <c r="M73" i="16"/>
  <c r="F74" i="16"/>
  <c r="V73" i="16"/>
  <c r="AJ73" i="16"/>
  <c r="T73" i="16"/>
  <c r="AI73" i="16"/>
  <c r="S73" i="16"/>
  <c r="Q73" i="16"/>
  <c r="AK73" i="16"/>
  <c r="U73" i="16"/>
  <c r="AH73" i="16"/>
  <c r="R73" i="16"/>
  <c r="AF73" i="16"/>
  <c r="P73" i="16"/>
  <c r="AE73" i="16"/>
  <c r="O73" i="16"/>
  <c r="Y73" i="16"/>
  <c r="AC73" i="16"/>
  <c r="AD73" i="16"/>
  <c r="N73" i="16"/>
  <c r="AB73" i="16"/>
  <c r="L73" i="16"/>
  <c r="AA73" i="16"/>
  <c r="K73" i="16"/>
  <c r="I73" i="16"/>
  <c r="F29" i="15"/>
  <c r="L28" i="15"/>
  <c r="AB28" i="15"/>
  <c r="X28" i="15"/>
  <c r="P28" i="15"/>
  <c r="H28" i="15"/>
  <c r="AF28" i="15"/>
  <c r="T28" i="15"/>
  <c r="AJ28" i="15"/>
  <c r="Z28" i="15"/>
  <c r="I28" i="15"/>
  <c r="Y28" i="15"/>
  <c r="W28" i="15"/>
  <c r="N28" i="15"/>
  <c r="AH28" i="15"/>
  <c r="M28" i="15"/>
  <c r="AC28" i="15"/>
  <c r="K28" i="15"/>
  <c r="AA28" i="15"/>
  <c r="V28" i="15"/>
  <c r="J28" i="15"/>
  <c r="Q28" i="15"/>
  <c r="AG28" i="15"/>
  <c r="O28" i="15"/>
  <c r="AE28" i="15"/>
  <c r="AD28" i="15"/>
  <c r="R28" i="15"/>
  <c r="U28" i="15"/>
  <c r="AK28" i="15"/>
  <c r="S28" i="15"/>
  <c r="AI28" i="15"/>
  <c r="AH31" i="15"/>
  <c r="R31" i="15"/>
  <c r="AB31" i="15"/>
  <c r="X31" i="15"/>
  <c r="J31" i="15"/>
  <c r="T31" i="15"/>
  <c r="P31" i="15"/>
  <c r="Z31" i="15"/>
  <c r="F32" i="15"/>
  <c r="L31" i="15"/>
  <c r="H31" i="15"/>
  <c r="AJ31" i="15"/>
  <c r="AF31" i="15"/>
  <c r="V31" i="15"/>
  <c r="AD31" i="15"/>
  <c r="I31" i="15"/>
  <c r="Y31" i="15"/>
  <c r="K31" i="15"/>
  <c r="AA31" i="15"/>
  <c r="M31" i="15"/>
  <c r="AC31" i="15"/>
  <c r="O31" i="15"/>
  <c r="AE31" i="15"/>
  <c r="N31" i="15"/>
  <c r="Q31" i="15"/>
  <c r="AG31" i="15"/>
  <c r="S31" i="15"/>
  <c r="AI31" i="15"/>
  <c r="U31" i="15"/>
  <c r="AK31" i="15"/>
  <c r="W31" i="15"/>
  <c r="AE31" i="17"/>
  <c r="O31" i="17"/>
  <c r="AB31" i="17"/>
  <c r="L31" i="17"/>
  <c r="Q31" i="17"/>
  <c r="N31" i="17"/>
  <c r="M31" i="17"/>
  <c r="J31" i="17"/>
  <c r="AA31" i="17"/>
  <c r="K31" i="17"/>
  <c r="X31" i="17"/>
  <c r="H31" i="17"/>
  <c r="I31" i="17"/>
  <c r="AK31" i="17"/>
  <c r="AH31" i="17"/>
  <c r="W31" i="17"/>
  <c r="AJ31" i="17"/>
  <c r="T31" i="17"/>
  <c r="AG31" i="17"/>
  <c r="AD31" i="17"/>
  <c r="AC31" i="17"/>
  <c r="Z31" i="17"/>
  <c r="AI31" i="17"/>
  <c r="S31" i="17"/>
  <c r="AF31" i="17"/>
  <c r="P31" i="17"/>
  <c r="Y31" i="17"/>
  <c r="V31" i="17"/>
  <c r="U31" i="17"/>
  <c r="R31" i="17"/>
  <c r="F32" i="17"/>
  <c r="D732" i="11"/>
  <c r="D733" i="11" s="1"/>
  <c r="D734" i="11" s="1"/>
  <c r="D735" i="11" s="1"/>
  <c r="D736" i="11" s="1"/>
  <c r="D737" i="11" s="1"/>
  <c r="D738" i="11" s="1"/>
  <c r="D739" i="11" s="1"/>
  <c r="D740" i="11" s="1"/>
  <c r="D729" i="11"/>
  <c r="D730" i="11" s="1"/>
  <c r="D731" i="11" s="1"/>
  <c r="F751" i="11"/>
  <c r="F752" i="11" s="1"/>
  <c r="F753" i="11" s="1"/>
  <c r="F754" i="11" s="1"/>
  <c r="F755" i="11" s="1"/>
  <c r="F756" i="11"/>
  <c r="F757" i="11" s="1"/>
  <c r="F758" i="11" s="1"/>
  <c r="F759" i="11" s="1"/>
  <c r="F760" i="11" s="1"/>
  <c r="F761" i="11" s="1"/>
  <c r="C285" i="11"/>
  <c r="C286" i="11" s="1"/>
  <c r="C287" i="11" s="1"/>
  <c r="C288" i="11" s="1"/>
  <c r="C289" i="11" s="1"/>
  <c r="C290" i="11" s="1"/>
  <c r="F291" i="11"/>
  <c r="F292" i="11" s="1"/>
  <c r="F293" i="11" s="1"/>
  <c r="F289" i="11"/>
  <c r="F290" i="11" s="1"/>
  <c r="F183" i="11"/>
  <c r="F184" i="11" s="1"/>
  <c r="F185" i="11" s="1"/>
  <c r="F181" i="11"/>
  <c r="F182" i="11" s="1"/>
  <c r="AH73" i="17"/>
  <c r="AD73" i="17"/>
  <c r="Z73" i="17"/>
  <c r="V73" i="17"/>
  <c r="R73" i="17"/>
  <c r="N73" i="17"/>
  <c r="J73" i="17"/>
  <c r="AJ73" i="17"/>
  <c r="AF73" i="17"/>
  <c r="AB73" i="17"/>
  <c r="X73" i="17"/>
  <c r="T73" i="17"/>
  <c r="P73" i="17"/>
  <c r="L73" i="17"/>
  <c r="H73" i="17"/>
  <c r="AI73" i="17"/>
  <c r="AE73" i="17"/>
  <c r="AA73" i="17"/>
  <c r="W73" i="17"/>
  <c r="S73" i="17"/>
  <c r="O73" i="17"/>
  <c r="K73" i="17"/>
  <c r="AK73" i="17"/>
  <c r="U73" i="17"/>
  <c r="AC73" i="17"/>
  <c r="M73" i="17"/>
  <c r="Y73" i="17"/>
  <c r="I73" i="17"/>
  <c r="AG73" i="17"/>
  <c r="Q73" i="17"/>
  <c r="F74" i="17"/>
  <c r="AI58" i="17"/>
  <c r="AE58" i="17"/>
  <c r="AA58" i="17"/>
  <c r="W58" i="17"/>
  <c r="S58" i="17"/>
  <c r="O58" i="17"/>
  <c r="K58" i="17"/>
  <c r="AK58" i="17"/>
  <c r="AG58" i="17"/>
  <c r="AC58" i="17"/>
  <c r="Y58" i="17"/>
  <c r="U58" i="17"/>
  <c r="Q58" i="17"/>
  <c r="M58" i="17"/>
  <c r="I58" i="17"/>
  <c r="AJ58" i="17"/>
  <c r="AF58" i="17"/>
  <c r="AB58" i="17"/>
  <c r="X58" i="17"/>
  <c r="T58" i="17"/>
  <c r="P58" i="17"/>
  <c r="L58" i="17"/>
  <c r="H58" i="17"/>
  <c r="Z58" i="17"/>
  <c r="J58" i="17"/>
  <c r="V58" i="17"/>
  <c r="AH58" i="17"/>
  <c r="R58" i="17"/>
  <c r="AD58" i="17"/>
  <c r="N58" i="17"/>
  <c r="F59" i="17"/>
  <c r="AK61" i="17"/>
  <c r="AG61" i="17"/>
  <c r="AC61" i="17"/>
  <c r="Y61" i="17"/>
  <c r="U61" i="17"/>
  <c r="Q61" i="17"/>
  <c r="M61" i="17"/>
  <c r="I61" i="17"/>
  <c r="AI61" i="17"/>
  <c r="AE61" i="17"/>
  <c r="AA61" i="17"/>
  <c r="W61" i="17"/>
  <c r="S61" i="17"/>
  <c r="O61" i="17"/>
  <c r="K61" i="17"/>
  <c r="AH61" i="17"/>
  <c r="AD61" i="17"/>
  <c r="Z61" i="17"/>
  <c r="V61" i="17"/>
  <c r="R61" i="17"/>
  <c r="N61" i="17"/>
  <c r="J61" i="17"/>
  <c r="AF61" i="17"/>
  <c r="P61" i="17"/>
  <c r="AB61" i="17"/>
  <c r="L61" i="17"/>
  <c r="X61" i="17"/>
  <c r="H61" i="17"/>
  <c r="T61" i="17"/>
  <c r="AJ61" i="17"/>
  <c r="F62" i="17"/>
  <c r="AH67" i="17"/>
  <c r="AD67" i="17"/>
  <c r="Z67" i="17"/>
  <c r="V67" i="17"/>
  <c r="R67" i="17"/>
  <c r="N67" i="17"/>
  <c r="J67" i="17"/>
  <c r="AJ67" i="17"/>
  <c r="AF67" i="17"/>
  <c r="AB67" i="17"/>
  <c r="X67" i="17"/>
  <c r="T67" i="17"/>
  <c r="P67" i="17"/>
  <c r="L67" i="17"/>
  <c r="H67" i="17"/>
  <c r="AI67" i="17"/>
  <c r="AE67" i="17"/>
  <c r="AA67" i="17"/>
  <c r="W67" i="17"/>
  <c r="S67" i="17"/>
  <c r="O67" i="17"/>
  <c r="K67" i="17"/>
  <c r="Y67" i="17"/>
  <c r="I67" i="17"/>
  <c r="AG67" i="17"/>
  <c r="Q67" i="17"/>
  <c r="AC67" i="17"/>
  <c r="M67" i="17"/>
  <c r="AK67" i="17"/>
  <c r="U67" i="17"/>
  <c r="F68" i="17"/>
  <c r="AI55" i="17"/>
  <c r="AE55" i="17"/>
  <c r="AA55" i="17"/>
  <c r="W55" i="17"/>
  <c r="S55" i="17"/>
  <c r="O55" i="17"/>
  <c r="K55" i="17"/>
  <c r="AH55" i="17"/>
  <c r="AD55" i="17"/>
  <c r="Z55" i="17"/>
  <c r="V55" i="17"/>
  <c r="R55" i="17"/>
  <c r="N55" i="17"/>
  <c r="J55" i="17"/>
  <c r="AK55" i="17"/>
  <c r="AG55" i="17"/>
  <c r="AC55" i="17"/>
  <c r="Y55" i="17"/>
  <c r="U55" i="17"/>
  <c r="Q55" i="17"/>
  <c r="M55" i="17"/>
  <c r="I55" i="17"/>
  <c r="AJ55" i="17"/>
  <c r="T55" i="17"/>
  <c r="AF55" i="17"/>
  <c r="P55" i="17"/>
  <c r="AB55" i="17"/>
  <c r="L55" i="17"/>
  <c r="H55" i="17"/>
  <c r="X55" i="17"/>
  <c r="F56" i="17"/>
  <c r="AJ64" i="17"/>
  <c r="AH64" i="17"/>
  <c r="AD64" i="17"/>
  <c r="AK64" i="17"/>
  <c r="AG64" i="17"/>
  <c r="AC64" i="17"/>
  <c r="AI64" i="17"/>
  <c r="AA64" i="17"/>
  <c r="W64" i="17"/>
  <c r="S64" i="17"/>
  <c r="O64" i="17"/>
  <c r="K64" i="17"/>
  <c r="AE64" i="17"/>
  <c r="Y64" i="17"/>
  <c r="U64" i="17"/>
  <c r="Q64" i="17"/>
  <c r="M64" i="17"/>
  <c r="I64" i="17"/>
  <c r="AB64" i="17"/>
  <c r="X64" i="17"/>
  <c r="T64" i="17"/>
  <c r="P64" i="17"/>
  <c r="L64" i="17"/>
  <c r="H64" i="17"/>
  <c r="V64" i="17"/>
  <c r="R64" i="17"/>
  <c r="AF64" i="17"/>
  <c r="N64" i="17"/>
  <c r="Z64" i="17"/>
  <c r="J64" i="17"/>
  <c r="F65" i="17"/>
  <c r="AJ70" i="17"/>
  <c r="AF70" i="17"/>
  <c r="AB70" i="17"/>
  <c r="X70" i="17"/>
  <c r="T70" i="17"/>
  <c r="P70" i="17"/>
  <c r="L70" i="17"/>
  <c r="H70" i="17"/>
  <c r="AH70" i="17"/>
  <c r="AD70" i="17"/>
  <c r="Z70" i="17"/>
  <c r="V70" i="17"/>
  <c r="R70" i="17"/>
  <c r="N70" i="17"/>
  <c r="J70" i="17"/>
  <c r="AK70" i="17"/>
  <c r="AG70" i="17"/>
  <c r="AC70" i="17"/>
  <c r="Y70" i="17"/>
  <c r="U70" i="17"/>
  <c r="Q70" i="17"/>
  <c r="M70" i="17"/>
  <c r="I70" i="17"/>
  <c r="AE70" i="17"/>
  <c r="O70" i="17"/>
  <c r="W70" i="17"/>
  <c r="AI70" i="17"/>
  <c r="S70" i="17"/>
  <c r="K70" i="17"/>
  <c r="AA70" i="17"/>
  <c r="F71" i="17"/>
  <c r="H22" i="2"/>
  <c r="H23" i="2" s="1"/>
  <c r="H24" i="2" s="1"/>
  <c r="H25" i="2" s="1"/>
  <c r="H26" i="2" s="1"/>
  <c r="H27" i="2" s="1"/>
  <c r="H28" i="2" s="1"/>
  <c r="H29" i="2" s="1"/>
  <c r="E54" i="14"/>
  <c r="E53" i="14"/>
  <c r="E51" i="14"/>
  <c r="E50" i="14"/>
  <c r="E48" i="14"/>
  <c r="E47" i="14"/>
  <c r="E52" i="14"/>
  <c r="E49" i="14"/>
  <c r="E46" i="14"/>
  <c r="F52" i="14"/>
  <c r="AH52" i="14" s="1"/>
  <c r="F49" i="14"/>
  <c r="AI49" i="14" s="1"/>
  <c r="F46" i="14"/>
  <c r="AI46" i="14" s="1"/>
  <c r="AI26" i="15" l="1"/>
  <c r="AA26" i="15"/>
  <c r="Y26" i="15"/>
  <c r="AB26" i="15"/>
  <c r="W26" i="15"/>
  <c r="U26" i="15"/>
  <c r="H26" i="15"/>
  <c r="AJ26" i="15"/>
  <c r="K26" i="15"/>
  <c r="I26" i="15"/>
  <c r="X26" i="15"/>
  <c r="L26" i="15"/>
  <c r="F27" i="15"/>
  <c r="AK26" i="15"/>
  <c r="N26" i="15"/>
  <c r="AF26" i="15"/>
  <c r="T26" i="15"/>
  <c r="AD26" i="15"/>
  <c r="AE26" i="15"/>
  <c r="M26" i="15"/>
  <c r="P26" i="15"/>
  <c r="O26" i="15"/>
  <c r="AG26" i="15"/>
  <c r="AH26" i="15"/>
  <c r="S26" i="15"/>
  <c r="R26" i="15"/>
  <c r="Q26" i="15"/>
  <c r="V26" i="15"/>
  <c r="Z26" i="15"/>
  <c r="J26" i="15"/>
  <c r="AC26" i="15"/>
  <c r="Z59" i="16"/>
  <c r="J59" i="16"/>
  <c r="X59" i="16"/>
  <c r="H59" i="16"/>
  <c r="M59" i="16"/>
  <c r="K59" i="16"/>
  <c r="I59" i="16"/>
  <c r="V59" i="16"/>
  <c r="AJ59" i="16"/>
  <c r="T59" i="16"/>
  <c r="AK59" i="16"/>
  <c r="AI59" i="16"/>
  <c r="AG59" i="16"/>
  <c r="AE59" i="16"/>
  <c r="AH59" i="16"/>
  <c r="R59" i="16"/>
  <c r="AF59" i="16"/>
  <c r="P59" i="16"/>
  <c r="AC59" i="16"/>
  <c r="AA59" i="16"/>
  <c r="Y59" i="16"/>
  <c r="W59" i="16"/>
  <c r="N59" i="16"/>
  <c r="S59" i="16"/>
  <c r="AB59" i="16"/>
  <c r="Q59" i="16"/>
  <c r="L59" i="16"/>
  <c r="O59" i="16"/>
  <c r="AD59" i="16"/>
  <c r="U59" i="16"/>
  <c r="F60" i="16"/>
  <c r="AJ62" i="15"/>
  <c r="T62" i="15"/>
  <c r="AK62" i="15"/>
  <c r="U62" i="15"/>
  <c r="AD62" i="15"/>
  <c r="AA62" i="15"/>
  <c r="Z62" i="15"/>
  <c r="AE62" i="15"/>
  <c r="AF62" i="15"/>
  <c r="P62" i="15"/>
  <c r="AG62" i="15"/>
  <c r="Q62" i="15"/>
  <c r="V62" i="15"/>
  <c r="S62" i="15"/>
  <c r="R62" i="15"/>
  <c r="W62" i="15"/>
  <c r="L62" i="15"/>
  <c r="M62" i="15"/>
  <c r="K62" i="15"/>
  <c r="O62" i="15"/>
  <c r="AB62" i="15"/>
  <c r="J62" i="15"/>
  <c r="H62" i="15"/>
  <c r="I62" i="15"/>
  <c r="AH62" i="15"/>
  <c r="AC62" i="15"/>
  <c r="X62" i="15"/>
  <c r="Y62" i="15"/>
  <c r="AI62" i="15"/>
  <c r="F63" i="15"/>
  <c r="N62" i="15"/>
  <c r="AH32" i="16"/>
  <c r="R32" i="16"/>
  <c r="S32" i="16"/>
  <c r="Y32" i="16"/>
  <c r="I32" i="16"/>
  <c r="AJ32" i="16"/>
  <c r="T32" i="16"/>
  <c r="AA32" i="16"/>
  <c r="AD32" i="16"/>
  <c r="N32" i="16"/>
  <c r="AK32" i="16"/>
  <c r="U32" i="16"/>
  <c r="AI32" i="16"/>
  <c r="AF32" i="16"/>
  <c r="P32" i="16"/>
  <c r="O32" i="16"/>
  <c r="V32" i="16"/>
  <c r="AE32" i="16"/>
  <c r="AC32" i="16"/>
  <c r="M32" i="16"/>
  <c r="K32" i="16"/>
  <c r="X32" i="16"/>
  <c r="H32" i="16"/>
  <c r="Z32" i="16"/>
  <c r="W32" i="16"/>
  <c r="J32" i="16"/>
  <c r="AB32" i="16"/>
  <c r="Q32" i="16"/>
  <c r="AG32" i="16"/>
  <c r="F33" i="16"/>
  <c r="L32" i="16"/>
  <c r="AK35" i="16"/>
  <c r="U35" i="16"/>
  <c r="AJ35" i="16"/>
  <c r="T35" i="16"/>
  <c r="AH35" i="16"/>
  <c r="R35" i="16"/>
  <c r="AA35" i="16"/>
  <c r="O35" i="16"/>
  <c r="AG35" i="16"/>
  <c r="Q35" i="16"/>
  <c r="AF35" i="16"/>
  <c r="P35" i="16"/>
  <c r="AD35" i="16"/>
  <c r="N35" i="16"/>
  <c r="AI35" i="16"/>
  <c r="K35" i="16"/>
  <c r="Y35" i="16"/>
  <c r="I35" i="16"/>
  <c r="X35" i="16"/>
  <c r="H35" i="16"/>
  <c r="V35" i="16"/>
  <c r="W35" i="16"/>
  <c r="AE35" i="16"/>
  <c r="AB35" i="16"/>
  <c r="S35" i="16"/>
  <c r="L35" i="16"/>
  <c r="F36" i="16"/>
  <c r="AC35" i="16"/>
  <c r="M35" i="16"/>
  <c r="J35" i="16"/>
  <c r="Z35" i="16"/>
  <c r="AG32" i="17"/>
  <c r="Q32" i="17"/>
  <c r="AD32" i="17"/>
  <c r="N32" i="17"/>
  <c r="S32" i="17"/>
  <c r="P32" i="17"/>
  <c r="O32" i="17"/>
  <c r="L32" i="17"/>
  <c r="AC32" i="17"/>
  <c r="M32" i="17"/>
  <c r="Z32" i="17"/>
  <c r="J32" i="17"/>
  <c r="K32" i="17"/>
  <c r="H32" i="17"/>
  <c r="AJ32" i="17"/>
  <c r="AK32" i="17"/>
  <c r="U32" i="17"/>
  <c r="AH32" i="17"/>
  <c r="R32" i="17"/>
  <c r="AA32" i="17"/>
  <c r="X32" i="17"/>
  <c r="W32" i="17"/>
  <c r="T32" i="17"/>
  <c r="V32" i="17"/>
  <c r="AB32" i="17"/>
  <c r="AI32" i="17"/>
  <c r="F33" i="17"/>
  <c r="I32" i="17"/>
  <c r="AE32" i="17"/>
  <c r="Y32" i="17"/>
  <c r="AF32" i="17"/>
  <c r="AJ29" i="15"/>
  <c r="H29" i="15"/>
  <c r="X29" i="15"/>
  <c r="AF29" i="15"/>
  <c r="L29" i="15"/>
  <c r="F30" i="15"/>
  <c r="W29" i="15"/>
  <c r="AK29" i="15"/>
  <c r="U29" i="15"/>
  <c r="N29" i="15"/>
  <c r="Z29" i="15"/>
  <c r="T29" i="15"/>
  <c r="AI29" i="15"/>
  <c r="S29" i="15"/>
  <c r="AG29" i="15"/>
  <c r="Q29" i="15"/>
  <c r="V29" i="15"/>
  <c r="AH29" i="15"/>
  <c r="P29" i="15"/>
  <c r="AB29" i="15"/>
  <c r="AE29" i="15"/>
  <c r="O29" i="15"/>
  <c r="AC29" i="15"/>
  <c r="M29" i="15"/>
  <c r="AD29" i="15"/>
  <c r="J29" i="15"/>
  <c r="AA29" i="15"/>
  <c r="K29" i="15"/>
  <c r="Y29" i="15"/>
  <c r="I29" i="15"/>
  <c r="R29" i="15"/>
  <c r="AG74" i="16"/>
  <c r="Q74" i="16"/>
  <c r="AB74" i="16"/>
  <c r="L74" i="16"/>
  <c r="H74" i="16"/>
  <c r="J74" i="16"/>
  <c r="I74" i="16"/>
  <c r="AI74" i="16"/>
  <c r="AC74" i="16"/>
  <c r="M74" i="16"/>
  <c r="X74" i="16"/>
  <c r="AD74" i="16"/>
  <c r="AH74" i="16"/>
  <c r="AE74" i="16"/>
  <c r="AA74" i="16"/>
  <c r="AK74" i="16"/>
  <c r="U74" i="16"/>
  <c r="AF74" i="16"/>
  <c r="P74" i="16"/>
  <c r="N74" i="16"/>
  <c r="R74" i="16"/>
  <c r="O74" i="16"/>
  <c r="S74" i="16"/>
  <c r="V74" i="16"/>
  <c r="Y74" i="16"/>
  <c r="Z74" i="16"/>
  <c r="F75" i="16"/>
  <c r="T74" i="16"/>
  <c r="K74" i="16"/>
  <c r="AJ74" i="16"/>
  <c r="W74" i="16"/>
  <c r="AK8" i="17"/>
  <c r="AC8" i="17"/>
  <c r="M8" i="17"/>
  <c r="Q8" i="17"/>
  <c r="AG8" i="17"/>
  <c r="U8" i="17"/>
  <c r="AJ8" i="17"/>
  <c r="T8" i="17"/>
  <c r="AI8" i="17"/>
  <c r="S8" i="17"/>
  <c r="AD8" i="17"/>
  <c r="N8" i="17"/>
  <c r="AF8" i="17"/>
  <c r="P8" i="17"/>
  <c r="AE8" i="17"/>
  <c r="O8" i="17"/>
  <c r="Z8" i="17"/>
  <c r="J8" i="17"/>
  <c r="I8" i="17"/>
  <c r="X8" i="17"/>
  <c r="H8" i="17"/>
  <c r="W8" i="17"/>
  <c r="AH8" i="17"/>
  <c r="R8" i="17"/>
  <c r="K8" i="17"/>
  <c r="Y8" i="17"/>
  <c r="AB8" i="17"/>
  <c r="V8" i="17"/>
  <c r="L8" i="17"/>
  <c r="AA8" i="17"/>
  <c r="F9" i="17"/>
  <c r="AJ14" i="17"/>
  <c r="T14" i="17"/>
  <c r="AI14" i="17"/>
  <c r="S14" i="17"/>
  <c r="AD14" i="17"/>
  <c r="N14" i="17"/>
  <c r="Y14" i="17"/>
  <c r="AC14" i="17"/>
  <c r="AF14" i="17"/>
  <c r="P14" i="17"/>
  <c r="AE14" i="17"/>
  <c r="O14" i="17"/>
  <c r="Z14" i="17"/>
  <c r="J14" i="17"/>
  <c r="AG14" i="17"/>
  <c r="M14" i="17"/>
  <c r="X14" i="17"/>
  <c r="H14" i="17"/>
  <c r="W14" i="17"/>
  <c r="AH14" i="17"/>
  <c r="R14" i="17"/>
  <c r="U14" i="17"/>
  <c r="I14" i="17"/>
  <c r="F15" i="17"/>
  <c r="AB14" i="17"/>
  <c r="V14" i="17"/>
  <c r="L14" i="17"/>
  <c r="AK14" i="17"/>
  <c r="K14" i="17"/>
  <c r="Q14" i="17"/>
  <c r="AA14" i="17"/>
  <c r="AB56" i="15"/>
  <c r="L56" i="15"/>
  <c r="AC56" i="15"/>
  <c r="M56" i="15"/>
  <c r="N56" i="15"/>
  <c r="K56" i="15"/>
  <c r="J56" i="15"/>
  <c r="O56" i="15"/>
  <c r="X56" i="15"/>
  <c r="H56" i="15"/>
  <c r="Y56" i="15"/>
  <c r="I56" i="15"/>
  <c r="AI56" i="15"/>
  <c r="AH56" i="15"/>
  <c r="F57" i="15"/>
  <c r="AJ56" i="15"/>
  <c r="AK56" i="15"/>
  <c r="AD56" i="15"/>
  <c r="Z56" i="15"/>
  <c r="T56" i="15"/>
  <c r="AE56" i="15"/>
  <c r="AF56" i="15"/>
  <c r="AG56" i="15"/>
  <c r="V56" i="15"/>
  <c r="R56" i="15"/>
  <c r="AA56" i="15"/>
  <c r="P56" i="15"/>
  <c r="Q56" i="15"/>
  <c r="S56" i="15"/>
  <c r="W56" i="15"/>
  <c r="U56" i="15"/>
  <c r="AJ71" i="15"/>
  <c r="T71" i="15"/>
  <c r="F72" i="15"/>
  <c r="W71" i="15"/>
  <c r="AK71" i="15"/>
  <c r="U71" i="15"/>
  <c r="V71" i="15"/>
  <c r="N71" i="15"/>
  <c r="AF71" i="15"/>
  <c r="P71" i="15"/>
  <c r="AI71" i="15"/>
  <c r="S71" i="15"/>
  <c r="AG71" i="15"/>
  <c r="Q71" i="15"/>
  <c r="AH71" i="15"/>
  <c r="Z71" i="15"/>
  <c r="X71" i="15"/>
  <c r="AA71" i="15"/>
  <c r="Y71" i="15"/>
  <c r="AD71" i="15"/>
  <c r="H71" i="15"/>
  <c r="L71" i="15"/>
  <c r="O71" i="15"/>
  <c r="M71" i="15"/>
  <c r="J71" i="15"/>
  <c r="K71" i="15"/>
  <c r="AB71" i="15"/>
  <c r="AE71" i="15"/>
  <c r="AC71" i="15"/>
  <c r="R71" i="15"/>
  <c r="I71" i="15"/>
  <c r="AE11" i="15"/>
  <c r="O11" i="15"/>
  <c r="AC11" i="15"/>
  <c r="M11" i="15"/>
  <c r="N11" i="15"/>
  <c r="Z11" i="15"/>
  <c r="AF11" i="15"/>
  <c r="T11" i="15"/>
  <c r="AA11" i="15"/>
  <c r="K11" i="15"/>
  <c r="Y11" i="15"/>
  <c r="I11" i="15"/>
  <c r="AJ11" i="15"/>
  <c r="R11" i="15"/>
  <c r="X11" i="15"/>
  <c r="AI11" i="15"/>
  <c r="AG11" i="15"/>
  <c r="V11" i="15"/>
  <c r="AB11" i="15"/>
  <c r="S11" i="15"/>
  <c r="H11" i="15"/>
  <c r="W11" i="15"/>
  <c r="U11" i="15"/>
  <c r="L11" i="15"/>
  <c r="P11" i="15"/>
  <c r="AH11" i="15"/>
  <c r="F12" i="15"/>
  <c r="AK11" i="15"/>
  <c r="AD11" i="15"/>
  <c r="J11" i="15"/>
  <c r="Q11" i="15"/>
  <c r="AF59" i="15"/>
  <c r="P59" i="15"/>
  <c r="AG59" i="15"/>
  <c r="Q59" i="15"/>
  <c r="V59" i="15"/>
  <c r="S59" i="15"/>
  <c r="R59" i="15"/>
  <c r="W59" i="15"/>
  <c r="AB59" i="15"/>
  <c r="L59" i="15"/>
  <c r="AC59" i="15"/>
  <c r="M59" i="15"/>
  <c r="N59" i="15"/>
  <c r="K59" i="15"/>
  <c r="J59" i="15"/>
  <c r="O59" i="15"/>
  <c r="H59" i="15"/>
  <c r="I59" i="15"/>
  <c r="AH59" i="15"/>
  <c r="AI59" i="15"/>
  <c r="AJ59" i="15"/>
  <c r="AK59" i="15"/>
  <c r="AD59" i="15"/>
  <c r="Z59" i="15"/>
  <c r="X59" i="15"/>
  <c r="F60" i="15"/>
  <c r="T59" i="15"/>
  <c r="U59" i="15"/>
  <c r="AA59" i="15"/>
  <c r="AE59" i="15"/>
  <c r="Y59" i="15"/>
  <c r="X29" i="16"/>
  <c r="H29" i="16"/>
  <c r="AI29" i="16"/>
  <c r="S29" i="16"/>
  <c r="AJ29" i="16"/>
  <c r="T29" i="16"/>
  <c r="AK29" i="16"/>
  <c r="AE29" i="16"/>
  <c r="O29" i="16"/>
  <c r="AH29" i="16"/>
  <c r="R29" i="16"/>
  <c r="U29" i="16"/>
  <c r="P29" i="16"/>
  <c r="AA29" i="16"/>
  <c r="Q29" i="16"/>
  <c r="N29" i="16"/>
  <c r="L29" i="16"/>
  <c r="W29" i="16"/>
  <c r="AD29" i="16"/>
  <c r="J29" i="16"/>
  <c r="AB29" i="16"/>
  <c r="M29" i="16"/>
  <c r="AC29" i="16"/>
  <c r="V29" i="16"/>
  <c r="I29" i="16"/>
  <c r="K29" i="16"/>
  <c r="AF29" i="16"/>
  <c r="Z29" i="16"/>
  <c r="F30" i="16"/>
  <c r="Y29" i="16"/>
  <c r="AG29" i="16"/>
  <c r="AH26" i="16"/>
  <c r="R26" i="16"/>
  <c r="AG26" i="16"/>
  <c r="Q26" i="16"/>
  <c r="AF26" i="16"/>
  <c r="P26" i="16"/>
  <c r="AI26" i="16"/>
  <c r="O26" i="16"/>
  <c r="F27" i="16"/>
  <c r="AD26" i="16"/>
  <c r="N26" i="16"/>
  <c r="AC26" i="16"/>
  <c r="M26" i="16"/>
  <c r="AB26" i="16"/>
  <c r="L26" i="16"/>
  <c r="S26" i="16"/>
  <c r="AA26" i="16"/>
  <c r="V26" i="16"/>
  <c r="AK26" i="16"/>
  <c r="U26" i="16"/>
  <c r="AJ26" i="16"/>
  <c r="T26" i="16"/>
  <c r="W26" i="16"/>
  <c r="AE26" i="16"/>
  <c r="I26" i="16"/>
  <c r="H26" i="16"/>
  <c r="Z26" i="16"/>
  <c r="X26" i="16"/>
  <c r="Y26" i="16"/>
  <c r="K26" i="16"/>
  <c r="J26" i="16"/>
  <c r="AA14" i="15"/>
  <c r="S14" i="15"/>
  <c r="Q14" i="15"/>
  <c r="L14" i="15"/>
  <c r="O14" i="15"/>
  <c r="M14" i="15"/>
  <c r="H14" i="15"/>
  <c r="T14" i="15"/>
  <c r="AI14" i="15"/>
  <c r="AG14" i="15"/>
  <c r="V14" i="15"/>
  <c r="P14" i="15"/>
  <c r="AJ14" i="15"/>
  <c r="AE14" i="15"/>
  <c r="AC14" i="15"/>
  <c r="AD14" i="15"/>
  <c r="AB14" i="15"/>
  <c r="AK14" i="15"/>
  <c r="AF14" i="15"/>
  <c r="W14" i="15"/>
  <c r="U14" i="15"/>
  <c r="F15" i="15"/>
  <c r="Y14" i="15"/>
  <c r="AH14" i="15"/>
  <c r="K14" i="15"/>
  <c r="R14" i="15"/>
  <c r="N14" i="15"/>
  <c r="I14" i="15"/>
  <c r="X14" i="15"/>
  <c r="Z14" i="15"/>
  <c r="J14" i="15"/>
  <c r="AJ32" i="15"/>
  <c r="Z32" i="15"/>
  <c r="T32" i="15"/>
  <c r="W32" i="15"/>
  <c r="AC32" i="15"/>
  <c r="I32" i="15"/>
  <c r="X32" i="15"/>
  <c r="F33" i="15"/>
  <c r="O32" i="15"/>
  <c r="Y32" i="15"/>
  <c r="N32" i="15"/>
  <c r="AF32" i="15"/>
  <c r="AE32" i="15"/>
  <c r="K32" i="15"/>
  <c r="U32" i="15"/>
  <c r="AD32" i="15"/>
  <c r="H32" i="15"/>
  <c r="R32" i="15"/>
  <c r="L32" i="15"/>
  <c r="AA32" i="15"/>
  <c r="AK32" i="15"/>
  <c r="M32" i="15"/>
  <c r="P32" i="15"/>
  <c r="S32" i="15"/>
  <c r="V32" i="15"/>
  <c r="AI32" i="15"/>
  <c r="AG32" i="15"/>
  <c r="J32" i="15"/>
  <c r="Q32" i="15"/>
  <c r="AB32" i="15"/>
  <c r="AH32" i="15"/>
  <c r="F12" i="16"/>
  <c r="AA38" i="16"/>
  <c r="K38" i="16"/>
  <c r="V38" i="16"/>
  <c r="AJ38" i="16"/>
  <c r="T38" i="16"/>
  <c r="AC38" i="16"/>
  <c r="AI38" i="16"/>
  <c r="O38" i="16"/>
  <c r="R38" i="16"/>
  <c r="AB38" i="16"/>
  <c r="H38" i="16"/>
  <c r="AE38" i="16"/>
  <c r="AH38" i="16"/>
  <c r="N38" i="16"/>
  <c r="X38" i="16"/>
  <c r="M38" i="16"/>
  <c r="U38" i="16"/>
  <c r="F39" i="16"/>
  <c r="AK39" i="16" s="1"/>
  <c r="S38" i="16"/>
  <c r="Z38" i="16"/>
  <c r="AF38" i="16"/>
  <c r="L38" i="16"/>
  <c r="I38" i="16"/>
  <c r="Q38" i="16"/>
  <c r="AD38" i="16"/>
  <c r="AG38" i="16"/>
  <c r="J38" i="16"/>
  <c r="P38" i="16"/>
  <c r="W38" i="16"/>
  <c r="Y38" i="16"/>
  <c r="Z56" i="16"/>
  <c r="AB56" i="16"/>
  <c r="I56" i="16"/>
  <c r="U56" i="16"/>
  <c r="AJ56" i="16"/>
  <c r="O56" i="16"/>
  <c r="X56" i="16"/>
  <c r="V56" i="16"/>
  <c r="W56" i="16"/>
  <c r="AK56" i="16"/>
  <c r="P56" i="16"/>
  <c r="AE56" i="16"/>
  <c r="K56" i="16"/>
  <c r="S56" i="16"/>
  <c r="AH56" i="16"/>
  <c r="R56" i="16"/>
  <c r="Q56" i="16"/>
  <c r="AF56" i="16"/>
  <c r="L56" i="16"/>
  <c r="Y56" i="16"/>
  <c r="AC56" i="16"/>
  <c r="AI56" i="16"/>
  <c r="AD56" i="16"/>
  <c r="AG56" i="16"/>
  <c r="M56" i="16"/>
  <c r="AA56" i="16"/>
  <c r="H56" i="16"/>
  <c r="T56" i="16"/>
  <c r="J56" i="16"/>
  <c r="N56" i="16"/>
  <c r="F57" i="16"/>
  <c r="AF68" i="15"/>
  <c r="P68" i="15"/>
  <c r="AI68" i="15"/>
  <c r="S68" i="15"/>
  <c r="AG68" i="15"/>
  <c r="Q68" i="15"/>
  <c r="J68" i="15"/>
  <c r="AD68" i="15"/>
  <c r="AB68" i="15"/>
  <c r="L68" i="15"/>
  <c r="AE68" i="15"/>
  <c r="O68" i="15"/>
  <c r="AC68" i="15"/>
  <c r="M68" i="15"/>
  <c r="V68" i="15"/>
  <c r="N68" i="15"/>
  <c r="T68" i="15"/>
  <c r="W68" i="15"/>
  <c r="U68" i="15"/>
  <c r="R68" i="15"/>
  <c r="AJ68" i="15"/>
  <c r="Z68" i="15"/>
  <c r="H68" i="15"/>
  <c r="K68" i="15"/>
  <c r="I68" i="15"/>
  <c r="F69" i="15"/>
  <c r="X68" i="15"/>
  <c r="AA68" i="15"/>
  <c r="Y68" i="15"/>
  <c r="AH68" i="15"/>
  <c r="AK68" i="15"/>
  <c r="AA29" i="17"/>
  <c r="K29" i="17"/>
  <c r="X29" i="17"/>
  <c r="H29" i="17"/>
  <c r="M29" i="17"/>
  <c r="J29" i="17"/>
  <c r="I29" i="17"/>
  <c r="W29" i="17"/>
  <c r="AJ29" i="17"/>
  <c r="T29" i="17"/>
  <c r="AK29" i="17"/>
  <c r="AH29" i="17"/>
  <c r="AG29" i="17"/>
  <c r="AD29" i="17"/>
  <c r="AE29" i="17"/>
  <c r="O29" i="17"/>
  <c r="AB29" i="17"/>
  <c r="L29" i="17"/>
  <c r="U29" i="17"/>
  <c r="R29" i="17"/>
  <c r="Q29" i="17"/>
  <c r="N29" i="17"/>
  <c r="P29" i="17"/>
  <c r="V29" i="17"/>
  <c r="AI29" i="17"/>
  <c r="AC29" i="17"/>
  <c r="AF29" i="17"/>
  <c r="Y29" i="17"/>
  <c r="F30" i="17"/>
  <c r="S29" i="17"/>
  <c r="Z29" i="17"/>
  <c r="AK38" i="17"/>
  <c r="U38" i="17"/>
  <c r="AJ38" i="17"/>
  <c r="T38" i="17"/>
  <c r="AE38" i="17"/>
  <c r="Z38" i="17"/>
  <c r="K38" i="17"/>
  <c r="AD38" i="17"/>
  <c r="AG38" i="17"/>
  <c r="Q38" i="17"/>
  <c r="AF38" i="17"/>
  <c r="P38" i="17"/>
  <c r="W38" i="17"/>
  <c r="R38" i="17"/>
  <c r="V38" i="17"/>
  <c r="N38" i="17"/>
  <c r="Y38" i="17"/>
  <c r="I38" i="17"/>
  <c r="X38" i="17"/>
  <c r="H38" i="17"/>
  <c r="AH38" i="17"/>
  <c r="AA38" i="17"/>
  <c r="S38" i="17"/>
  <c r="AB38" i="17"/>
  <c r="AI38" i="17"/>
  <c r="L38" i="17"/>
  <c r="M38" i="17"/>
  <c r="J38" i="17"/>
  <c r="O38" i="17"/>
  <c r="F39" i="17"/>
  <c r="AC38" i="17"/>
  <c r="AA38" i="15"/>
  <c r="O38" i="15"/>
  <c r="M38" i="15"/>
  <c r="P38" i="15"/>
  <c r="AJ38" i="15"/>
  <c r="AI38" i="15"/>
  <c r="AG38" i="15"/>
  <c r="V38" i="15"/>
  <c r="X38" i="15"/>
  <c r="L38" i="15"/>
  <c r="AE38" i="15"/>
  <c r="AC38" i="15"/>
  <c r="AD38" i="15"/>
  <c r="AF38" i="15"/>
  <c r="T38" i="15"/>
  <c r="S38" i="15"/>
  <c r="Q38" i="15"/>
  <c r="AB38" i="15"/>
  <c r="AK38" i="15"/>
  <c r="H38" i="15"/>
  <c r="W38" i="15"/>
  <c r="U38" i="15"/>
  <c r="N38" i="15"/>
  <c r="K38" i="15"/>
  <c r="AH38" i="15"/>
  <c r="F39" i="15"/>
  <c r="R38" i="15"/>
  <c r="Y38" i="15"/>
  <c r="Z38" i="15"/>
  <c r="I38" i="15"/>
  <c r="J38" i="15"/>
  <c r="AB65" i="15"/>
  <c r="L65" i="15"/>
  <c r="AE65" i="15"/>
  <c r="O65" i="15"/>
  <c r="AC65" i="15"/>
  <c r="M65" i="15"/>
  <c r="Z65" i="15"/>
  <c r="R65" i="15"/>
  <c r="X65" i="15"/>
  <c r="H65" i="15"/>
  <c r="AA65" i="15"/>
  <c r="K65" i="15"/>
  <c r="Y65" i="15"/>
  <c r="I65" i="15"/>
  <c r="J65" i="15"/>
  <c r="P65" i="15"/>
  <c r="S65" i="15"/>
  <c r="Q65" i="15"/>
  <c r="AH65" i="15"/>
  <c r="AI65" i="15"/>
  <c r="AJ65" i="15"/>
  <c r="F66" i="15"/>
  <c r="AK65" i="15"/>
  <c r="AD65" i="15"/>
  <c r="AF65" i="15"/>
  <c r="N65" i="15"/>
  <c r="T65" i="15"/>
  <c r="W65" i="15"/>
  <c r="U65" i="15"/>
  <c r="V65" i="15"/>
  <c r="AG65" i="15"/>
  <c r="F15" i="16"/>
  <c r="Y20" i="17"/>
  <c r="AD20" i="17"/>
  <c r="N20" i="17"/>
  <c r="X20" i="17"/>
  <c r="AG20" i="17"/>
  <c r="L20" i="17"/>
  <c r="U20" i="17"/>
  <c r="O20" i="17"/>
  <c r="Z20" i="17"/>
  <c r="J20" i="17"/>
  <c r="S20" i="17"/>
  <c r="AB20" i="17"/>
  <c r="AK20" i="17"/>
  <c r="P20" i="17"/>
  <c r="I20" i="17"/>
  <c r="V20" i="17"/>
  <c r="AI20" i="17"/>
  <c r="M20" i="17"/>
  <c r="W20" i="17"/>
  <c r="AF20" i="17"/>
  <c r="K20" i="17"/>
  <c r="AE20" i="17"/>
  <c r="AH20" i="17"/>
  <c r="R20" i="17"/>
  <c r="AC20" i="17"/>
  <c r="H20" i="17"/>
  <c r="Q20" i="17"/>
  <c r="AA20" i="17"/>
  <c r="T20" i="17"/>
  <c r="AJ20" i="17"/>
  <c r="F21" i="17"/>
  <c r="F21" i="16"/>
  <c r="AG26" i="17"/>
  <c r="Q26" i="17"/>
  <c r="AD26" i="17"/>
  <c r="N26" i="17"/>
  <c r="O26" i="17"/>
  <c r="L26" i="17"/>
  <c r="K26" i="17"/>
  <c r="P26" i="17"/>
  <c r="AC26" i="17"/>
  <c r="M26" i="17"/>
  <c r="Z26" i="17"/>
  <c r="J26" i="17"/>
  <c r="AJ26" i="17"/>
  <c r="AI26" i="17"/>
  <c r="AF26" i="17"/>
  <c r="AK26" i="17"/>
  <c r="U26" i="17"/>
  <c r="AH26" i="17"/>
  <c r="R26" i="17"/>
  <c r="W26" i="17"/>
  <c r="T26" i="17"/>
  <c r="S26" i="17"/>
  <c r="X26" i="17"/>
  <c r="I26" i="17"/>
  <c r="AA26" i="17"/>
  <c r="V26" i="17"/>
  <c r="H26" i="17"/>
  <c r="Y26" i="17"/>
  <c r="AB26" i="17"/>
  <c r="F27" i="17"/>
  <c r="AE26" i="17"/>
  <c r="AH35" i="15"/>
  <c r="L35" i="15"/>
  <c r="AB35" i="15"/>
  <c r="AF35" i="15"/>
  <c r="AE35" i="15"/>
  <c r="O35" i="15"/>
  <c r="AC35" i="15"/>
  <c r="M35" i="15"/>
  <c r="AD35" i="15"/>
  <c r="T35" i="15"/>
  <c r="H35" i="15"/>
  <c r="J35" i="15"/>
  <c r="AA35" i="15"/>
  <c r="K35" i="15"/>
  <c r="Y35" i="15"/>
  <c r="I35" i="15"/>
  <c r="AJ35" i="15"/>
  <c r="P35" i="15"/>
  <c r="R35" i="15"/>
  <c r="F36" i="15"/>
  <c r="W35" i="15"/>
  <c r="AK35" i="15"/>
  <c r="U35" i="15"/>
  <c r="N35" i="15"/>
  <c r="X35" i="15"/>
  <c r="Z35" i="15"/>
  <c r="AI35" i="15"/>
  <c r="S35" i="15"/>
  <c r="AG35" i="15"/>
  <c r="Q35" i="15"/>
  <c r="V35" i="15"/>
  <c r="V71" i="16"/>
  <c r="AJ71" i="16"/>
  <c r="T71" i="16"/>
  <c r="AI71" i="16"/>
  <c r="S71" i="16"/>
  <c r="M71" i="16"/>
  <c r="AG71" i="16"/>
  <c r="AH71" i="16"/>
  <c r="R71" i="16"/>
  <c r="AF71" i="16"/>
  <c r="P71" i="16"/>
  <c r="AE71" i="16"/>
  <c r="O71" i="16"/>
  <c r="AK71" i="16"/>
  <c r="Y71" i="16"/>
  <c r="Z71" i="16"/>
  <c r="J71" i="16"/>
  <c r="X71" i="16"/>
  <c r="H71" i="16"/>
  <c r="W71" i="16"/>
  <c r="AC71" i="16"/>
  <c r="I71" i="16"/>
  <c r="N71" i="16"/>
  <c r="K71" i="16"/>
  <c r="AB71" i="16"/>
  <c r="U71" i="16"/>
  <c r="L71" i="16"/>
  <c r="Q71" i="16"/>
  <c r="AD71" i="16"/>
  <c r="AA71" i="16"/>
  <c r="F72" i="16"/>
  <c r="AJ62" i="16"/>
  <c r="AI62" i="16"/>
  <c r="X62" i="16"/>
  <c r="AG62" i="16"/>
  <c r="AE62" i="16"/>
  <c r="AK62" i="16"/>
  <c r="F63" i="16"/>
  <c r="H62" i="16"/>
  <c r="V62" i="16"/>
  <c r="I62" i="16"/>
  <c r="L62" i="16"/>
  <c r="O62" i="16"/>
  <c r="AD62" i="16"/>
  <c r="AA62" i="16"/>
  <c r="K62" i="16"/>
  <c r="AB62" i="16"/>
  <c r="Q62" i="16"/>
  <c r="P62" i="16"/>
  <c r="AC62" i="16"/>
  <c r="R62" i="16"/>
  <c r="M62" i="16"/>
  <c r="Z62" i="16"/>
  <c r="U62" i="16"/>
  <c r="N62" i="16"/>
  <c r="Y62" i="16"/>
  <c r="T62" i="16"/>
  <c r="AH62" i="16"/>
  <c r="J62" i="16"/>
  <c r="S62" i="16"/>
  <c r="W62" i="16"/>
  <c r="AF62" i="16"/>
  <c r="E56" i="14"/>
  <c r="AB68" i="16"/>
  <c r="L68" i="16"/>
  <c r="Z68" i="16"/>
  <c r="J68" i="16"/>
  <c r="Y68" i="16"/>
  <c r="I68" i="16"/>
  <c r="AI68" i="16"/>
  <c r="X68" i="16"/>
  <c r="H68" i="16"/>
  <c r="V68" i="16"/>
  <c r="AK68" i="16"/>
  <c r="U68" i="16"/>
  <c r="W68" i="16"/>
  <c r="AA68" i="16"/>
  <c r="AF68" i="16"/>
  <c r="P68" i="16"/>
  <c r="AD68" i="16"/>
  <c r="N68" i="16"/>
  <c r="AC68" i="16"/>
  <c r="M68" i="16"/>
  <c r="O68" i="16"/>
  <c r="K68" i="16"/>
  <c r="R68" i="16"/>
  <c r="S68" i="16"/>
  <c r="T68" i="16"/>
  <c r="AJ68" i="16"/>
  <c r="AG68" i="16"/>
  <c r="F69" i="16"/>
  <c r="Q68" i="16"/>
  <c r="AH68" i="16"/>
  <c r="AE68" i="16"/>
  <c r="AE35" i="17"/>
  <c r="O35" i="17"/>
  <c r="AB35" i="17"/>
  <c r="L35" i="17"/>
  <c r="Q35" i="17"/>
  <c r="N35" i="17"/>
  <c r="M35" i="17"/>
  <c r="J35" i="17"/>
  <c r="AA35" i="17"/>
  <c r="K35" i="17"/>
  <c r="X35" i="17"/>
  <c r="H35" i="17"/>
  <c r="I35" i="17"/>
  <c r="AK35" i="17"/>
  <c r="AH35" i="17"/>
  <c r="AI35" i="17"/>
  <c r="S35" i="17"/>
  <c r="AF35" i="17"/>
  <c r="P35" i="17"/>
  <c r="Y35" i="17"/>
  <c r="V35" i="17"/>
  <c r="U35" i="17"/>
  <c r="R35" i="17"/>
  <c r="AJ35" i="17"/>
  <c r="AC35" i="17"/>
  <c r="F36" i="17"/>
  <c r="T35" i="17"/>
  <c r="Z35" i="17"/>
  <c r="W35" i="17"/>
  <c r="AD35" i="17"/>
  <c r="AG35" i="17"/>
  <c r="X74" i="15"/>
  <c r="H74" i="15"/>
  <c r="AA74" i="15"/>
  <c r="K74" i="15"/>
  <c r="V74" i="15"/>
  <c r="AK74" i="15"/>
  <c r="U74" i="15"/>
  <c r="AJ74" i="15"/>
  <c r="T74" i="15"/>
  <c r="F75" i="15"/>
  <c r="W74" i="15"/>
  <c r="AH74" i="15"/>
  <c r="R74" i="15"/>
  <c r="AG74" i="15"/>
  <c r="Q74" i="15"/>
  <c r="AB74" i="15"/>
  <c r="AE74" i="15"/>
  <c r="Z74" i="15"/>
  <c r="Y74" i="15"/>
  <c r="O74" i="15"/>
  <c r="P74" i="15"/>
  <c r="S74" i="15"/>
  <c r="N74" i="15"/>
  <c r="M74" i="15"/>
  <c r="J74" i="15"/>
  <c r="AF74" i="15"/>
  <c r="AI74" i="15"/>
  <c r="AD74" i="15"/>
  <c r="AC74" i="15"/>
  <c r="L74" i="15"/>
  <c r="I74" i="15"/>
  <c r="AD65" i="16"/>
  <c r="N65" i="16"/>
  <c r="X65" i="16"/>
  <c r="AE65" i="16"/>
  <c r="O65" i="16"/>
  <c r="Y65" i="16"/>
  <c r="I65" i="16"/>
  <c r="K65" i="16"/>
  <c r="Z65" i="16"/>
  <c r="AJ65" i="16"/>
  <c r="T65" i="16"/>
  <c r="AA65" i="16"/>
  <c r="AG65" i="16"/>
  <c r="L65" i="16"/>
  <c r="U65" i="16"/>
  <c r="F66" i="16"/>
  <c r="V65" i="16"/>
  <c r="AF65" i="16"/>
  <c r="P65" i="16"/>
  <c r="W65" i="16"/>
  <c r="Q65" i="16"/>
  <c r="H65" i="16"/>
  <c r="M65" i="16"/>
  <c r="AH65" i="16"/>
  <c r="R65" i="16"/>
  <c r="AB65" i="16"/>
  <c r="AI65" i="16"/>
  <c r="S65" i="16"/>
  <c r="J65" i="16"/>
  <c r="AC65" i="16"/>
  <c r="AK65" i="16"/>
  <c r="D744" i="11"/>
  <c r="D745" i="11" s="1"/>
  <c r="D746" i="11" s="1"/>
  <c r="D747" i="11" s="1"/>
  <c r="D748" i="11" s="1"/>
  <c r="D749" i="11" s="1"/>
  <c r="D750" i="11" s="1"/>
  <c r="D751" i="11" s="1"/>
  <c r="D752" i="11" s="1"/>
  <c r="D741" i="11"/>
  <c r="D742" i="11" s="1"/>
  <c r="D743" i="11" s="1"/>
  <c r="C291" i="11"/>
  <c r="C292" i="11" s="1"/>
  <c r="C293" i="11" s="1"/>
  <c r="C294" i="11" s="1"/>
  <c r="C295" i="11" s="1"/>
  <c r="C296" i="11" s="1"/>
  <c r="C297" i="11" s="1"/>
  <c r="C298" i="11" s="1"/>
  <c r="C299" i="11" s="1"/>
  <c r="C300" i="11" s="1"/>
  <c r="C301" i="11" s="1"/>
  <c r="C302" i="11" s="1"/>
  <c r="C303" i="11" s="1"/>
  <c r="C304" i="11" s="1"/>
  <c r="C305" i="11" s="1"/>
  <c r="C306" i="11" s="1"/>
  <c r="C307" i="11" s="1"/>
  <c r="C308" i="11" s="1"/>
  <c r="C309" i="11" s="1"/>
  <c r="C310" i="11" s="1"/>
  <c r="C311" i="11" s="1"/>
  <c r="C312" i="11" s="1"/>
  <c r="C313" i="11" s="1"/>
  <c r="C314" i="11" s="1"/>
  <c r="C315" i="11" s="1"/>
  <c r="C316" i="11" s="1"/>
  <c r="C317" i="11" s="1"/>
  <c r="C318" i="11" s="1"/>
  <c r="C319" i="11" s="1"/>
  <c r="C320" i="11" s="1"/>
  <c r="C321" i="11" s="1"/>
  <c r="C322" i="11" s="1"/>
  <c r="C323" i="11" s="1"/>
  <c r="C324" i="11" s="1"/>
  <c r="C325" i="11" s="1"/>
  <c r="C326" i="11" s="1"/>
  <c r="C327" i="11" s="1"/>
  <c r="C328" i="11" s="1"/>
  <c r="C329" i="11" s="1"/>
  <c r="C330" i="11" s="1"/>
  <c r="C331" i="11" s="1"/>
  <c r="C332" i="11" s="1"/>
  <c r="AJ68" i="17"/>
  <c r="AF68" i="17"/>
  <c r="AB68" i="17"/>
  <c r="X68" i="17"/>
  <c r="T68" i="17"/>
  <c r="P68" i="17"/>
  <c r="L68" i="17"/>
  <c r="H68" i="17"/>
  <c r="AH68" i="17"/>
  <c r="AD68" i="17"/>
  <c r="Z68" i="17"/>
  <c r="V68" i="17"/>
  <c r="R68" i="17"/>
  <c r="N68" i="17"/>
  <c r="J68" i="17"/>
  <c r="AK68" i="17"/>
  <c r="AG68" i="17"/>
  <c r="AC68" i="17"/>
  <c r="Y68" i="17"/>
  <c r="U68" i="17"/>
  <c r="Q68" i="17"/>
  <c r="M68" i="17"/>
  <c r="I68" i="17"/>
  <c r="AA68" i="17"/>
  <c r="K68" i="17"/>
  <c r="AI68" i="17"/>
  <c r="S68" i="17"/>
  <c r="AE68" i="17"/>
  <c r="O68" i="17"/>
  <c r="W68" i="17"/>
  <c r="F69" i="17"/>
  <c r="AI56" i="17"/>
  <c r="AE56" i="17"/>
  <c r="AA56" i="17"/>
  <c r="W56" i="17"/>
  <c r="S56" i="17"/>
  <c r="AK56" i="17"/>
  <c r="AG56" i="17"/>
  <c r="AC56" i="17"/>
  <c r="Y56" i="17"/>
  <c r="U56" i="17"/>
  <c r="Q56" i="17"/>
  <c r="AJ56" i="17"/>
  <c r="AF56" i="17"/>
  <c r="AB56" i="17"/>
  <c r="X56" i="17"/>
  <c r="T56" i="17"/>
  <c r="P56" i="17"/>
  <c r="V56" i="17"/>
  <c r="M56" i="17"/>
  <c r="I56" i="17"/>
  <c r="AH56" i="17"/>
  <c r="R56" i="17"/>
  <c r="L56" i="17"/>
  <c r="H56" i="17"/>
  <c r="AD56" i="17"/>
  <c r="O56" i="17"/>
  <c r="K56" i="17"/>
  <c r="Z56" i="17"/>
  <c r="N56" i="17"/>
  <c r="J56" i="17"/>
  <c r="F57" i="17"/>
  <c r="AJ74" i="17"/>
  <c r="AF74" i="17"/>
  <c r="AB74" i="17"/>
  <c r="X74" i="17"/>
  <c r="T74" i="17"/>
  <c r="P74" i="17"/>
  <c r="L74" i="17"/>
  <c r="H74" i="17"/>
  <c r="AH74" i="17"/>
  <c r="AD74" i="17"/>
  <c r="Z74" i="17"/>
  <c r="V74" i="17"/>
  <c r="R74" i="17"/>
  <c r="N74" i="17"/>
  <c r="J74" i="17"/>
  <c r="AK74" i="17"/>
  <c r="AG74" i="17"/>
  <c r="AC74" i="17"/>
  <c r="Y74" i="17"/>
  <c r="U74" i="17"/>
  <c r="Q74" i="17"/>
  <c r="M74" i="17"/>
  <c r="I74" i="17"/>
  <c r="W74" i="17"/>
  <c r="AE74" i="17"/>
  <c r="O74" i="17"/>
  <c r="AA74" i="17"/>
  <c r="K74" i="17"/>
  <c r="S74" i="17"/>
  <c r="AI74" i="17"/>
  <c r="F75" i="17"/>
  <c r="AH65" i="17"/>
  <c r="AD65" i="17"/>
  <c r="Z65" i="17"/>
  <c r="V65" i="17"/>
  <c r="R65" i="17"/>
  <c r="N65" i="17"/>
  <c r="J65" i="17"/>
  <c r="AJ65" i="17"/>
  <c r="AF65" i="17"/>
  <c r="AB65" i="17"/>
  <c r="X65" i="17"/>
  <c r="T65" i="17"/>
  <c r="P65" i="17"/>
  <c r="L65" i="17"/>
  <c r="H65" i="17"/>
  <c r="AI65" i="17"/>
  <c r="AE65" i="17"/>
  <c r="AA65" i="17"/>
  <c r="W65" i="17"/>
  <c r="S65" i="17"/>
  <c r="O65" i="17"/>
  <c r="K65" i="17"/>
  <c r="AK65" i="17"/>
  <c r="U65" i="17"/>
  <c r="AC65" i="17"/>
  <c r="M65" i="17"/>
  <c r="Y65" i="17"/>
  <c r="I65" i="17"/>
  <c r="AG65" i="17"/>
  <c r="Q65" i="17"/>
  <c r="F66" i="17"/>
  <c r="AK59" i="17"/>
  <c r="AG59" i="17"/>
  <c r="AC59" i="17"/>
  <c r="Y59" i="17"/>
  <c r="U59" i="17"/>
  <c r="Q59" i="17"/>
  <c r="M59" i="17"/>
  <c r="I59" i="17"/>
  <c r="AI59" i="17"/>
  <c r="AE59" i="17"/>
  <c r="AA59" i="17"/>
  <c r="W59" i="17"/>
  <c r="S59" i="17"/>
  <c r="O59" i="17"/>
  <c r="K59" i="17"/>
  <c r="AH59" i="17"/>
  <c r="AD59" i="17"/>
  <c r="Z59" i="17"/>
  <c r="V59" i="17"/>
  <c r="R59" i="17"/>
  <c r="N59" i="17"/>
  <c r="J59" i="17"/>
  <c r="AB59" i="17"/>
  <c r="L59" i="17"/>
  <c r="X59" i="17"/>
  <c r="H59" i="17"/>
  <c r="AJ59" i="17"/>
  <c r="T59" i="17"/>
  <c r="P59" i="17"/>
  <c r="AF59" i="17"/>
  <c r="F60" i="17"/>
  <c r="AH71" i="17"/>
  <c r="AD71" i="17"/>
  <c r="Z71" i="17"/>
  <c r="V71" i="17"/>
  <c r="R71" i="17"/>
  <c r="N71" i="17"/>
  <c r="J71" i="17"/>
  <c r="AJ71" i="17"/>
  <c r="AF71" i="17"/>
  <c r="AB71" i="17"/>
  <c r="X71" i="17"/>
  <c r="T71" i="17"/>
  <c r="P71" i="17"/>
  <c r="L71" i="17"/>
  <c r="H71" i="17"/>
  <c r="AI71" i="17"/>
  <c r="AE71" i="17"/>
  <c r="AA71" i="17"/>
  <c r="W71" i="17"/>
  <c r="S71" i="17"/>
  <c r="O71" i="17"/>
  <c r="K71" i="17"/>
  <c r="AG71" i="17"/>
  <c r="Q71" i="17"/>
  <c r="Y71" i="17"/>
  <c r="I71" i="17"/>
  <c r="AK71" i="17"/>
  <c r="U71" i="17"/>
  <c r="AC71" i="17"/>
  <c r="M71" i="17"/>
  <c r="F72" i="17"/>
  <c r="AI62" i="17"/>
  <c r="AE62" i="17"/>
  <c r="AA62" i="17"/>
  <c r="W62" i="17"/>
  <c r="S62" i="17"/>
  <c r="O62" i="17"/>
  <c r="K62" i="17"/>
  <c r="AK62" i="17"/>
  <c r="AG62" i="17"/>
  <c r="AC62" i="17"/>
  <c r="Y62" i="17"/>
  <c r="U62" i="17"/>
  <c r="Q62" i="17"/>
  <c r="M62" i="17"/>
  <c r="I62" i="17"/>
  <c r="AJ62" i="17"/>
  <c r="AF62" i="17"/>
  <c r="AB62" i="17"/>
  <c r="X62" i="17"/>
  <c r="T62" i="17"/>
  <c r="P62" i="17"/>
  <c r="L62" i="17"/>
  <c r="H62" i="17"/>
  <c r="AH62" i="17"/>
  <c r="R62" i="17"/>
  <c r="AD62" i="17"/>
  <c r="N62" i="17"/>
  <c r="Z62" i="17"/>
  <c r="J62" i="17"/>
  <c r="V62" i="17"/>
  <c r="F63" i="17"/>
  <c r="F47" i="14"/>
  <c r="AK47" i="14" s="1"/>
  <c r="F55" i="14"/>
  <c r="AJ55" i="14" s="1"/>
  <c r="E55" i="14"/>
  <c r="E57" i="14"/>
  <c r="AJ46" i="14"/>
  <c r="W52" i="14"/>
  <c r="O52" i="14"/>
  <c r="T46" i="14"/>
  <c r="AE52" i="14"/>
  <c r="X52" i="14"/>
  <c r="AF52" i="14"/>
  <c r="K52" i="14"/>
  <c r="S52" i="14"/>
  <c r="AA52" i="14"/>
  <c r="AI52" i="14"/>
  <c r="P52" i="14"/>
  <c r="H52" i="14"/>
  <c r="L52" i="14"/>
  <c r="T52" i="14"/>
  <c r="AB52" i="14"/>
  <c r="AJ52" i="14"/>
  <c r="P46" i="14"/>
  <c r="AF46" i="14"/>
  <c r="X46" i="14"/>
  <c r="L46" i="14"/>
  <c r="AB46" i="14"/>
  <c r="I52" i="14"/>
  <c r="M52" i="14"/>
  <c r="Q52" i="14"/>
  <c r="U52" i="14"/>
  <c r="Y52" i="14"/>
  <c r="AC52" i="14"/>
  <c r="AG52" i="14"/>
  <c r="AK52" i="14"/>
  <c r="J52" i="14"/>
  <c r="N52" i="14"/>
  <c r="R52" i="14"/>
  <c r="V52" i="14"/>
  <c r="Z52" i="14"/>
  <c r="AD52" i="14"/>
  <c r="L49" i="14"/>
  <c r="T49" i="14"/>
  <c r="X49" i="14"/>
  <c r="AF49" i="14"/>
  <c r="I49" i="14"/>
  <c r="M49" i="14"/>
  <c r="Q49" i="14"/>
  <c r="U49" i="14"/>
  <c r="Y49" i="14"/>
  <c r="AC49" i="14"/>
  <c r="AG49" i="14"/>
  <c r="AK49" i="14"/>
  <c r="J49" i="14"/>
  <c r="N49" i="14"/>
  <c r="R49" i="14"/>
  <c r="V49" i="14"/>
  <c r="Z49" i="14"/>
  <c r="AD49" i="14"/>
  <c r="AH49" i="14"/>
  <c r="P49" i="14"/>
  <c r="AB49" i="14"/>
  <c r="AJ49" i="14"/>
  <c r="H49" i="14"/>
  <c r="K49" i="14"/>
  <c r="O49" i="14"/>
  <c r="S49" i="14"/>
  <c r="W49" i="14"/>
  <c r="AA49" i="14"/>
  <c r="AE49" i="14"/>
  <c r="H46" i="14"/>
  <c r="I46" i="14"/>
  <c r="M46" i="14"/>
  <c r="Q46" i="14"/>
  <c r="U46" i="14"/>
  <c r="Y46" i="14"/>
  <c r="AC46" i="14"/>
  <c r="AG46" i="14"/>
  <c r="AK46" i="14"/>
  <c r="J46" i="14"/>
  <c r="N46" i="14"/>
  <c r="R46" i="14"/>
  <c r="V46" i="14"/>
  <c r="Z46" i="14"/>
  <c r="AD46" i="14"/>
  <c r="AH46" i="14"/>
  <c r="K46" i="14"/>
  <c r="O46" i="14"/>
  <c r="S46" i="14"/>
  <c r="W46" i="14"/>
  <c r="AA46" i="14"/>
  <c r="AE46" i="14"/>
  <c r="F50" i="14"/>
  <c r="F53" i="14"/>
  <c r="F56" i="14"/>
  <c r="AE39" i="17" l="1"/>
  <c r="O39" i="17"/>
  <c r="Z39" i="17"/>
  <c r="J39" i="17"/>
  <c r="I39" i="17"/>
  <c r="L39" i="17"/>
  <c r="H39" i="17"/>
  <c r="P39" i="17"/>
  <c r="AA39" i="17"/>
  <c r="K39" i="17"/>
  <c r="V39" i="17"/>
  <c r="AG39" i="17"/>
  <c r="AJ39" i="17"/>
  <c r="AC39" i="17"/>
  <c r="AK39" i="17"/>
  <c r="W39" i="17"/>
  <c r="AH39" i="17"/>
  <c r="R39" i="17"/>
  <c r="Y39" i="17"/>
  <c r="AB39" i="17"/>
  <c r="M39" i="17"/>
  <c r="U39" i="17"/>
  <c r="AI39" i="17"/>
  <c r="Q39" i="17"/>
  <c r="X39" i="17"/>
  <c r="S39" i="17"/>
  <c r="T39" i="17"/>
  <c r="AD39" i="17"/>
  <c r="N39" i="17"/>
  <c r="AF39" i="17"/>
  <c r="AG30" i="17"/>
  <c r="Q30" i="17"/>
  <c r="AD30" i="17"/>
  <c r="N30" i="17"/>
  <c r="O30" i="17"/>
  <c r="L30" i="17"/>
  <c r="K30" i="17"/>
  <c r="H30" i="17"/>
  <c r="AC30" i="17"/>
  <c r="M30" i="17"/>
  <c r="Z30" i="17"/>
  <c r="J30" i="17"/>
  <c r="AJ30" i="17"/>
  <c r="AI30" i="17"/>
  <c r="AF30" i="17"/>
  <c r="Y30" i="17"/>
  <c r="I30" i="17"/>
  <c r="V30" i="17"/>
  <c r="AE30" i="17"/>
  <c r="AB30" i="17"/>
  <c r="AA30" i="17"/>
  <c r="X30" i="17"/>
  <c r="R30" i="17"/>
  <c r="P30" i="17"/>
  <c r="U30" i="17"/>
  <c r="AK30" i="17"/>
  <c r="W30" i="17"/>
  <c r="T30" i="17"/>
  <c r="AH30" i="17"/>
  <c r="S30" i="17"/>
  <c r="AA33" i="15"/>
  <c r="K33" i="15"/>
  <c r="Y33" i="15"/>
  <c r="I33" i="15"/>
  <c r="H33" i="15"/>
  <c r="AJ33" i="15"/>
  <c r="AH33" i="15"/>
  <c r="W33" i="15"/>
  <c r="AK33" i="15"/>
  <c r="U33" i="15"/>
  <c r="AF33" i="15"/>
  <c r="AD33" i="15"/>
  <c r="AB33" i="15"/>
  <c r="Z33" i="15"/>
  <c r="O33" i="15"/>
  <c r="M33" i="15"/>
  <c r="N33" i="15"/>
  <c r="J33" i="15"/>
  <c r="P33" i="15"/>
  <c r="AI33" i="15"/>
  <c r="AG33" i="15"/>
  <c r="X33" i="15"/>
  <c r="T33" i="15"/>
  <c r="AC33" i="15"/>
  <c r="S33" i="15"/>
  <c r="Q33" i="15"/>
  <c r="V33" i="15"/>
  <c r="R33" i="15"/>
  <c r="AE33" i="15"/>
  <c r="L33" i="15"/>
  <c r="V9" i="17"/>
  <c r="AK9" i="17"/>
  <c r="U9" i="17"/>
  <c r="AJ9" i="17"/>
  <c r="T9" i="17"/>
  <c r="AA9" i="17"/>
  <c r="AI9" i="17"/>
  <c r="AH9" i="17"/>
  <c r="R9" i="17"/>
  <c r="AG9" i="17"/>
  <c r="Q9" i="17"/>
  <c r="AF9" i="17"/>
  <c r="P9" i="17"/>
  <c r="K9" i="17"/>
  <c r="S9" i="17"/>
  <c r="Z9" i="17"/>
  <c r="J9" i="17"/>
  <c r="Y9" i="17"/>
  <c r="I9" i="17"/>
  <c r="X9" i="17"/>
  <c r="H9" i="17"/>
  <c r="O9" i="17"/>
  <c r="M9" i="17"/>
  <c r="AE9" i="17"/>
  <c r="AD9" i="17"/>
  <c r="AB9" i="17"/>
  <c r="AC9" i="17"/>
  <c r="W9" i="17"/>
  <c r="L9" i="17"/>
  <c r="N9" i="17"/>
  <c r="AB75" i="15"/>
  <c r="L75" i="15"/>
  <c r="AA75" i="15"/>
  <c r="K75" i="15"/>
  <c r="V75" i="15"/>
  <c r="AK75" i="15"/>
  <c r="U75" i="15"/>
  <c r="X75" i="15"/>
  <c r="H75" i="15"/>
  <c r="W75" i="15"/>
  <c r="AH75" i="15"/>
  <c r="AG75" i="15"/>
  <c r="Q75" i="15"/>
  <c r="R75" i="15"/>
  <c r="AJ75" i="15"/>
  <c r="T75" i="15"/>
  <c r="AI75" i="15"/>
  <c r="S75" i="15"/>
  <c r="AD75" i="15"/>
  <c r="N75" i="15"/>
  <c r="AC75" i="15"/>
  <c r="M75" i="15"/>
  <c r="AF75" i="15"/>
  <c r="P75" i="15"/>
  <c r="AE75" i="15"/>
  <c r="O75" i="15"/>
  <c r="Z75" i="15"/>
  <c r="J75" i="15"/>
  <c r="Y75" i="15"/>
  <c r="I75" i="15"/>
  <c r="Z69" i="16"/>
  <c r="J69" i="16"/>
  <c r="X69" i="16"/>
  <c r="H69" i="16"/>
  <c r="W69" i="16"/>
  <c r="Y69" i="16"/>
  <c r="AK69" i="16"/>
  <c r="V69" i="16"/>
  <c r="AJ69" i="16"/>
  <c r="T69" i="16"/>
  <c r="AI69" i="16"/>
  <c r="S69" i="16"/>
  <c r="I69" i="16"/>
  <c r="AC69" i="16"/>
  <c r="AD69" i="16"/>
  <c r="AB69" i="16"/>
  <c r="AA69" i="16"/>
  <c r="Q69" i="16"/>
  <c r="R69" i="16"/>
  <c r="O69" i="16"/>
  <c r="U69" i="16"/>
  <c r="L69" i="16"/>
  <c r="M69" i="16"/>
  <c r="P69" i="16"/>
  <c r="N69" i="16"/>
  <c r="K69" i="16"/>
  <c r="AH69" i="16"/>
  <c r="AF69" i="16"/>
  <c r="AE69" i="16"/>
  <c r="AG69" i="16"/>
  <c r="AB72" i="16"/>
  <c r="L72" i="16"/>
  <c r="Z72" i="16"/>
  <c r="J72" i="16"/>
  <c r="Y72" i="16"/>
  <c r="I72" i="16"/>
  <c r="K72" i="16"/>
  <c r="X72" i="16"/>
  <c r="H72" i="16"/>
  <c r="V72" i="16"/>
  <c r="AK72" i="16"/>
  <c r="U72" i="16"/>
  <c r="AE72" i="16"/>
  <c r="AI72" i="16"/>
  <c r="AF72" i="16"/>
  <c r="P72" i="16"/>
  <c r="AD72" i="16"/>
  <c r="N72" i="16"/>
  <c r="AC72" i="16"/>
  <c r="M72" i="16"/>
  <c r="W72" i="16"/>
  <c r="S72" i="16"/>
  <c r="AH72" i="16"/>
  <c r="O72" i="16"/>
  <c r="AG72" i="16"/>
  <c r="R72" i="16"/>
  <c r="AA72" i="16"/>
  <c r="AJ72" i="16"/>
  <c r="T72" i="16"/>
  <c r="Q72" i="16"/>
  <c r="X21" i="17"/>
  <c r="H21" i="17"/>
  <c r="U21" i="17"/>
  <c r="AD21" i="17"/>
  <c r="I21" i="17"/>
  <c r="R21" i="17"/>
  <c r="AA21" i="17"/>
  <c r="AJ21" i="17"/>
  <c r="T21" i="17"/>
  <c r="AK21" i="17"/>
  <c r="O21" i="17"/>
  <c r="Y21" i="17"/>
  <c r="AH21" i="17"/>
  <c r="M21" i="17"/>
  <c r="Q21" i="17"/>
  <c r="AB21" i="17"/>
  <c r="L21" i="17"/>
  <c r="Z21" i="17"/>
  <c r="AI21" i="17"/>
  <c r="N21" i="17"/>
  <c r="W21" i="17"/>
  <c r="K21" i="17"/>
  <c r="AE21" i="17"/>
  <c r="AG21" i="17"/>
  <c r="J21" i="17"/>
  <c r="V21" i="17"/>
  <c r="P21" i="17"/>
  <c r="AC21" i="17"/>
  <c r="S21" i="17"/>
  <c r="AF21" i="17"/>
  <c r="AC39" i="16"/>
  <c r="M39" i="16"/>
  <c r="AB39" i="16"/>
  <c r="L39" i="16"/>
  <c r="Z39" i="16"/>
  <c r="J39" i="16"/>
  <c r="K39" i="16"/>
  <c r="Y39" i="16"/>
  <c r="I39" i="16"/>
  <c r="X39" i="16"/>
  <c r="H39" i="16"/>
  <c r="V39" i="16"/>
  <c r="AE39" i="16"/>
  <c r="W39" i="16"/>
  <c r="Q39" i="16"/>
  <c r="P39" i="16"/>
  <c r="N39" i="16"/>
  <c r="S39" i="16"/>
  <c r="AJ39" i="16"/>
  <c r="AH39" i="16"/>
  <c r="O39" i="16"/>
  <c r="AG39" i="16"/>
  <c r="AD39" i="16"/>
  <c r="AF39" i="16"/>
  <c r="AA39" i="16"/>
  <c r="U39" i="16"/>
  <c r="T39" i="16"/>
  <c r="R39" i="16"/>
  <c r="AI39" i="16"/>
  <c r="AJ72" i="15"/>
  <c r="T72" i="15"/>
  <c r="AI72" i="15"/>
  <c r="S72" i="15"/>
  <c r="AG72" i="15"/>
  <c r="Q72" i="15"/>
  <c r="AH72" i="15"/>
  <c r="Z72" i="15"/>
  <c r="P72" i="15"/>
  <c r="AE72" i="15"/>
  <c r="AC72" i="15"/>
  <c r="M72" i="15"/>
  <c r="J72" i="15"/>
  <c r="AB72" i="15"/>
  <c r="AA72" i="15"/>
  <c r="Y72" i="15"/>
  <c r="I72" i="15"/>
  <c r="H72" i="15"/>
  <c r="AK72" i="15"/>
  <c r="N72" i="15"/>
  <c r="AF72" i="15"/>
  <c r="O72" i="15"/>
  <c r="R72" i="15"/>
  <c r="L72" i="15"/>
  <c r="K72" i="15"/>
  <c r="AD72" i="15"/>
  <c r="X72" i="15"/>
  <c r="W72" i="15"/>
  <c r="V72" i="15"/>
  <c r="U72" i="15"/>
  <c r="AA75" i="16"/>
  <c r="K75" i="16"/>
  <c r="V75" i="16"/>
  <c r="AF75" i="16"/>
  <c r="AJ75" i="16"/>
  <c r="AG75" i="16"/>
  <c r="AC75" i="16"/>
  <c r="W75" i="16"/>
  <c r="AH75" i="16"/>
  <c r="R75" i="16"/>
  <c r="X75" i="16"/>
  <c r="AB75" i="16"/>
  <c r="Y75" i="16"/>
  <c r="M75" i="16"/>
  <c r="O75" i="16"/>
  <c r="J75" i="16"/>
  <c r="L75" i="16"/>
  <c r="U75" i="16"/>
  <c r="AI75" i="16"/>
  <c r="AD75" i="16"/>
  <c r="Q75" i="16"/>
  <c r="AE75" i="16"/>
  <c r="H75" i="16"/>
  <c r="P75" i="16"/>
  <c r="Z75" i="16"/>
  <c r="I75" i="16"/>
  <c r="S75" i="16"/>
  <c r="N75" i="16"/>
  <c r="T75" i="16"/>
  <c r="AK75" i="16"/>
  <c r="AI30" i="15"/>
  <c r="S30" i="15"/>
  <c r="AG30" i="15"/>
  <c r="Q30" i="15"/>
  <c r="Z30" i="15"/>
  <c r="X30" i="15"/>
  <c r="V30" i="15"/>
  <c r="T30" i="15"/>
  <c r="AE30" i="15"/>
  <c r="O30" i="15"/>
  <c r="AC30" i="15"/>
  <c r="M30" i="15"/>
  <c r="R30" i="15"/>
  <c r="P30" i="15"/>
  <c r="N30" i="15"/>
  <c r="L30" i="15"/>
  <c r="AK30" i="15"/>
  <c r="AH30" i="15"/>
  <c r="AD30" i="15"/>
  <c r="AF30" i="15"/>
  <c r="AA30" i="15"/>
  <c r="Y30" i="15"/>
  <c r="J30" i="15"/>
  <c r="AJ30" i="15"/>
  <c r="W30" i="15"/>
  <c r="K30" i="15"/>
  <c r="I30" i="15"/>
  <c r="H30" i="15"/>
  <c r="U30" i="15"/>
  <c r="AB30" i="15"/>
  <c r="AB63" i="15"/>
  <c r="L63" i="15"/>
  <c r="AA63" i="15"/>
  <c r="K63" i="15"/>
  <c r="Y63" i="15"/>
  <c r="I63" i="15"/>
  <c r="N63" i="15"/>
  <c r="X63" i="15"/>
  <c r="H63" i="15"/>
  <c r="W63" i="15"/>
  <c r="U63" i="15"/>
  <c r="AH63" i="15"/>
  <c r="Z63" i="15"/>
  <c r="AJ63" i="15"/>
  <c r="T63" i="15"/>
  <c r="AI63" i="15"/>
  <c r="AG63" i="15"/>
  <c r="R63" i="15"/>
  <c r="AF63" i="15"/>
  <c r="O63" i="15"/>
  <c r="AD63" i="15"/>
  <c r="AK63" i="15"/>
  <c r="S63" i="15"/>
  <c r="Q63" i="15"/>
  <c r="J63" i="15"/>
  <c r="P63" i="15"/>
  <c r="AC63" i="15"/>
  <c r="M63" i="15"/>
  <c r="AE63" i="15"/>
  <c r="V63" i="15"/>
  <c r="AJ57" i="16"/>
  <c r="T57" i="16"/>
  <c r="AI57" i="16"/>
  <c r="N57" i="16"/>
  <c r="W57" i="16"/>
  <c r="AA57" i="16"/>
  <c r="U57" i="16"/>
  <c r="J57" i="16"/>
  <c r="AF57" i="16"/>
  <c r="P57" i="16"/>
  <c r="AD57" i="16"/>
  <c r="I57" i="16"/>
  <c r="R57" i="16"/>
  <c r="V57" i="16"/>
  <c r="AK57" i="16"/>
  <c r="Z57" i="16"/>
  <c r="X57" i="16"/>
  <c r="H57" i="16"/>
  <c r="S57" i="16"/>
  <c r="AC57" i="16"/>
  <c r="AG57" i="16"/>
  <c r="K57" i="16"/>
  <c r="AE57" i="16"/>
  <c r="AH57" i="16"/>
  <c r="L57" i="16"/>
  <c r="AB57" i="16"/>
  <c r="M57" i="16"/>
  <c r="Y57" i="16"/>
  <c r="O57" i="16"/>
  <c r="Q57" i="16"/>
  <c r="AI36" i="16"/>
  <c r="S36" i="16"/>
  <c r="AD36" i="16"/>
  <c r="N36" i="16"/>
  <c r="AB36" i="16"/>
  <c r="L36" i="16"/>
  <c r="AK36" i="16"/>
  <c r="Q36" i="16"/>
  <c r="AE36" i="16"/>
  <c r="O36" i="16"/>
  <c r="Z36" i="16"/>
  <c r="J36" i="16"/>
  <c r="X36" i="16"/>
  <c r="H36" i="16"/>
  <c r="U36" i="16"/>
  <c r="AC36" i="16"/>
  <c r="W36" i="16"/>
  <c r="R36" i="16"/>
  <c r="P36" i="16"/>
  <c r="AG36" i="16"/>
  <c r="K36" i="16"/>
  <c r="AJ36" i="16"/>
  <c r="Y36" i="16"/>
  <c r="AF36" i="16"/>
  <c r="AH36" i="16"/>
  <c r="I36" i="16"/>
  <c r="AA36" i="16"/>
  <c r="V36" i="16"/>
  <c r="T36" i="16"/>
  <c r="M36" i="16"/>
  <c r="AK33" i="16"/>
  <c r="X33" i="16"/>
  <c r="H33" i="16"/>
  <c r="AE33" i="16"/>
  <c r="O33" i="16"/>
  <c r="AI33" i="16"/>
  <c r="R33" i="16"/>
  <c r="U33" i="16"/>
  <c r="AG33" i="16"/>
  <c r="T33" i="16"/>
  <c r="Y33" i="16"/>
  <c r="AA33" i="16"/>
  <c r="K33" i="16"/>
  <c r="AD33" i="16"/>
  <c r="N33" i="16"/>
  <c r="I33" i="16"/>
  <c r="AB33" i="16"/>
  <c r="AJ33" i="16"/>
  <c r="Q33" i="16"/>
  <c r="AH33" i="16"/>
  <c r="P33" i="16"/>
  <c r="W33" i="16"/>
  <c r="Z33" i="16"/>
  <c r="S33" i="16"/>
  <c r="L33" i="16"/>
  <c r="V33" i="16"/>
  <c r="AF33" i="16"/>
  <c r="M33" i="16"/>
  <c r="AC33" i="16"/>
  <c r="J33" i="16"/>
  <c r="AI36" i="15"/>
  <c r="S36" i="15"/>
  <c r="AG36" i="15"/>
  <c r="Q36" i="15"/>
  <c r="V36" i="15"/>
  <c r="T36" i="15"/>
  <c r="R36" i="15"/>
  <c r="P36" i="15"/>
  <c r="AE36" i="15"/>
  <c r="O36" i="15"/>
  <c r="AC36" i="15"/>
  <c r="M36" i="15"/>
  <c r="N36" i="15"/>
  <c r="L36" i="15"/>
  <c r="J36" i="15"/>
  <c r="H36" i="15"/>
  <c r="AA36" i="15"/>
  <c r="Y36" i="15"/>
  <c r="AJ36" i="15"/>
  <c r="AF36" i="15"/>
  <c r="I36" i="15"/>
  <c r="W36" i="15"/>
  <c r="U36" i="15"/>
  <c r="AB36" i="15"/>
  <c r="X36" i="15"/>
  <c r="AH36" i="15"/>
  <c r="AK36" i="15"/>
  <c r="AD36" i="15"/>
  <c r="Z36" i="15"/>
  <c r="K36" i="15"/>
  <c r="AK39" i="15"/>
  <c r="AJ39" i="15"/>
  <c r="AD39" i="15"/>
  <c r="AE39" i="15"/>
  <c r="M39" i="15"/>
  <c r="P39" i="15"/>
  <c r="AI39" i="15"/>
  <c r="S39" i="15"/>
  <c r="AG39" i="15"/>
  <c r="Q39" i="15"/>
  <c r="AB39" i="15"/>
  <c r="Z39" i="15"/>
  <c r="X39" i="15"/>
  <c r="V39" i="15"/>
  <c r="AC39" i="15"/>
  <c r="R39" i="15"/>
  <c r="AA39" i="15"/>
  <c r="K39" i="15"/>
  <c r="Y39" i="15"/>
  <c r="I39" i="15"/>
  <c r="L39" i="15"/>
  <c r="J39" i="15"/>
  <c r="H39" i="15"/>
  <c r="W39" i="15"/>
  <c r="U39" i="15"/>
  <c r="AH39" i="15"/>
  <c r="AF39" i="15"/>
  <c r="O39" i="15"/>
  <c r="T39" i="15"/>
  <c r="N39" i="15"/>
  <c r="AC15" i="15"/>
  <c r="Z15" i="15"/>
  <c r="N15" i="15"/>
  <c r="AK15" i="15"/>
  <c r="AJ15" i="15"/>
  <c r="AD15" i="15"/>
  <c r="AA15" i="15"/>
  <c r="K15" i="15"/>
  <c r="Y15" i="15"/>
  <c r="I15" i="15"/>
  <c r="L15" i="15"/>
  <c r="J15" i="15"/>
  <c r="H15" i="15"/>
  <c r="W15" i="15"/>
  <c r="AH15" i="15"/>
  <c r="AI15" i="15"/>
  <c r="S15" i="15"/>
  <c r="AG15" i="15"/>
  <c r="Q15" i="15"/>
  <c r="AB15" i="15"/>
  <c r="R15" i="15"/>
  <c r="X15" i="15"/>
  <c r="V15" i="15"/>
  <c r="AE15" i="15"/>
  <c r="O15" i="15"/>
  <c r="M15" i="15"/>
  <c r="T15" i="15"/>
  <c r="P15" i="15"/>
  <c r="U15" i="15"/>
  <c r="AF15" i="15"/>
  <c r="AF27" i="16"/>
  <c r="P27" i="16"/>
  <c r="AE27" i="16"/>
  <c r="O27" i="16"/>
  <c r="Z27" i="16"/>
  <c r="J27" i="16"/>
  <c r="AB27" i="16"/>
  <c r="L27" i="16"/>
  <c r="AA27" i="16"/>
  <c r="K27" i="16"/>
  <c r="V27" i="16"/>
  <c r="Y27" i="16"/>
  <c r="AK27" i="16"/>
  <c r="X27" i="16"/>
  <c r="H27" i="16"/>
  <c r="W27" i="16"/>
  <c r="AH27" i="16"/>
  <c r="R27" i="16"/>
  <c r="I27" i="16"/>
  <c r="U27" i="16"/>
  <c r="S27" i="16"/>
  <c r="M27" i="16"/>
  <c r="AJ27" i="16"/>
  <c r="AD27" i="16"/>
  <c r="AG27" i="16"/>
  <c r="N27" i="16"/>
  <c r="T27" i="16"/>
  <c r="Q27" i="16"/>
  <c r="AI27" i="16"/>
  <c r="AC27" i="16"/>
  <c r="W33" i="17"/>
  <c r="AJ33" i="17"/>
  <c r="T33" i="17"/>
  <c r="AK33" i="17"/>
  <c r="AH33" i="17"/>
  <c r="AG33" i="17"/>
  <c r="AD33" i="17"/>
  <c r="AI33" i="17"/>
  <c r="S33" i="17"/>
  <c r="AF33" i="17"/>
  <c r="P33" i="17"/>
  <c r="AC33" i="17"/>
  <c r="Z33" i="17"/>
  <c r="Y33" i="17"/>
  <c r="V33" i="17"/>
  <c r="AE33" i="17"/>
  <c r="O33" i="17"/>
  <c r="AB33" i="17"/>
  <c r="L33" i="17"/>
  <c r="U33" i="17"/>
  <c r="R33" i="17"/>
  <c r="Q33" i="17"/>
  <c r="N33" i="17"/>
  <c r="X33" i="17"/>
  <c r="I33" i="17"/>
  <c r="H33" i="17"/>
  <c r="AA33" i="17"/>
  <c r="M33" i="17"/>
  <c r="K33" i="17"/>
  <c r="J33" i="17"/>
  <c r="AJ60" i="16"/>
  <c r="T60" i="16"/>
  <c r="AH60" i="16"/>
  <c r="R60" i="16"/>
  <c r="W60" i="16"/>
  <c r="U60" i="16"/>
  <c r="S60" i="16"/>
  <c r="Y60" i="16"/>
  <c r="AF60" i="16"/>
  <c r="P60" i="16"/>
  <c r="AD60" i="16"/>
  <c r="N60" i="16"/>
  <c r="O60" i="16"/>
  <c r="M60" i="16"/>
  <c r="K60" i="16"/>
  <c r="Q60" i="16"/>
  <c r="X60" i="16"/>
  <c r="H60" i="16"/>
  <c r="V60" i="16"/>
  <c r="AE60" i="16"/>
  <c r="AC60" i="16"/>
  <c r="AA60" i="16"/>
  <c r="AG60" i="16"/>
  <c r="Z60" i="16"/>
  <c r="I60" i="16"/>
  <c r="AK60" i="16"/>
  <c r="J60" i="16"/>
  <c r="L60" i="16"/>
  <c r="AI60" i="16"/>
  <c r="AB60" i="16"/>
  <c r="AH63" i="16"/>
  <c r="R63" i="16"/>
  <c r="AF63" i="16"/>
  <c r="P63" i="16"/>
  <c r="AC63" i="16"/>
  <c r="AA63" i="16"/>
  <c r="Y63" i="16"/>
  <c r="AE63" i="16"/>
  <c r="AD63" i="16"/>
  <c r="N63" i="16"/>
  <c r="AB63" i="16"/>
  <c r="L63" i="16"/>
  <c r="U63" i="16"/>
  <c r="S63" i="16"/>
  <c r="Q63" i="16"/>
  <c r="W63" i="16"/>
  <c r="V63" i="16"/>
  <c r="AJ63" i="16"/>
  <c r="T63" i="16"/>
  <c r="AK63" i="16"/>
  <c r="AI63" i="16"/>
  <c r="AG63" i="16"/>
  <c r="O63" i="16"/>
  <c r="H63" i="16"/>
  <c r="J63" i="16"/>
  <c r="Z63" i="16"/>
  <c r="M63" i="16"/>
  <c r="X63" i="16"/>
  <c r="I63" i="16"/>
  <c r="K63" i="16"/>
  <c r="AH30" i="16"/>
  <c r="R30" i="16"/>
  <c r="S30" i="16"/>
  <c r="Y30" i="16"/>
  <c r="I30" i="16"/>
  <c r="AJ30" i="16"/>
  <c r="T30" i="16"/>
  <c r="AA30" i="16"/>
  <c r="AD30" i="16"/>
  <c r="N30" i="16"/>
  <c r="AK30" i="16"/>
  <c r="U30" i="16"/>
  <c r="AI30" i="16"/>
  <c r="AF30" i="16"/>
  <c r="P30" i="16"/>
  <c r="O30" i="16"/>
  <c r="AE30" i="16"/>
  <c r="M30" i="16"/>
  <c r="X30" i="16"/>
  <c r="Z30" i="16"/>
  <c r="AG30" i="16"/>
  <c r="W30" i="16"/>
  <c r="L30" i="16"/>
  <c r="V30" i="16"/>
  <c r="K30" i="16"/>
  <c r="AC30" i="16"/>
  <c r="H30" i="16"/>
  <c r="J30" i="16"/>
  <c r="Q30" i="16"/>
  <c r="AB30" i="16"/>
  <c r="AI12" i="15"/>
  <c r="S12" i="15"/>
  <c r="AE12" i="15"/>
  <c r="K12" i="15"/>
  <c r="Y12" i="15"/>
  <c r="I12" i="15"/>
  <c r="AJ12" i="15"/>
  <c r="AH12" i="15"/>
  <c r="AF12" i="15"/>
  <c r="AA12" i="15"/>
  <c r="AK12" i="15"/>
  <c r="AD12" i="15"/>
  <c r="AB12" i="15"/>
  <c r="Z12" i="15"/>
  <c r="AG12" i="15"/>
  <c r="V12" i="15"/>
  <c r="R12" i="15"/>
  <c r="U12" i="15"/>
  <c r="X12" i="15"/>
  <c r="W12" i="15"/>
  <c r="Q12" i="15"/>
  <c r="T12" i="15"/>
  <c r="P12" i="15"/>
  <c r="O12" i="15"/>
  <c r="AC12" i="15"/>
  <c r="M12" i="15"/>
  <c r="N12" i="15"/>
  <c r="L12" i="15"/>
  <c r="J12" i="15"/>
  <c r="H12" i="15"/>
  <c r="V15" i="17"/>
  <c r="AK15" i="17"/>
  <c r="U15" i="17"/>
  <c r="AJ15" i="17"/>
  <c r="T15" i="17"/>
  <c r="W15" i="17"/>
  <c r="AE15" i="17"/>
  <c r="AH15" i="17"/>
  <c r="R15" i="17"/>
  <c r="AG15" i="17"/>
  <c r="Q15" i="17"/>
  <c r="AF15" i="17"/>
  <c r="P15" i="17"/>
  <c r="AI15" i="17"/>
  <c r="O15" i="17"/>
  <c r="AD15" i="17"/>
  <c r="N15" i="17"/>
  <c r="AC15" i="17"/>
  <c r="M15" i="17"/>
  <c r="AB15" i="17"/>
  <c r="L15" i="17"/>
  <c r="S15" i="17"/>
  <c r="K15" i="17"/>
  <c r="J15" i="17"/>
  <c r="H15" i="17"/>
  <c r="Y15" i="17"/>
  <c r="AA15" i="17"/>
  <c r="I15" i="17"/>
  <c r="Z15" i="17"/>
  <c r="X15" i="17"/>
  <c r="C333" i="11"/>
  <c r="C334" i="11" s="1"/>
  <c r="C335" i="11" s="1"/>
  <c r="C336" i="11" s="1"/>
  <c r="C337" i="11" s="1"/>
  <c r="C338" i="11" s="1"/>
  <c r="C339" i="11" s="1"/>
  <c r="C340" i="11" s="1"/>
  <c r="C341" i="11" s="1"/>
  <c r="C342" i="11" s="1"/>
  <c r="C343" i="11" s="1"/>
  <c r="C344" i="11" s="1"/>
  <c r="C345" i="11" s="1"/>
  <c r="C346" i="11" s="1"/>
  <c r="C347" i="11" s="1"/>
  <c r="C348" i="11" s="1"/>
  <c r="C349" i="11" s="1"/>
  <c r="C350" i="11" s="1"/>
  <c r="C351" i="11" s="1"/>
  <c r="C352" i="11" s="1"/>
  <c r="C353" i="11" s="1"/>
  <c r="C354" i="11" s="1"/>
  <c r="C355" i="11" s="1"/>
  <c r="C356" i="11" s="1"/>
  <c r="C357" i="11" s="1"/>
  <c r="C358" i="11" s="1"/>
  <c r="C359" i="11" s="1"/>
  <c r="C360" i="11" s="1"/>
  <c r="C361" i="11" s="1"/>
  <c r="C362" i="11" s="1"/>
  <c r="C363" i="11" s="1"/>
  <c r="C364" i="11" s="1"/>
  <c r="C365" i="11" s="1"/>
  <c r="C366" i="11" s="1"/>
  <c r="C367" i="11" s="1"/>
  <c r="C368" i="11" s="1"/>
  <c r="C369" i="11" s="1"/>
  <c r="C370" i="11" s="1"/>
  <c r="C371" i="11" s="1"/>
  <c r="C372" i="11" s="1"/>
  <c r="C373" i="11" s="1"/>
  <c r="C374" i="11" s="1"/>
  <c r="C375" i="11" s="1"/>
  <c r="C376" i="11" s="1"/>
  <c r="C377" i="11" s="1"/>
  <c r="C378" i="11" s="1"/>
  <c r="C379" i="11" s="1"/>
  <c r="C380" i="11" s="1"/>
  <c r="C381" i="11" s="1"/>
  <c r="C382" i="11" s="1"/>
  <c r="C383" i="11" s="1"/>
  <c r="C384" i="11" s="1"/>
  <c r="C385" i="11" s="1"/>
  <c r="C386" i="11" s="1"/>
  <c r="C387" i="11" s="1"/>
  <c r="C388" i="11" s="1"/>
  <c r="C389" i="11" s="1"/>
  <c r="C390" i="11" s="1"/>
  <c r="C391" i="11" s="1"/>
  <c r="C392" i="11" s="1"/>
  <c r="C393" i="11" s="1"/>
  <c r="C394" i="11" s="1"/>
  <c r="C395" i="11" s="1"/>
  <c r="C396" i="11" s="1"/>
  <c r="C397" i="11" s="1"/>
  <c r="C398" i="11" s="1"/>
  <c r="C399" i="11" s="1"/>
  <c r="C400" i="11" s="1"/>
  <c r="C401" i="11" s="1"/>
  <c r="AJ66" i="16"/>
  <c r="T66" i="16"/>
  <c r="AH66" i="16"/>
  <c r="R66" i="16"/>
  <c r="AG66" i="16"/>
  <c r="Q66" i="16"/>
  <c r="S66" i="16"/>
  <c r="W66" i="16"/>
  <c r="AF66" i="16"/>
  <c r="P66" i="16"/>
  <c r="AD66" i="16"/>
  <c r="N66" i="16"/>
  <c r="AC66" i="16"/>
  <c r="M66" i="16"/>
  <c r="AA66" i="16"/>
  <c r="O66" i="16"/>
  <c r="X66" i="16"/>
  <c r="H66" i="16"/>
  <c r="V66" i="16"/>
  <c r="AK66" i="16"/>
  <c r="U66" i="16"/>
  <c r="AI66" i="16"/>
  <c r="AE66" i="16"/>
  <c r="Z66" i="16"/>
  <c r="K66" i="16"/>
  <c r="AB66" i="16"/>
  <c r="J66" i="16"/>
  <c r="L66" i="16"/>
  <c r="I66" i="16"/>
  <c r="Y66" i="16"/>
  <c r="AG36" i="17"/>
  <c r="AD36" i="17"/>
  <c r="M36" i="17"/>
  <c r="V36" i="17"/>
  <c r="AA36" i="17"/>
  <c r="X36" i="17"/>
  <c r="W36" i="17"/>
  <c r="L36" i="17"/>
  <c r="AC36" i="17"/>
  <c r="Y36" i="17"/>
  <c r="I36" i="17"/>
  <c r="R36" i="17"/>
  <c r="S36" i="17"/>
  <c r="P36" i="17"/>
  <c r="O36" i="17"/>
  <c r="AJ36" i="17"/>
  <c r="U36" i="17"/>
  <c r="AE36" i="17"/>
  <c r="N36" i="17"/>
  <c r="K36" i="17"/>
  <c r="H36" i="17"/>
  <c r="AB36" i="17"/>
  <c r="Q36" i="17"/>
  <c r="AF36" i="17"/>
  <c r="AK36" i="17"/>
  <c r="Z36" i="17"/>
  <c r="T36" i="17"/>
  <c r="J36" i="17"/>
  <c r="AI36" i="17"/>
  <c r="AH36" i="17"/>
  <c r="W27" i="17"/>
  <c r="AJ27" i="17"/>
  <c r="T27" i="17"/>
  <c r="AG27" i="17"/>
  <c r="AD27" i="17"/>
  <c r="AC27" i="17"/>
  <c r="Z27" i="17"/>
  <c r="AI27" i="17"/>
  <c r="S27" i="17"/>
  <c r="AF27" i="17"/>
  <c r="P27" i="17"/>
  <c r="Y27" i="17"/>
  <c r="V27" i="17"/>
  <c r="U27" i="17"/>
  <c r="R27" i="17"/>
  <c r="AE27" i="17"/>
  <c r="O27" i="17"/>
  <c r="AB27" i="17"/>
  <c r="L27" i="17"/>
  <c r="Q27" i="17"/>
  <c r="N27" i="17"/>
  <c r="M27" i="17"/>
  <c r="J27" i="17"/>
  <c r="X27" i="17"/>
  <c r="AH27" i="17"/>
  <c r="H27" i="17"/>
  <c r="AA27" i="17"/>
  <c r="I27" i="17"/>
  <c r="K27" i="17"/>
  <c r="AK27" i="17"/>
  <c r="AB66" i="15"/>
  <c r="L66" i="15"/>
  <c r="AA66" i="15"/>
  <c r="K66" i="15"/>
  <c r="Y66" i="15"/>
  <c r="I66" i="15"/>
  <c r="J66" i="15"/>
  <c r="X66" i="15"/>
  <c r="H66" i="15"/>
  <c r="W66" i="15"/>
  <c r="AK66" i="15"/>
  <c r="U66" i="15"/>
  <c r="AD66" i="15"/>
  <c r="V66" i="15"/>
  <c r="P66" i="15"/>
  <c r="O66" i="15"/>
  <c r="M66" i="15"/>
  <c r="R66" i="15"/>
  <c r="AJ66" i="15"/>
  <c r="AI66" i="15"/>
  <c r="AG66" i="15"/>
  <c r="AF66" i="15"/>
  <c r="AC66" i="15"/>
  <c r="N66" i="15"/>
  <c r="AE66" i="15"/>
  <c r="Z66" i="15"/>
  <c r="T66" i="15"/>
  <c r="S66" i="15"/>
  <c r="Q66" i="15"/>
  <c r="AH66" i="15"/>
  <c r="AJ69" i="15"/>
  <c r="T69" i="15"/>
  <c r="AI69" i="15"/>
  <c r="S69" i="15"/>
  <c r="AG69" i="15"/>
  <c r="Q69" i="15"/>
  <c r="J69" i="15"/>
  <c r="AD69" i="15"/>
  <c r="P69" i="15"/>
  <c r="AE69" i="15"/>
  <c r="AC69" i="15"/>
  <c r="V69" i="15"/>
  <c r="N69" i="15"/>
  <c r="L69" i="15"/>
  <c r="K69" i="15"/>
  <c r="I69" i="15"/>
  <c r="H69" i="15"/>
  <c r="AK69" i="15"/>
  <c r="R69" i="15"/>
  <c r="AF69" i="15"/>
  <c r="O69" i="15"/>
  <c r="M69" i="15"/>
  <c r="AB69" i="15"/>
  <c r="AA69" i="15"/>
  <c r="Y69" i="15"/>
  <c r="AH69" i="15"/>
  <c r="W69" i="15"/>
  <c r="U69" i="15"/>
  <c r="X69" i="15"/>
  <c r="Z69" i="15"/>
  <c r="AJ60" i="15"/>
  <c r="T60" i="15"/>
  <c r="AK60" i="15"/>
  <c r="U60" i="15"/>
  <c r="AD60" i="15"/>
  <c r="AA60" i="15"/>
  <c r="Z60" i="15"/>
  <c r="W60" i="15"/>
  <c r="AF60" i="15"/>
  <c r="AG60" i="15"/>
  <c r="Q60" i="15"/>
  <c r="S60" i="15"/>
  <c r="O60" i="15"/>
  <c r="L60" i="15"/>
  <c r="N60" i="15"/>
  <c r="J60" i="15"/>
  <c r="X60" i="15"/>
  <c r="I60" i="15"/>
  <c r="AH60" i="15"/>
  <c r="P60" i="15"/>
  <c r="V60" i="15"/>
  <c r="R60" i="15"/>
  <c r="AB60" i="15"/>
  <c r="AC60" i="15"/>
  <c r="M60" i="15"/>
  <c r="K60" i="15"/>
  <c r="Y60" i="15"/>
  <c r="AI60" i="15"/>
  <c r="H60" i="15"/>
  <c r="AE60" i="15"/>
  <c r="AJ57" i="15"/>
  <c r="T57" i="15"/>
  <c r="AK57" i="15"/>
  <c r="U57" i="15"/>
  <c r="AD57" i="15"/>
  <c r="AA57" i="15"/>
  <c r="Z57" i="15"/>
  <c r="W57" i="15"/>
  <c r="AF57" i="15"/>
  <c r="P57" i="15"/>
  <c r="AG57" i="15"/>
  <c r="Q57" i="15"/>
  <c r="V57" i="15"/>
  <c r="S57" i="15"/>
  <c r="R57" i="15"/>
  <c r="O57" i="15"/>
  <c r="X57" i="15"/>
  <c r="Y57" i="15"/>
  <c r="AI57" i="15"/>
  <c r="AE57" i="15"/>
  <c r="L57" i="15"/>
  <c r="M57" i="15"/>
  <c r="I57" i="15"/>
  <c r="K57" i="15"/>
  <c r="H57" i="15"/>
  <c r="AH57" i="15"/>
  <c r="AB57" i="15"/>
  <c r="AC57" i="15"/>
  <c r="N57" i="15"/>
  <c r="J57" i="15"/>
  <c r="AA27" i="15"/>
  <c r="K27" i="15"/>
  <c r="Y27" i="15"/>
  <c r="I27" i="15"/>
  <c r="L27" i="15"/>
  <c r="J27" i="15"/>
  <c r="H27" i="15"/>
  <c r="W27" i="15"/>
  <c r="AK27" i="15"/>
  <c r="U27" i="15"/>
  <c r="AJ27" i="15"/>
  <c r="AH27" i="15"/>
  <c r="AF27" i="15"/>
  <c r="AD27" i="15"/>
  <c r="AI27" i="15"/>
  <c r="AG27" i="15"/>
  <c r="AB27" i="15"/>
  <c r="X27" i="15"/>
  <c r="Q27" i="15"/>
  <c r="AE27" i="15"/>
  <c r="AC27" i="15"/>
  <c r="T27" i="15"/>
  <c r="P27" i="15"/>
  <c r="S27" i="15"/>
  <c r="V27" i="15"/>
  <c r="O27" i="15"/>
  <c r="M27" i="15"/>
  <c r="R27" i="15"/>
  <c r="N27" i="15"/>
  <c r="Z27" i="15"/>
  <c r="D756" i="11"/>
  <c r="D757" i="11" s="1"/>
  <c r="D758" i="11" s="1"/>
  <c r="D759" i="11" s="1"/>
  <c r="D760" i="11" s="1"/>
  <c r="D761" i="11" s="1"/>
  <c r="D753" i="11"/>
  <c r="D754" i="11" s="1"/>
  <c r="D755" i="11" s="1"/>
  <c r="AK63" i="17"/>
  <c r="AG63" i="17"/>
  <c r="AC63" i="17"/>
  <c r="Y63" i="17"/>
  <c r="U63" i="17"/>
  <c r="Q63" i="17"/>
  <c r="M63" i="17"/>
  <c r="I63" i="17"/>
  <c r="AI63" i="17"/>
  <c r="AE63" i="17"/>
  <c r="AA63" i="17"/>
  <c r="W63" i="17"/>
  <c r="S63" i="17"/>
  <c r="O63" i="17"/>
  <c r="K63" i="17"/>
  <c r="AH63" i="17"/>
  <c r="AD63" i="17"/>
  <c r="Z63" i="17"/>
  <c r="V63" i="17"/>
  <c r="R63" i="17"/>
  <c r="N63" i="17"/>
  <c r="J63" i="17"/>
  <c r="AJ63" i="17"/>
  <c r="T63" i="17"/>
  <c r="AF63" i="17"/>
  <c r="P63" i="17"/>
  <c r="AB63" i="17"/>
  <c r="L63" i="17"/>
  <c r="X63" i="17"/>
  <c r="H63" i="17"/>
  <c r="AJ66" i="17"/>
  <c r="AF66" i="17"/>
  <c r="AB66" i="17"/>
  <c r="X66" i="17"/>
  <c r="T66" i="17"/>
  <c r="P66" i="17"/>
  <c r="L66" i="17"/>
  <c r="H66" i="17"/>
  <c r="AH66" i="17"/>
  <c r="AD66" i="17"/>
  <c r="Z66" i="17"/>
  <c r="V66" i="17"/>
  <c r="R66" i="17"/>
  <c r="N66" i="17"/>
  <c r="J66" i="17"/>
  <c r="AK66" i="17"/>
  <c r="AG66" i="17"/>
  <c r="AC66" i="17"/>
  <c r="Y66" i="17"/>
  <c r="U66" i="17"/>
  <c r="Q66" i="17"/>
  <c r="M66" i="17"/>
  <c r="I66" i="17"/>
  <c r="W66" i="17"/>
  <c r="AE66" i="17"/>
  <c r="O66" i="17"/>
  <c r="AA66" i="17"/>
  <c r="K66" i="17"/>
  <c r="AI66" i="17"/>
  <c r="S66" i="17"/>
  <c r="AI60" i="17"/>
  <c r="AE60" i="17"/>
  <c r="AA60" i="17"/>
  <c r="W60" i="17"/>
  <c r="S60" i="17"/>
  <c r="O60" i="17"/>
  <c r="K60" i="17"/>
  <c r="AK60" i="17"/>
  <c r="AG60" i="17"/>
  <c r="AC60" i="17"/>
  <c r="Y60" i="17"/>
  <c r="U60" i="17"/>
  <c r="Q60" i="17"/>
  <c r="M60" i="17"/>
  <c r="I60" i="17"/>
  <c r="AJ60" i="17"/>
  <c r="AF60" i="17"/>
  <c r="AB60" i="17"/>
  <c r="X60" i="17"/>
  <c r="T60" i="17"/>
  <c r="P60" i="17"/>
  <c r="L60" i="17"/>
  <c r="H60" i="17"/>
  <c r="AD60" i="17"/>
  <c r="N60" i="17"/>
  <c r="Z60" i="17"/>
  <c r="J60" i="17"/>
  <c r="V60" i="17"/>
  <c r="AH60" i="17"/>
  <c r="R60" i="17"/>
  <c r="AH69" i="17"/>
  <c r="AD69" i="17"/>
  <c r="Z69" i="17"/>
  <c r="V69" i="17"/>
  <c r="R69" i="17"/>
  <c r="N69" i="17"/>
  <c r="J69" i="17"/>
  <c r="AJ69" i="17"/>
  <c r="AF69" i="17"/>
  <c r="AB69" i="17"/>
  <c r="X69" i="17"/>
  <c r="T69" i="17"/>
  <c r="P69" i="17"/>
  <c r="L69" i="17"/>
  <c r="H69" i="17"/>
  <c r="AI69" i="17"/>
  <c r="AE69" i="17"/>
  <c r="AA69" i="17"/>
  <c r="W69" i="17"/>
  <c r="S69" i="17"/>
  <c r="O69" i="17"/>
  <c r="K69" i="17"/>
  <c r="AC69" i="17"/>
  <c r="M69" i="17"/>
  <c r="AK69" i="17"/>
  <c r="U69" i="17"/>
  <c r="AG69" i="17"/>
  <c r="Q69" i="17"/>
  <c r="Y69" i="17"/>
  <c r="I69" i="17"/>
  <c r="AJ72" i="17"/>
  <c r="AF72" i="17"/>
  <c r="AB72" i="17"/>
  <c r="X72" i="17"/>
  <c r="T72" i="17"/>
  <c r="P72" i="17"/>
  <c r="L72" i="17"/>
  <c r="H72" i="17"/>
  <c r="AH72" i="17"/>
  <c r="AD72" i="17"/>
  <c r="Z72" i="17"/>
  <c r="V72" i="17"/>
  <c r="R72" i="17"/>
  <c r="N72" i="17"/>
  <c r="J72" i="17"/>
  <c r="AK72" i="17"/>
  <c r="AG72" i="17"/>
  <c r="AC72" i="17"/>
  <c r="Y72" i="17"/>
  <c r="U72" i="17"/>
  <c r="Q72" i="17"/>
  <c r="M72" i="17"/>
  <c r="I72" i="17"/>
  <c r="AI72" i="17"/>
  <c r="S72" i="17"/>
  <c r="AA72" i="17"/>
  <c r="K72" i="17"/>
  <c r="W72" i="17"/>
  <c r="O72" i="17"/>
  <c r="AE72" i="17"/>
  <c r="AK57" i="17"/>
  <c r="AG57" i="17"/>
  <c r="AC57" i="17"/>
  <c r="Y57" i="17"/>
  <c r="U57" i="17"/>
  <c r="Q57" i="17"/>
  <c r="M57" i="17"/>
  <c r="I57" i="17"/>
  <c r="AI57" i="17"/>
  <c r="AE57" i="17"/>
  <c r="AA57" i="17"/>
  <c r="W57" i="17"/>
  <c r="S57" i="17"/>
  <c r="O57" i="17"/>
  <c r="K57" i="17"/>
  <c r="AH57" i="17"/>
  <c r="AD57" i="17"/>
  <c r="Z57" i="17"/>
  <c r="V57" i="17"/>
  <c r="R57" i="17"/>
  <c r="N57" i="17"/>
  <c r="J57" i="17"/>
  <c r="X57" i="17"/>
  <c r="H57" i="17"/>
  <c r="AJ57" i="17"/>
  <c r="T57" i="17"/>
  <c r="AF57" i="17"/>
  <c r="P57" i="17"/>
  <c r="L57" i="17"/>
  <c r="AB57" i="17"/>
  <c r="AH75" i="17"/>
  <c r="AD75" i="17"/>
  <c r="Z75" i="17"/>
  <c r="V75" i="17"/>
  <c r="R75" i="17"/>
  <c r="N75" i="17"/>
  <c r="J75" i="17"/>
  <c r="AJ75" i="17"/>
  <c r="AF75" i="17"/>
  <c r="AB75" i="17"/>
  <c r="X75" i="17"/>
  <c r="T75" i="17"/>
  <c r="P75" i="17"/>
  <c r="L75" i="17"/>
  <c r="H75" i="17"/>
  <c r="AI75" i="17"/>
  <c r="AE75" i="17"/>
  <c r="AA75" i="17"/>
  <c r="W75" i="17"/>
  <c r="S75" i="17"/>
  <c r="O75" i="17"/>
  <c r="K75" i="17"/>
  <c r="Y75" i="17"/>
  <c r="I75" i="17"/>
  <c r="AG75" i="17"/>
  <c r="Q75" i="17"/>
  <c r="AC75" i="17"/>
  <c r="M75" i="17"/>
  <c r="AK75" i="17"/>
  <c r="U75" i="17"/>
  <c r="X47" i="14"/>
  <c r="O47" i="14"/>
  <c r="Y47" i="14"/>
  <c r="L47" i="14"/>
  <c r="F48" i="14"/>
  <c r="AA48" i="14" s="1"/>
  <c r="Q47" i="14"/>
  <c r="AF47" i="14"/>
  <c r="H47" i="14"/>
  <c r="AI47" i="14"/>
  <c r="AD47" i="14"/>
  <c r="U47" i="14"/>
  <c r="AG47" i="14"/>
  <c r="I47" i="14"/>
  <c r="AB47" i="14"/>
  <c r="S47" i="14"/>
  <c r="V47" i="14"/>
  <c r="AC47" i="14"/>
  <c r="M47" i="14"/>
  <c r="AJ47" i="14"/>
  <c r="T47" i="14"/>
  <c r="AE47" i="14"/>
  <c r="R47" i="14"/>
  <c r="P47" i="14"/>
  <c r="W47" i="14"/>
  <c r="AH47" i="14"/>
  <c r="N47" i="14"/>
  <c r="AA55" i="14"/>
  <c r="V55" i="14"/>
  <c r="AH55" i="14"/>
  <c r="AC55" i="14"/>
  <c r="Y55" i="14"/>
  <c r="L55" i="14"/>
  <c r="O55" i="14"/>
  <c r="AA47" i="14"/>
  <c r="K47" i="14"/>
  <c r="Z47" i="14"/>
  <c r="J47" i="14"/>
  <c r="X55" i="14"/>
  <c r="AI55" i="14"/>
  <c r="R55" i="14"/>
  <c r="AB55" i="14"/>
  <c r="AD55" i="14"/>
  <c r="U55" i="14"/>
  <c r="S55" i="14"/>
  <c r="Z55" i="14"/>
  <c r="Q55" i="14"/>
  <c r="T55" i="14"/>
  <c r="AK55" i="14"/>
  <c r="AE55" i="14"/>
  <c r="K55" i="14"/>
  <c r="AG55" i="14"/>
  <c r="AF55" i="14"/>
  <c r="P55" i="14"/>
  <c r="J55" i="14"/>
  <c r="I55" i="14"/>
  <c r="W55" i="14"/>
  <c r="H55" i="14"/>
  <c r="N55" i="14"/>
  <c r="M55" i="14"/>
  <c r="AH56" i="14"/>
  <c r="AD56" i="14"/>
  <c r="Z56" i="14"/>
  <c r="V56" i="14"/>
  <c r="R56" i="14"/>
  <c r="N56" i="14"/>
  <c r="J56" i="14"/>
  <c r="AJ56" i="14"/>
  <c r="AB56" i="14"/>
  <c r="T56" i="14"/>
  <c r="H56" i="14"/>
  <c r="AE56" i="14"/>
  <c r="W56" i="14"/>
  <c r="O56" i="14"/>
  <c r="AK56" i="14"/>
  <c r="AG56" i="14"/>
  <c r="AC56" i="14"/>
  <c r="Y56" i="14"/>
  <c r="U56" i="14"/>
  <c r="Q56" i="14"/>
  <c r="M56" i="14"/>
  <c r="I56" i="14"/>
  <c r="AF56" i="14"/>
  <c r="X56" i="14"/>
  <c r="P56" i="14"/>
  <c r="L56" i="14"/>
  <c r="AI56" i="14"/>
  <c r="AA56" i="14"/>
  <c r="S56" i="14"/>
  <c r="K56" i="14"/>
  <c r="AJ53" i="14"/>
  <c r="AF53" i="14"/>
  <c r="AB53" i="14"/>
  <c r="X53" i="14"/>
  <c r="T53" i="14"/>
  <c r="P53" i="14"/>
  <c r="L53" i="14"/>
  <c r="H53" i="14"/>
  <c r="AH53" i="14"/>
  <c r="Z53" i="14"/>
  <c r="R53" i="14"/>
  <c r="J53" i="14"/>
  <c r="AK53" i="14"/>
  <c r="AC53" i="14"/>
  <c r="U53" i="14"/>
  <c r="Q53" i="14"/>
  <c r="I53" i="14"/>
  <c r="AI53" i="14"/>
  <c r="AE53" i="14"/>
  <c r="AA53" i="14"/>
  <c r="W53" i="14"/>
  <c r="S53" i="14"/>
  <c r="O53" i="14"/>
  <c r="K53" i="14"/>
  <c r="AD53" i="14"/>
  <c r="V53" i="14"/>
  <c r="N53" i="14"/>
  <c r="AG53" i="14"/>
  <c r="Y53" i="14"/>
  <c r="M53" i="14"/>
  <c r="AK50" i="14"/>
  <c r="AG50" i="14"/>
  <c r="AC50" i="14"/>
  <c r="Y50" i="14"/>
  <c r="U50" i="14"/>
  <c r="Q50" i="14"/>
  <c r="M50" i="14"/>
  <c r="I50" i="14"/>
  <c r="AD50" i="14"/>
  <c r="V50" i="14"/>
  <c r="N50" i="14"/>
  <c r="AJ50" i="14"/>
  <c r="AF50" i="14"/>
  <c r="AB50" i="14"/>
  <c r="X50" i="14"/>
  <c r="T50" i="14"/>
  <c r="P50" i="14"/>
  <c r="L50" i="14"/>
  <c r="H50" i="14"/>
  <c r="AI50" i="14"/>
  <c r="AE50" i="14"/>
  <c r="AA50" i="14"/>
  <c r="W50" i="14"/>
  <c r="S50" i="14"/>
  <c r="O50" i="14"/>
  <c r="K50" i="14"/>
  <c r="AH50" i="14"/>
  <c r="Z50" i="14"/>
  <c r="R50" i="14"/>
  <c r="J50" i="14"/>
  <c r="F57" i="14"/>
  <c r="F54" i="14"/>
  <c r="F51" i="14"/>
  <c r="C402" i="11" l="1"/>
  <c r="C403" i="11" s="1"/>
  <c r="C404" i="11" s="1"/>
  <c r="C405" i="11" s="1"/>
  <c r="C406" i="11" s="1"/>
  <c r="C407" i="11" s="1"/>
  <c r="C408" i="11" s="1"/>
  <c r="C409" i="11" s="1"/>
  <c r="C410" i="11" s="1"/>
  <c r="C411" i="11" s="1"/>
  <c r="C412" i="11" s="1"/>
  <c r="C413" i="11" s="1"/>
  <c r="C414" i="11" s="1"/>
  <c r="C415" i="11" s="1"/>
  <c r="C416" i="11" s="1"/>
  <c r="C417" i="11" s="1"/>
  <c r="C418" i="11" s="1"/>
  <c r="C419" i="11" s="1"/>
  <c r="C420" i="11" s="1"/>
  <c r="C421" i="11" s="1"/>
  <c r="C422" i="11" s="1"/>
  <c r="C423" i="11" s="1"/>
  <c r="C424" i="11" s="1"/>
  <c r="C425" i="11" s="1"/>
  <c r="C426" i="11" s="1"/>
  <c r="C427" i="11" s="1"/>
  <c r="C428" i="11" s="1"/>
  <c r="C429" i="11" s="1"/>
  <c r="C430" i="11" s="1"/>
  <c r="C431" i="11" s="1"/>
  <c r="C432" i="11" s="1"/>
  <c r="C433" i="11" s="1"/>
  <c r="C434" i="11" s="1"/>
  <c r="C435" i="11" s="1"/>
  <c r="C436" i="11" s="1"/>
  <c r="C437" i="11" s="1"/>
  <c r="C438" i="11" s="1"/>
  <c r="C439" i="11" s="1"/>
  <c r="C440" i="11" s="1"/>
  <c r="C441" i="11" s="1"/>
  <c r="C442" i="11" s="1"/>
  <c r="C443" i="11" s="1"/>
  <c r="C444" i="11" s="1"/>
  <c r="C445" i="11" s="1"/>
  <c r="C446" i="11" s="1"/>
  <c r="C447" i="11" s="1"/>
  <c r="C448" i="11" s="1"/>
  <c r="C449" i="11" s="1"/>
  <c r="C450" i="11" s="1"/>
  <c r="C451" i="11" s="1"/>
  <c r="C452" i="11" s="1"/>
  <c r="C453" i="11" s="1"/>
  <c r="C454" i="11" s="1"/>
  <c r="C455" i="11" s="1"/>
  <c r="C456" i="11" s="1"/>
  <c r="C457" i="11" s="1"/>
  <c r="C458" i="11" s="1"/>
  <c r="C459" i="11" s="1"/>
  <c r="C460" i="11" s="1"/>
  <c r="C461" i="11" s="1"/>
  <c r="C462" i="11" s="1"/>
  <c r="C463" i="11" s="1"/>
  <c r="C464" i="11" s="1"/>
  <c r="C465" i="11" s="1"/>
  <c r="C466" i="11" s="1"/>
  <c r="C467" i="11" s="1"/>
  <c r="C468" i="11" s="1"/>
  <c r="C469" i="11" s="1"/>
  <c r="C470" i="11" s="1"/>
  <c r="C471" i="11" s="1"/>
  <c r="C472" i="11" s="1"/>
  <c r="C473" i="11" s="1"/>
  <c r="C474" i="11" s="1"/>
  <c r="C475" i="11" s="1"/>
  <c r="C476" i="11" s="1"/>
  <c r="C477" i="11" s="1"/>
  <c r="C478" i="11" s="1"/>
  <c r="C479" i="11" s="1"/>
  <c r="C480" i="11" s="1"/>
  <c r="C481" i="11" s="1"/>
  <c r="C482" i="11" s="1"/>
  <c r="C483" i="11" s="1"/>
  <c r="C484" i="11" s="1"/>
  <c r="C485" i="11" s="1"/>
  <c r="C486" i="11" s="1"/>
  <c r="C487" i="11" s="1"/>
  <c r="C488" i="11" s="1"/>
  <c r="C489" i="11" s="1"/>
  <c r="C490" i="11" s="1"/>
  <c r="C491" i="11" s="1"/>
  <c r="C492" i="11" s="1"/>
  <c r="C493" i="11" s="1"/>
  <c r="C494" i="11" s="1"/>
  <c r="C495" i="11" s="1"/>
  <c r="C496" i="11" s="1"/>
  <c r="C497" i="11" s="1"/>
  <c r="C498" i="11" s="1"/>
  <c r="C499" i="11" s="1"/>
  <c r="C500" i="11" s="1"/>
  <c r="C501" i="11" s="1"/>
  <c r="C502" i="11" s="1"/>
  <c r="C503" i="11" s="1"/>
  <c r="C504" i="11" s="1"/>
  <c r="C505" i="11" s="1"/>
  <c r="C506" i="11" s="1"/>
  <c r="C507" i="11" s="1"/>
  <c r="C508" i="11" s="1"/>
  <c r="C509" i="11" s="1"/>
  <c r="C510" i="11" s="1"/>
  <c r="C511" i="11" s="1"/>
  <c r="C512" i="11" s="1"/>
  <c r="C513" i="11" s="1"/>
  <c r="C514" i="11" s="1"/>
  <c r="C515" i="11" s="1"/>
  <c r="C516" i="11" s="1"/>
  <c r="C517" i="11" s="1"/>
  <c r="C518" i="11" s="1"/>
  <c r="C519" i="11" s="1"/>
  <c r="C520" i="11" s="1"/>
  <c r="C521" i="11" s="1"/>
  <c r="C522" i="11" s="1"/>
  <c r="C523" i="11" s="1"/>
  <c r="C524" i="11" s="1"/>
  <c r="C525" i="11" s="1"/>
  <c r="C526" i="11" s="1"/>
  <c r="C527" i="11" s="1"/>
  <c r="C528" i="11" s="1"/>
  <c r="C529" i="11" s="1"/>
  <c r="C530" i="11" s="1"/>
  <c r="C531" i="11" s="1"/>
  <c r="C532" i="11" s="1"/>
  <c r="C533" i="11" s="1"/>
  <c r="C534" i="11" s="1"/>
  <c r="C535" i="11" s="1"/>
  <c r="C536" i="11" s="1"/>
  <c r="C537" i="11" s="1"/>
  <c r="C538" i="11" s="1"/>
  <c r="C539" i="11" s="1"/>
  <c r="C540" i="11" s="1"/>
  <c r="C541" i="11" s="1"/>
  <c r="C542" i="11" s="1"/>
  <c r="C543" i="11" s="1"/>
  <c r="C544" i="11" s="1"/>
  <c r="C545" i="11" s="1"/>
  <c r="C546" i="11" s="1"/>
  <c r="C547" i="11" s="1"/>
  <c r="C548" i="11" s="1"/>
  <c r="C549" i="11" s="1"/>
  <c r="C550" i="11" s="1"/>
  <c r="C551" i="11" s="1"/>
  <c r="C552" i="11" s="1"/>
  <c r="C553" i="11" s="1"/>
  <c r="C554" i="11" s="1"/>
  <c r="C555" i="11" s="1"/>
  <c r="C556" i="11" s="1"/>
  <c r="C557" i="11" s="1"/>
  <c r="C558" i="11" s="1"/>
  <c r="C559" i="11" s="1"/>
  <c r="C560" i="11" s="1"/>
  <c r="C561" i="11" s="1"/>
  <c r="C562" i="11" s="1"/>
  <c r="C563" i="11" s="1"/>
  <c r="C564" i="11" s="1"/>
  <c r="C565" i="11" s="1"/>
  <c r="C566" i="11" s="1"/>
  <c r="C567" i="11" s="1"/>
  <c r="C568" i="11" s="1"/>
  <c r="C569" i="11" s="1"/>
  <c r="C570" i="11" s="1"/>
  <c r="C571" i="11" s="1"/>
  <c r="C572" i="11" s="1"/>
  <c r="C573" i="11" s="1"/>
  <c r="C574" i="11" s="1"/>
  <c r="C575" i="11" s="1"/>
  <c r="C576" i="11" s="1"/>
  <c r="C577" i="11" s="1"/>
  <c r="C578" i="11" s="1"/>
  <c r="C579" i="11" s="1"/>
  <c r="C580" i="11" s="1"/>
  <c r="C581" i="11" s="1"/>
  <c r="C582" i="11" s="1"/>
  <c r="C583" i="11" s="1"/>
  <c r="C584" i="11" s="1"/>
  <c r="C585" i="11" s="1"/>
  <c r="C586" i="11" s="1"/>
  <c r="C587" i="11" s="1"/>
  <c r="C588" i="11" s="1"/>
  <c r="C589" i="11" s="1"/>
  <c r="C590" i="11" s="1"/>
  <c r="C591" i="11" s="1"/>
  <c r="C592" i="11" s="1"/>
  <c r="C593" i="11" s="1"/>
  <c r="C594" i="11" s="1"/>
  <c r="C595" i="11" s="1"/>
  <c r="C596" i="11" s="1"/>
  <c r="C597" i="11" s="1"/>
  <c r="C598" i="11" s="1"/>
  <c r="C599" i="11" s="1"/>
  <c r="C600" i="11" s="1"/>
  <c r="C601" i="11" s="1"/>
  <c r="C602" i="11" s="1"/>
  <c r="C603" i="11" s="1"/>
  <c r="C604" i="11" s="1"/>
  <c r="C605" i="11" s="1"/>
  <c r="C606" i="11" s="1"/>
  <c r="C607" i="11" s="1"/>
  <c r="C608" i="11" s="1"/>
  <c r="C609" i="11" s="1"/>
  <c r="C610" i="11" s="1"/>
  <c r="C611" i="11" s="1"/>
  <c r="C612" i="11" s="1"/>
  <c r="C613" i="11" s="1"/>
  <c r="C614" i="11" s="1"/>
  <c r="C615" i="11" s="1"/>
  <c r="C616" i="11" s="1"/>
  <c r="C617" i="11" s="1"/>
  <c r="C618" i="11" s="1"/>
  <c r="C619" i="11" s="1"/>
  <c r="C620" i="11" s="1"/>
  <c r="C621" i="11" s="1"/>
  <c r="C622" i="11" s="1"/>
  <c r="C623" i="11" s="1"/>
  <c r="C624" i="11" s="1"/>
  <c r="C625" i="11" s="1"/>
  <c r="C626" i="11" s="1"/>
  <c r="C627" i="11" s="1"/>
  <c r="C628" i="11" s="1"/>
  <c r="C629" i="11" s="1"/>
  <c r="C630" i="11" s="1"/>
  <c r="C631" i="11" s="1"/>
  <c r="C632" i="11" s="1"/>
  <c r="C633" i="11" s="1"/>
  <c r="C634" i="11" s="1"/>
  <c r="C635" i="11" s="1"/>
  <c r="C636" i="11" s="1"/>
  <c r="C637" i="11" s="1"/>
  <c r="C638" i="11" s="1"/>
  <c r="C639" i="11" s="1"/>
  <c r="C640" i="11" s="1"/>
  <c r="C641" i="11" s="1"/>
  <c r="C642" i="11" s="1"/>
  <c r="C643" i="11" s="1"/>
  <c r="C644" i="11" s="1"/>
  <c r="C645" i="11" s="1"/>
  <c r="C646" i="11" s="1"/>
  <c r="C647" i="11" s="1"/>
  <c r="C648" i="11" s="1"/>
  <c r="C649" i="11" s="1"/>
  <c r="C650" i="11" s="1"/>
  <c r="C651" i="11" s="1"/>
  <c r="C652" i="11" s="1"/>
  <c r="C653" i="11" s="1"/>
  <c r="C654" i="11" s="1"/>
  <c r="C655" i="11" s="1"/>
  <c r="C656" i="11" s="1"/>
  <c r="C657" i="11" s="1"/>
  <c r="C658" i="11" s="1"/>
  <c r="C659" i="11" s="1"/>
  <c r="C660" i="11" s="1"/>
  <c r="C661" i="11" s="1"/>
  <c r="C662" i="11" s="1"/>
  <c r="C663" i="11" s="1"/>
  <c r="C664" i="11" s="1"/>
  <c r="C665" i="11" s="1"/>
  <c r="C666" i="11" s="1"/>
  <c r="C667" i="11" s="1"/>
  <c r="C668" i="11" s="1"/>
  <c r="C669" i="11" s="1"/>
  <c r="C670" i="11" s="1"/>
  <c r="C671" i="11" s="1"/>
  <c r="C672" i="11" s="1"/>
  <c r="C673" i="11" s="1"/>
  <c r="C674" i="11" s="1"/>
  <c r="C675" i="11" s="1"/>
  <c r="C676" i="11" s="1"/>
  <c r="C677" i="11" s="1"/>
  <c r="C678" i="11" s="1"/>
  <c r="C679" i="11" s="1"/>
  <c r="C680" i="11" s="1"/>
  <c r="C681" i="11" s="1"/>
  <c r="C682" i="11" s="1"/>
  <c r="C683" i="11" s="1"/>
  <c r="C684" i="11" s="1"/>
  <c r="C685" i="11" s="1"/>
  <c r="C686" i="11" s="1"/>
  <c r="C687" i="11" s="1"/>
  <c r="C688" i="11" s="1"/>
  <c r="C689" i="11" s="1"/>
  <c r="C690" i="11" s="1"/>
  <c r="C691" i="11" s="1"/>
  <c r="C692" i="11" s="1"/>
  <c r="C693" i="11" s="1"/>
  <c r="C694" i="11" s="1"/>
  <c r="C695" i="11" s="1"/>
  <c r="C696" i="11" s="1"/>
  <c r="C697" i="11" s="1"/>
  <c r="C698" i="11" s="1"/>
  <c r="C699" i="11" s="1"/>
  <c r="C700" i="11" s="1"/>
  <c r="C701" i="11" s="1"/>
  <c r="C702" i="11" s="1"/>
  <c r="C703" i="11" s="1"/>
  <c r="C704" i="11" s="1"/>
  <c r="C705" i="11" s="1"/>
  <c r="C706" i="11" s="1"/>
  <c r="C707" i="11" s="1"/>
  <c r="C708" i="11" s="1"/>
  <c r="C709" i="11" s="1"/>
  <c r="C710" i="11" s="1"/>
  <c r="C711" i="11" s="1"/>
  <c r="C712" i="11" s="1"/>
  <c r="C713" i="11" s="1"/>
  <c r="C714" i="11" s="1"/>
  <c r="C715" i="11" s="1"/>
  <c r="C716" i="11" s="1"/>
  <c r="C717" i="11" s="1"/>
  <c r="C718" i="11" s="1"/>
  <c r="C719" i="11" s="1"/>
  <c r="C720" i="11" s="1"/>
  <c r="C721" i="11" s="1"/>
  <c r="C722" i="11" s="1"/>
  <c r="C723" i="11" s="1"/>
  <c r="C724" i="11" s="1"/>
  <c r="C725" i="11" s="1"/>
  <c r="C726" i="11" s="1"/>
  <c r="C727" i="11" s="1"/>
  <c r="C728" i="11" s="1"/>
  <c r="C729" i="11" s="1"/>
  <c r="C730" i="11" s="1"/>
  <c r="C731" i="11" s="1"/>
  <c r="C732" i="11" s="1"/>
  <c r="C733" i="11" s="1"/>
  <c r="C734" i="11" s="1"/>
  <c r="C735" i="11" s="1"/>
  <c r="C736" i="11" s="1"/>
  <c r="C737" i="11" s="1"/>
  <c r="C738" i="11" s="1"/>
  <c r="C739" i="11" s="1"/>
  <c r="C740" i="11" s="1"/>
  <c r="C741" i="11" s="1"/>
  <c r="C742" i="11" s="1"/>
  <c r="C743" i="11" s="1"/>
  <c r="C744" i="11" s="1"/>
  <c r="C745" i="11" s="1"/>
  <c r="C746" i="11" s="1"/>
  <c r="C747" i="11" s="1"/>
  <c r="C748" i="11" s="1"/>
  <c r="C749" i="11" s="1"/>
  <c r="C750" i="11" s="1"/>
  <c r="C751" i="11" s="1"/>
  <c r="C752" i="11" s="1"/>
  <c r="C753" i="11" s="1"/>
  <c r="C754" i="11" s="1"/>
  <c r="C755" i="11" s="1"/>
  <c r="C756" i="11" s="1"/>
  <c r="C757" i="11" s="1"/>
  <c r="C758" i="11" s="1"/>
  <c r="C759" i="11" s="1"/>
  <c r="C760" i="11" s="1"/>
  <c r="C761" i="11" s="1"/>
  <c r="C762" i="11" s="1"/>
  <c r="C763" i="11" s="1"/>
  <c r="AG48" i="14"/>
  <c r="AH48" i="14"/>
  <c r="AF48" i="14"/>
  <c r="P48" i="14"/>
  <c r="Q48" i="14"/>
  <c r="W48" i="14"/>
  <c r="X48" i="14"/>
  <c r="Y48" i="14"/>
  <c r="Z48" i="14"/>
  <c r="AE48" i="14"/>
  <c r="H48" i="14"/>
  <c r="I48" i="14"/>
  <c r="J48" i="14"/>
  <c r="O48" i="14"/>
  <c r="R48" i="14"/>
  <c r="L48" i="14"/>
  <c r="AB48" i="14"/>
  <c r="M48" i="14"/>
  <c r="AC48" i="14"/>
  <c r="N48" i="14"/>
  <c r="AD48" i="14"/>
  <c r="S48" i="14"/>
  <c r="AI48" i="14"/>
  <c r="T48" i="14"/>
  <c r="AJ48" i="14"/>
  <c r="U48" i="14"/>
  <c r="AK48" i="14"/>
  <c r="V48" i="14"/>
  <c r="K48" i="14"/>
  <c r="AJ57" i="14"/>
  <c r="AF57" i="14"/>
  <c r="AB57" i="14"/>
  <c r="X57" i="14"/>
  <c r="T57" i="14"/>
  <c r="P57" i="14"/>
  <c r="L57" i="14"/>
  <c r="H57" i="14"/>
  <c r="AH57" i="14"/>
  <c r="V57" i="14"/>
  <c r="N57" i="14"/>
  <c r="AG57" i="14"/>
  <c r="Y57" i="14"/>
  <c r="Q57" i="14"/>
  <c r="I57" i="14"/>
  <c r="AI57" i="14"/>
  <c r="AE57" i="14"/>
  <c r="AA57" i="14"/>
  <c r="W57" i="14"/>
  <c r="S57" i="14"/>
  <c r="O57" i="14"/>
  <c r="K57" i="14"/>
  <c r="AD57" i="14"/>
  <c r="Z57" i="14"/>
  <c r="R57" i="14"/>
  <c r="J57" i="14"/>
  <c r="AK57" i="14"/>
  <c r="AC57" i="14"/>
  <c r="U57" i="14"/>
  <c r="M57" i="14"/>
  <c r="AH54" i="14"/>
  <c r="AD54" i="14"/>
  <c r="Z54" i="14"/>
  <c r="V54" i="14"/>
  <c r="R54" i="14"/>
  <c r="N54" i="14"/>
  <c r="J54" i="14"/>
  <c r="AJ54" i="14"/>
  <c r="X54" i="14"/>
  <c r="P54" i="14"/>
  <c r="AE54" i="14"/>
  <c r="W54" i="14"/>
  <c r="O54" i="14"/>
  <c r="AK54" i="14"/>
  <c r="AG54" i="14"/>
  <c r="AC54" i="14"/>
  <c r="Y54" i="14"/>
  <c r="U54" i="14"/>
  <c r="Q54" i="14"/>
  <c r="M54" i="14"/>
  <c r="I54" i="14"/>
  <c r="AF54" i="14"/>
  <c r="AB54" i="14"/>
  <c r="T54" i="14"/>
  <c r="L54" i="14"/>
  <c r="H54" i="14"/>
  <c r="AI54" i="14"/>
  <c r="AA54" i="14"/>
  <c r="S54" i="14"/>
  <c r="K54" i="14"/>
  <c r="AI51" i="14"/>
  <c r="AE51" i="14"/>
  <c r="AA51" i="14"/>
  <c r="W51" i="14"/>
  <c r="S51" i="14"/>
  <c r="O51" i="14"/>
  <c r="K51" i="14"/>
  <c r="H51" i="14"/>
  <c r="AH51" i="14"/>
  <c r="AD51" i="14"/>
  <c r="Z51" i="14"/>
  <c r="V51" i="14"/>
  <c r="R51" i="14"/>
  <c r="N51" i="14"/>
  <c r="J51" i="14"/>
  <c r="AK51" i="14"/>
  <c r="AG51" i="14"/>
  <c r="AC51" i="14"/>
  <c r="Y51" i="14"/>
  <c r="U51" i="14"/>
  <c r="Q51" i="14"/>
  <c r="M51" i="14"/>
  <c r="I51" i="14"/>
  <c r="AJ51" i="14"/>
  <c r="AF51" i="14"/>
  <c r="AB51" i="14"/>
  <c r="X51" i="14"/>
  <c r="T51" i="14"/>
  <c r="P51" i="14"/>
  <c r="L51" i="14"/>
  <c r="E98" i="14"/>
  <c r="F185" i="14"/>
  <c r="R185" i="14" s="1"/>
  <c r="F182" i="14"/>
  <c r="F183" i="14" s="1"/>
  <c r="F179" i="14"/>
  <c r="F180" i="14" s="1"/>
  <c r="F181" i="14" s="1"/>
  <c r="F176" i="14"/>
  <c r="W176" i="14" s="1"/>
  <c r="F172" i="14"/>
  <c r="F173" i="14" s="1"/>
  <c r="F169" i="14"/>
  <c r="F170" i="14" s="1"/>
  <c r="F171" i="14" s="1"/>
  <c r="AK171" i="14" s="1"/>
  <c r="F167" i="14"/>
  <c r="F163" i="14"/>
  <c r="F164" i="14" s="1"/>
  <c r="F159" i="14"/>
  <c r="F160" i="14" s="1"/>
  <c r="F156" i="14"/>
  <c r="F157" i="14" s="1"/>
  <c r="F153" i="14"/>
  <c r="F154" i="14" s="1"/>
  <c r="F150" i="14"/>
  <c r="F151" i="14" s="1"/>
  <c r="AJ151" i="14" s="1"/>
  <c r="AH185" i="14"/>
  <c r="F146" i="14"/>
  <c r="F143" i="14"/>
  <c r="AK143" i="14" s="1"/>
  <c r="F140" i="14"/>
  <c r="AK140" i="14" s="1"/>
  <c r="F137" i="14"/>
  <c r="F138" i="14" s="1"/>
  <c r="F147" i="14"/>
  <c r="F133" i="14"/>
  <c r="F134" i="14" s="1"/>
  <c r="F130" i="14"/>
  <c r="F131" i="14" s="1"/>
  <c r="F127" i="14"/>
  <c r="F128" i="14" s="1"/>
  <c r="F129" i="14" s="1"/>
  <c r="Y129" i="14" s="1"/>
  <c r="F124" i="14"/>
  <c r="AD124" i="14" s="1"/>
  <c r="F120" i="14"/>
  <c r="F121" i="14" s="1"/>
  <c r="F117" i="14"/>
  <c r="F118" i="14" s="1"/>
  <c r="AD118" i="14" s="1"/>
  <c r="F114" i="14"/>
  <c r="F111" i="14"/>
  <c r="AK111" i="14" s="1"/>
  <c r="F107" i="14"/>
  <c r="F104" i="14"/>
  <c r="F105" i="14" s="1"/>
  <c r="F106" i="14" s="1"/>
  <c r="AK106" i="14" s="1"/>
  <c r="F101" i="14"/>
  <c r="F102" i="14" s="1"/>
  <c r="F103" i="14" s="1"/>
  <c r="F98" i="14"/>
  <c r="F99" i="14" s="1"/>
  <c r="F100" i="14" s="1"/>
  <c r="F108" i="14"/>
  <c r="F109" i="14" s="1"/>
  <c r="AJ109" i="14" s="1"/>
  <c r="F94" i="14"/>
  <c r="F91" i="14"/>
  <c r="F92" i="14" s="1"/>
  <c r="F88" i="14"/>
  <c r="F89" i="14" s="1"/>
  <c r="F90" i="14" s="1"/>
  <c r="F85" i="14"/>
  <c r="F86" i="14" s="1"/>
  <c r="AK94" i="14"/>
  <c r="F81" i="14"/>
  <c r="AK81" i="14" s="1"/>
  <c r="F78" i="14"/>
  <c r="AI78" i="14" s="1"/>
  <c r="F75" i="14"/>
  <c r="Z75" i="14" s="1"/>
  <c r="F72" i="14"/>
  <c r="AI72" i="14" s="1"/>
  <c r="F79" i="14"/>
  <c r="AD79" i="14" s="1"/>
  <c r="F68" i="14"/>
  <c r="AI68" i="14" s="1"/>
  <c r="F65" i="14"/>
  <c r="AJ65" i="14" s="1"/>
  <c r="F62" i="14"/>
  <c r="AJ62" i="14" s="1"/>
  <c r="F59" i="14"/>
  <c r="AJ59" i="14" s="1"/>
  <c r="AC68" i="14"/>
  <c r="AC65" i="14"/>
  <c r="AK62" i="14"/>
  <c r="E59" i="14"/>
  <c r="F42" i="14"/>
  <c r="F43" i="14" s="1"/>
  <c r="AB43" i="14" s="1"/>
  <c r="F39" i="14"/>
  <c r="AJ39" i="14" s="1"/>
  <c r="F36" i="14"/>
  <c r="F37" i="14" s="1"/>
  <c r="F38" i="14" s="1"/>
  <c r="AI38" i="14" s="1"/>
  <c r="F30" i="14"/>
  <c r="F26" i="14"/>
  <c r="AJ26" i="14" s="1"/>
  <c r="F23" i="14"/>
  <c r="AH23" i="14" s="1"/>
  <c r="F20" i="14"/>
  <c r="AI20" i="14" s="1"/>
  <c r="F17" i="14"/>
  <c r="AJ17" i="14" s="1"/>
  <c r="E22" i="14"/>
  <c r="E21" i="14"/>
  <c r="E20" i="14"/>
  <c r="E187" i="14"/>
  <c r="E186" i="14"/>
  <c r="E185" i="14"/>
  <c r="E184" i="14"/>
  <c r="E183" i="14"/>
  <c r="E182" i="14"/>
  <c r="E181" i="14"/>
  <c r="E180" i="14"/>
  <c r="E179" i="14"/>
  <c r="E178" i="14"/>
  <c r="E177" i="14"/>
  <c r="E176" i="14"/>
  <c r="E174" i="14"/>
  <c r="E173" i="14"/>
  <c r="E172" i="14"/>
  <c r="E171" i="14"/>
  <c r="E170" i="14"/>
  <c r="E169" i="14"/>
  <c r="E168" i="14"/>
  <c r="E167" i="14"/>
  <c r="E166" i="14"/>
  <c r="E165" i="14"/>
  <c r="E164" i="14"/>
  <c r="E163" i="14"/>
  <c r="E161" i="14"/>
  <c r="E160" i="14"/>
  <c r="E159" i="14"/>
  <c r="E158" i="14"/>
  <c r="E157" i="14"/>
  <c r="E156" i="14"/>
  <c r="E155" i="14"/>
  <c r="E154" i="14"/>
  <c r="E153" i="14"/>
  <c r="E152" i="14"/>
  <c r="E151" i="14"/>
  <c r="E150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09" i="14"/>
  <c r="E108" i="14"/>
  <c r="E107" i="14"/>
  <c r="E106" i="14"/>
  <c r="E105" i="14"/>
  <c r="E104" i="14"/>
  <c r="E103" i="14"/>
  <c r="E102" i="14"/>
  <c r="E101" i="14"/>
  <c r="E100" i="14"/>
  <c r="E99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0" i="14"/>
  <c r="E69" i="14"/>
  <c r="E68" i="14"/>
  <c r="E67" i="14"/>
  <c r="E66" i="14"/>
  <c r="E65" i="14"/>
  <c r="E64" i="14"/>
  <c r="E63" i="14"/>
  <c r="E62" i="14"/>
  <c r="E61" i="14"/>
  <c r="E60" i="14"/>
  <c r="E44" i="14"/>
  <c r="E43" i="14"/>
  <c r="E42" i="14"/>
  <c r="E41" i="14"/>
  <c r="E40" i="14"/>
  <c r="E39" i="14"/>
  <c r="E38" i="14"/>
  <c r="E37" i="14"/>
  <c r="E36" i="14"/>
  <c r="E32" i="14"/>
  <c r="E31" i="14"/>
  <c r="E30" i="14"/>
  <c r="E28" i="14"/>
  <c r="E27" i="14"/>
  <c r="E26" i="14"/>
  <c r="E25" i="14"/>
  <c r="E24" i="14"/>
  <c r="E23" i="14"/>
  <c r="E19" i="14"/>
  <c r="E18" i="14"/>
  <c r="E17" i="14"/>
  <c r="F82" i="14" l="1"/>
  <c r="I127" i="14"/>
  <c r="I62" i="14"/>
  <c r="U62" i="14"/>
  <c r="Y62" i="14"/>
  <c r="F144" i="14"/>
  <c r="U59" i="14"/>
  <c r="M62" i="14"/>
  <c r="AC62" i="14"/>
  <c r="H62" i="14"/>
  <c r="Q62" i="14"/>
  <c r="AG62" i="14"/>
  <c r="Q59" i="14"/>
  <c r="H59" i="14"/>
  <c r="AG59" i="14"/>
  <c r="L4" i="14"/>
  <c r="P4" i="14"/>
  <c r="T4" i="14"/>
  <c r="X4" i="14"/>
  <c r="AB4" i="14"/>
  <c r="AF4" i="14"/>
  <c r="AJ4" i="14"/>
  <c r="N4" i="14"/>
  <c r="Z4" i="14"/>
  <c r="I4" i="14"/>
  <c r="M4" i="14"/>
  <c r="Q4" i="14"/>
  <c r="U4" i="14"/>
  <c r="Y4" i="14"/>
  <c r="AC4" i="14"/>
  <c r="AG4" i="14"/>
  <c r="AK4" i="14"/>
  <c r="R4" i="14"/>
  <c r="AD4" i="14"/>
  <c r="K4" i="14"/>
  <c r="O4" i="14"/>
  <c r="S4" i="14"/>
  <c r="W4" i="14"/>
  <c r="AA4" i="14"/>
  <c r="AE4" i="14"/>
  <c r="AI4" i="14"/>
  <c r="J4" i="14"/>
  <c r="V4" i="14"/>
  <c r="AH4" i="14"/>
  <c r="AK59" i="14"/>
  <c r="AB179" i="14"/>
  <c r="M65" i="14"/>
  <c r="W156" i="14"/>
  <c r="M68" i="14"/>
  <c r="U68" i="14"/>
  <c r="Q65" i="14"/>
  <c r="AG65" i="14"/>
  <c r="U65" i="14"/>
  <c r="AK65" i="14"/>
  <c r="I65" i="14"/>
  <c r="Y65" i="14"/>
  <c r="AH120" i="14"/>
  <c r="V39" i="14"/>
  <c r="M42" i="14"/>
  <c r="F14" i="14"/>
  <c r="AK68" i="14"/>
  <c r="P68" i="14"/>
  <c r="AF68" i="14"/>
  <c r="AC42" i="14"/>
  <c r="I59" i="14"/>
  <c r="Y59" i="14"/>
  <c r="I68" i="14"/>
  <c r="Q68" i="14"/>
  <c r="Y68" i="14"/>
  <c r="AG68" i="14"/>
  <c r="X68" i="14"/>
  <c r="M59" i="14"/>
  <c r="AC59" i="14"/>
  <c r="L68" i="14"/>
  <c r="T68" i="14"/>
  <c r="AB68" i="14"/>
  <c r="AJ68" i="14"/>
  <c r="Q36" i="14"/>
  <c r="Y36" i="14"/>
  <c r="J65" i="14"/>
  <c r="R65" i="14"/>
  <c r="V65" i="14"/>
  <c r="AD65" i="14"/>
  <c r="AH65" i="14"/>
  <c r="AA111" i="14"/>
  <c r="AH137" i="14"/>
  <c r="K182" i="14"/>
  <c r="Q17" i="14"/>
  <c r="AG36" i="14"/>
  <c r="N39" i="14"/>
  <c r="AD39" i="14"/>
  <c r="F66" i="14"/>
  <c r="AJ66" i="14" s="1"/>
  <c r="H65" i="14"/>
  <c r="K65" i="14"/>
  <c r="O65" i="14"/>
  <c r="S65" i="14"/>
  <c r="W65" i="14"/>
  <c r="AA65" i="14"/>
  <c r="AE65" i="14"/>
  <c r="AI65" i="14"/>
  <c r="J68" i="14"/>
  <c r="N68" i="14"/>
  <c r="R68" i="14"/>
  <c r="V68" i="14"/>
  <c r="Z68" i="14"/>
  <c r="AD68" i="14"/>
  <c r="AH68" i="14"/>
  <c r="X38" i="14"/>
  <c r="AJ91" i="14"/>
  <c r="M39" i="14"/>
  <c r="AC39" i="14"/>
  <c r="N65" i="14"/>
  <c r="Z65" i="14"/>
  <c r="K120" i="14"/>
  <c r="I36" i="14"/>
  <c r="V37" i="14"/>
  <c r="U39" i="14"/>
  <c r="AK39" i="14"/>
  <c r="H68" i="14"/>
  <c r="L65" i="14"/>
  <c r="P65" i="14"/>
  <c r="T65" i="14"/>
  <c r="X65" i="14"/>
  <c r="AB65" i="14"/>
  <c r="AF65" i="14"/>
  <c r="K68" i="14"/>
  <c r="O68" i="14"/>
  <c r="S68" i="14"/>
  <c r="W68" i="14"/>
  <c r="AA68" i="14"/>
  <c r="AE68" i="14"/>
  <c r="W117" i="14"/>
  <c r="Q42" i="14"/>
  <c r="AG42" i="14"/>
  <c r="U42" i="14"/>
  <c r="AK42" i="14"/>
  <c r="I42" i="14"/>
  <c r="Y42" i="14"/>
  <c r="AF43" i="14"/>
  <c r="I39" i="14"/>
  <c r="Q39" i="14"/>
  <c r="Y39" i="14"/>
  <c r="AG39" i="14"/>
  <c r="F40" i="14"/>
  <c r="AB40" i="14" s="1"/>
  <c r="J39" i="14"/>
  <c r="R39" i="14"/>
  <c r="Z39" i="14"/>
  <c r="AH39" i="14"/>
  <c r="J36" i="14"/>
  <c r="R36" i="14"/>
  <c r="Z36" i="14"/>
  <c r="AH36" i="14"/>
  <c r="Z37" i="14"/>
  <c r="AB38" i="14"/>
  <c r="H36" i="14"/>
  <c r="M36" i="14"/>
  <c r="U36" i="14"/>
  <c r="AC36" i="14"/>
  <c r="AK36" i="14"/>
  <c r="H38" i="14"/>
  <c r="N36" i="14"/>
  <c r="V36" i="14"/>
  <c r="AD36" i="14"/>
  <c r="J37" i="14"/>
  <c r="L38" i="14"/>
  <c r="AG17" i="14"/>
  <c r="H39" i="14"/>
  <c r="K36" i="14"/>
  <c r="O36" i="14"/>
  <c r="S36" i="14"/>
  <c r="W36" i="14"/>
  <c r="AA36" i="14"/>
  <c r="AE36" i="14"/>
  <c r="AI36" i="14"/>
  <c r="N37" i="14"/>
  <c r="AD37" i="14"/>
  <c r="P38" i="14"/>
  <c r="AF38" i="14"/>
  <c r="K39" i="14"/>
  <c r="O39" i="14"/>
  <c r="S39" i="14"/>
  <c r="W39" i="14"/>
  <c r="AA39" i="14"/>
  <c r="AE39" i="14"/>
  <c r="AI39" i="14"/>
  <c r="J42" i="14"/>
  <c r="N42" i="14"/>
  <c r="R42" i="14"/>
  <c r="V42" i="14"/>
  <c r="Z42" i="14"/>
  <c r="AD42" i="14"/>
  <c r="AH42" i="14"/>
  <c r="L43" i="14"/>
  <c r="J59" i="14"/>
  <c r="N59" i="14"/>
  <c r="R59" i="14"/>
  <c r="V59" i="14"/>
  <c r="Z59" i="14"/>
  <c r="AD59" i="14"/>
  <c r="AH59" i="14"/>
  <c r="F31" i="14"/>
  <c r="H42" i="14"/>
  <c r="L36" i="14"/>
  <c r="P36" i="14"/>
  <c r="T36" i="14"/>
  <c r="X36" i="14"/>
  <c r="AB36" i="14"/>
  <c r="AF36" i="14"/>
  <c r="AJ36" i="14"/>
  <c r="R37" i="14"/>
  <c r="AH37" i="14"/>
  <c r="T38" i="14"/>
  <c r="AJ38" i="14"/>
  <c r="L39" i="14"/>
  <c r="P39" i="14"/>
  <c r="T39" i="14"/>
  <c r="X39" i="14"/>
  <c r="AB39" i="14"/>
  <c r="AF39" i="14"/>
  <c r="K42" i="14"/>
  <c r="O42" i="14"/>
  <c r="S42" i="14"/>
  <c r="W42" i="14"/>
  <c r="AA42" i="14"/>
  <c r="AE42" i="14"/>
  <c r="AI42" i="14"/>
  <c r="P43" i="14"/>
  <c r="K59" i="14"/>
  <c r="O59" i="14"/>
  <c r="S59" i="14"/>
  <c r="W59" i="14"/>
  <c r="AA59" i="14"/>
  <c r="AE59" i="14"/>
  <c r="AI59" i="14"/>
  <c r="L42" i="14"/>
  <c r="P42" i="14"/>
  <c r="T42" i="14"/>
  <c r="X42" i="14"/>
  <c r="AB42" i="14"/>
  <c r="AF42" i="14"/>
  <c r="AJ42" i="14"/>
  <c r="L59" i="14"/>
  <c r="P59" i="14"/>
  <c r="T59" i="14"/>
  <c r="X59" i="14"/>
  <c r="AB59" i="14"/>
  <c r="AF59" i="14"/>
  <c r="U17" i="14"/>
  <c r="I17" i="14"/>
  <c r="Y17" i="14"/>
  <c r="AK17" i="14"/>
  <c r="M17" i="14"/>
  <c r="AC17" i="14"/>
  <c r="I20" i="14"/>
  <c r="Y20" i="14"/>
  <c r="F21" i="14"/>
  <c r="AD21" i="14" s="1"/>
  <c r="M20" i="14"/>
  <c r="U20" i="14"/>
  <c r="AC20" i="14"/>
  <c r="AK20" i="14"/>
  <c r="P20" i="14"/>
  <c r="X20" i="14"/>
  <c r="AF20" i="14"/>
  <c r="Q20" i="14"/>
  <c r="AG20" i="14"/>
  <c r="L20" i="14"/>
  <c r="T20" i="14"/>
  <c r="AB20" i="14"/>
  <c r="AJ20" i="14"/>
  <c r="AG26" i="14"/>
  <c r="AK26" i="14"/>
  <c r="I26" i="14"/>
  <c r="Y26" i="14"/>
  <c r="Q26" i="14"/>
  <c r="U26" i="14"/>
  <c r="M26" i="14"/>
  <c r="AC26" i="14"/>
  <c r="AA163" i="14"/>
  <c r="P172" i="14"/>
  <c r="AK169" i="14"/>
  <c r="AH150" i="14"/>
  <c r="Q120" i="14"/>
  <c r="X120" i="14"/>
  <c r="AF120" i="14"/>
  <c r="H120" i="14"/>
  <c r="L120" i="14"/>
  <c r="S120" i="14"/>
  <c r="AG120" i="14"/>
  <c r="M120" i="14"/>
  <c r="U120" i="14"/>
  <c r="AB120" i="14"/>
  <c r="AI120" i="14"/>
  <c r="AA120" i="14"/>
  <c r="P120" i="14"/>
  <c r="W120" i="14"/>
  <c r="AC120" i="14"/>
  <c r="AK120" i="14"/>
  <c r="AI111" i="14"/>
  <c r="K111" i="14"/>
  <c r="S111" i="14"/>
  <c r="H111" i="14"/>
  <c r="N111" i="14"/>
  <c r="V111" i="14"/>
  <c r="AD111" i="14"/>
  <c r="O111" i="14"/>
  <c r="W111" i="14"/>
  <c r="AE111" i="14"/>
  <c r="J111" i="14"/>
  <c r="R111" i="14"/>
  <c r="Z111" i="14"/>
  <c r="AH111" i="14"/>
  <c r="N26" i="14"/>
  <c r="V26" i="14"/>
  <c r="AD26" i="14"/>
  <c r="AH26" i="14"/>
  <c r="K26" i="14"/>
  <c r="O26" i="14"/>
  <c r="S26" i="14"/>
  <c r="W26" i="14"/>
  <c r="AA26" i="14"/>
  <c r="AE26" i="14"/>
  <c r="AI26" i="14"/>
  <c r="F27" i="14"/>
  <c r="W27" i="14" s="1"/>
  <c r="J26" i="14"/>
  <c r="R26" i="14"/>
  <c r="Z26" i="14"/>
  <c r="H26" i="14"/>
  <c r="L26" i="14"/>
  <c r="P26" i="14"/>
  <c r="T26" i="14"/>
  <c r="X26" i="14"/>
  <c r="AB26" i="14"/>
  <c r="AF26" i="14"/>
  <c r="F24" i="14"/>
  <c r="I24" i="14" s="1"/>
  <c r="K23" i="14"/>
  <c r="S23" i="14"/>
  <c r="AA23" i="14"/>
  <c r="AI23" i="14"/>
  <c r="P23" i="14"/>
  <c r="X23" i="14"/>
  <c r="I23" i="14"/>
  <c r="M23" i="14"/>
  <c r="Q23" i="14"/>
  <c r="U23" i="14"/>
  <c r="Y23" i="14"/>
  <c r="AC23" i="14"/>
  <c r="AG23" i="14"/>
  <c r="AK23" i="14"/>
  <c r="O23" i="14"/>
  <c r="W23" i="14"/>
  <c r="AE23" i="14"/>
  <c r="L23" i="14"/>
  <c r="T23" i="14"/>
  <c r="AB23" i="14"/>
  <c r="AF23" i="14"/>
  <c r="AJ23" i="14"/>
  <c r="H23" i="14"/>
  <c r="J23" i="14"/>
  <c r="N23" i="14"/>
  <c r="R23" i="14"/>
  <c r="V23" i="14"/>
  <c r="Z23" i="14"/>
  <c r="AD23" i="14"/>
  <c r="H20" i="14"/>
  <c r="J20" i="14"/>
  <c r="N20" i="14"/>
  <c r="R20" i="14"/>
  <c r="V20" i="14"/>
  <c r="Z20" i="14"/>
  <c r="AD20" i="14"/>
  <c r="AH20" i="14"/>
  <c r="K20" i="14"/>
  <c r="O20" i="14"/>
  <c r="S20" i="14"/>
  <c r="W20" i="14"/>
  <c r="AA20" i="14"/>
  <c r="AE20" i="14"/>
  <c r="J17" i="14"/>
  <c r="N17" i="14"/>
  <c r="R17" i="14"/>
  <c r="V17" i="14"/>
  <c r="Z17" i="14"/>
  <c r="AD17" i="14"/>
  <c r="AH17" i="14"/>
  <c r="K17" i="14"/>
  <c r="O17" i="14"/>
  <c r="S17" i="14"/>
  <c r="W17" i="14"/>
  <c r="AA17" i="14"/>
  <c r="AE17" i="14"/>
  <c r="AI17" i="14"/>
  <c r="L17" i="14"/>
  <c r="P17" i="14"/>
  <c r="T17" i="14"/>
  <c r="X17" i="14"/>
  <c r="AB17" i="14"/>
  <c r="AF17" i="14"/>
  <c r="F8" i="14"/>
  <c r="F5" i="14"/>
  <c r="F11" i="14"/>
  <c r="F145" i="14"/>
  <c r="AK145" i="14" s="1"/>
  <c r="AH144" i="14"/>
  <c r="F44" i="14"/>
  <c r="AI43" i="14"/>
  <c r="AE43" i="14"/>
  <c r="AA43" i="14"/>
  <c r="W43" i="14"/>
  <c r="S43" i="14"/>
  <c r="O43" i="14"/>
  <c r="K43" i="14"/>
  <c r="AH43" i="14"/>
  <c r="AD43" i="14"/>
  <c r="Z43" i="14"/>
  <c r="V43" i="14"/>
  <c r="R43" i="14"/>
  <c r="N43" i="14"/>
  <c r="J43" i="14"/>
  <c r="AK43" i="14"/>
  <c r="AG43" i="14"/>
  <c r="AC43" i="14"/>
  <c r="Y43" i="14"/>
  <c r="U43" i="14"/>
  <c r="Q43" i="14"/>
  <c r="M43" i="14"/>
  <c r="I43" i="14"/>
  <c r="T43" i="14"/>
  <c r="AJ43" i="14"/>
  <c r="H43" i="14"/>
  <c r="X43" i="14"/>
  <c r="K37" i="14"/>
  <c r="O37" i="14"/>
  <c r="S37" i="14"/>
  <c r="W37" i="14"/>
  <c r="AA37" i="14"/>
  <c r="AE37" i="14"/>
  <c r="AI37" i="14"/>
  <c r="I38" i="14"/>
  <c r="M38" i="14"/>
  <c r="Q38" i="14"/>
  <c r="U38" i="14"/>
  <c r="Y38" i="14"/>
  <c r="AC38" i="14"/>
  <c r="AG38" i="14"/>
  <c r="AK38" i="14"/>
  <c r="H37" i="14"/>
  <c r="L37" i="14"/>
  <c r="P37" i="14"/>
  <c r="T37" i="14"/>
  <c r="X37" i="14"/>
  <c r="AB37" i="14"/>
  <c r="AF37" i="14"/>
  <c r="AJ37" i="14"/>
  <c r="J38" i="14"/>
  <c r="N38" i="14"/>
  <c r="R38" i="14"/>
  <c r="V38" i="14"/>
  <c r="Z38" i="14"/>
  <c r="AD38" i="14"/>
  <c r="AH38" i="14"/>
  <c r="I37" i="14"/>
  <c r="M37" i="14"/>
  <c r="Q37" i="14"/>
  <c r="U37" i="14"/>
  <c r="Y37" i="14"/>
  <c r="AC37" i="14"/>
  <c r="AG37" i="14"/>
  <c r="AK37" i="14"/>
  <c r="K38" i="14"/>
  <c r="O38" i="14"/>
  <c r="S38" i="14"/>
  <c r="W38" i="14"/>
  <c r="AA38" i="14"/>
  <c r="AE38" i="14"/>
  <c r="AA182" i="14"/>
  <c r="J176" i="14"/>
  <c r="R176" i="14"/>
  <c r="AC176" i="14"/>
  <c r="AB166" i="14"/>
  <c r="F165" i="14"/>
  <c r="W165" i="14" s="1"/>
  <c r="AG164" i="14"/>
  <c r="F158" i="14"/>
  <c r="AE158" i="14" s="1"/>
  <c r="AG157" i="14"/>
  <c r="AJ153" i="14"/>
  <c r="H181" i="14"/>
  <c r="X181" i="14"/>
  <c r="L181" i="14"/>
  <c r="AB181" i="14"/>
  <c r="AC183" i="14"/>
  <c r="M183" i="14"/>
  <c r="F184" i="14"/>
  <c r="W184" i="14" s="1"/>
  <c r="AG183" i="14"/>
  <c r="Q183" i="14"/>
  <c r="AK183" i="14"/>
  <c r="S176" i="14"/>
  <c r="F177" i="14"/>
  <c r="AI177" i="14" s="1"/>
  <c r="X176" i="14"/>
  <c r="N176" i="14"/>
  <c r="V176" i="14"/>
  <c r="V180" i="14"/>
  <c r="V185" i="14"/>
  <c r="F186" i="14"/>
  <c r="L186" i="14" s="1"/>
  <c r="K176" i="14"/>
  <c r="AG176" i="14"/>
  <c r="O176" i="14"/>
  <c r="AD167" i="14"/>
  <c r="F168" i="14"/>
  <c r="AH168" i="14" s="1"/>
  <c r="F174" i="14"/>
  <c r="AH174" i="14" s="1"/>
  <c r="AB173" i="14"/>
  <c r="F155" i="14"/>
  <c r="AK155" i="14" s="1"/>
  <c r="R154" i="14"/>
  <c r="F161" i="14"/>
  <c r="AI161" i="14" s="1"/>
  <c r="AF160" i="14"/>
  <c r="AE159" i="14"/>
  <c r="F152" i="14"/>
  <c r="AG152" i="14" s="1"/>
  <c r="F139" i="14"/>
  <c r="AH139" i="14" s="1"/>
  <c r="AJ138" i="14"/>
  <c r="F148" i="14"/>
  <c r="X148" i="14" s="1"/>
  <c r="N147" i="14"/>
  <c r="AJ146" i="14"/>
  <c r="F141" i="14"/>
  <c r="AA141" i="14" s="1"/>
  <c r="V131" i="14"/>
  <c r="F132" i="14"/>
  <c r="AJ132" i="14" s="1"/>
  <c r="F135" i="14"/>
  <c r="W135" i="14" s="1"/>
  <c r="AK134" i="14"/>
  <c r="AI133" i="14"/>
  <c r="AE128" i="14"/>
  <c r="F125" i="14"/>
  <c r="AJ125" i="14" s="1"/>
  <c r="F122" i="14"/>
  <c r="AK122" i="14" s="1"/>
  <c r="AJ121" i="14"/>
  <c r="AB121" i="14"/>
  <c r="T121" i="14"/>
  <c r="L121" i="14"/>
  <c r="X121" i="14"/>
  <c r="H121" i="14"/>
  <c r="AE121" i="14"/>
  <c r="AI121" i="14"/>
  <c r="AA121" i="14"/>
  <c r="S121" i="14"/>
  <c r="K121" i="14"/>
  <c r="AF121" i="14"/>
  <c r="P121" i="14"/>
  <c r="W121" i="14"/>
  <c r="O121" i="14"/>
  <c r="K117" i="14"/>
  <c r="AH117" i="14"/>
  <c r="O117" i="14"/>
  <c r="AE117" i="14"/>
  <c r="AA117" i="14"/>
  <c r="S117" i="14"/>
  <c r="AI117" i="14"/>
  <c r="AC114" i="14"/>
  <c r="AI114" i="14"/>
  <c r="F115" i="14"/>
  <c r="AK118" i="14"/>
  <c r="R118" i="14"/>
  <c r="I118" i="14"/>
  <c r="F119" i="14"/>
  <c r="Z119" i="14" s="1"/>
  <c r="AH121" i="14"/>
  <c r="AD121" i="14"/>
  <c r="Z121" i="14"/>
  <c r="V121" i="14"/>
  <c r="R121" i="14"/>
  <c r="N121" i="14"/>
  <c r="J121" i="14"/>
  <c r="AK121" i="14"/>
  <c r="AG121" i="14"/>
  <c r="AC121" i="14"/>
  <c r="Y121" i="14"/>
  <c r="U121" i="14"/>
  <c r="Q121" i="14"/>
  <c r="M121" i="14"/>
  <c r="I121" i="14"/>
  <c r="L111" i="14"/>
  <c r="P111" i="14"/>
  <c r="T111" i="14"/>
  <c r="X111" i="14"/>
  <c r="AB111" i="14"/>
  <c r="AF111" i="14"/>
  <c r="AJ111" i="14"/>
  <c r="F112" i="14"/>
  <c r="AJ112" i="14" s="1"/>
  <c r="I111" i="14"/>
  <c r="M111" i="14"/>
  <c r="Q111" i="14"/>
  <c r="U111" i="14"/>
  <c r="Y111" i="14"/>
  <c r="AC111" i="14"/>
  <c r="AG111" i="14"/>
  <c r="I120" i="14"/>
  <c r="O120" i="14"/>
  <c r="T120" i="14"/>
  <c r="Y120" i="14"/>
  <c r="AE120" i="14"/>
  <c r="AJ120" i="14"/>
  <c r="F93" i="14"/>
  <c r="AI93" i="14" s="1"/>
  <c r="AG92" i="14"/>
  <c r="S89" i="14"/>
  <c r="AK86" i="14"/>
  <c r="F87" i="14"/>
  <c r="AG87" i="14" s="1"/>
  <c r="F95" i="14"/>
  <c r="AJ95" i="14" s="1"/>
  <c r="AI85" i="14"/>
  <c r="AI82" i="14"/>
  <c r="F83" i="14"/>
  <c r="AH83" i="14" s="1"/>
  <c r="F76" i="14"/>
  <c r="P76" i="14" s="1"/>
  <c r="F80" i="14"/>
  <c r="AI80" i="14" s="1"/>
  <c r="F73" i="14"/>
  <c r="M73" i="14" s="1"/>
  <c r="F63" i="14"/>
  <c r="F64" i="14" s="1"/>
  <c r="J62" i="14"/>
  <c r="N62" i="14"/>
  <c r="R62" i="14"/>
  <c r="V62" i="14"/>
  <c r="Z62" i="14"/>
  <c r="AD62" i="14"/>
  <c r="AH62" i="14"/>
  <c r="K62" i="14"/>
  <c r="O62" i="14"/>
  <c r="S62" i="14"/>
  <c r="W62" i="14"/>
  <c r="AA62" i="14"/>
  <c r="AE62" i="14"/>
  <c r="AI62" i="14"/>
  <c r="L62" i="14"/>
  <c r="P62" i="14"/>
  <c r="T62" i="14"/>
  <c r="X62" i="14"/>
  <c r="AB62" i="14"/>
  <c r="AF62" i="14"/>
  <c r="F60" i="14"/>
  <c r="F69" i="14"/>
  <c r="F18" i="14"/>
  <c r="H17" i="14"/>
  <c r="H179" i="14"/>
  <c r="T179" i="14"/>
  <c r="AJ179" i="14"/>
  <c r="J118" i="14"/>
  <c r="AH182" i="14"/>
  <c r="AD182" i="14"/>
  <c r="Z182" i="14"/>
  <c r="V182" i="14"/>
  <c r="R182" i="14"/>
  <c r="N182" i="14"/>
  <c r="J182" i="14"/>
  <c r="AK182" i="14"/>
  <c r="AG182" i="14"/>
  <c r="AC182" i="14"/>
  <c r="Y182" i="14"/>
  <c r="U182" i="14"/>
  <c r="Q182" i="14"/>
  <c r="M182" i="14"/>
  <c r="I182" i="14"/>
  <c r="AJ182" i="14"/>
  <c r="AF182" i="14"/>
  <c r="AB182" i="14"/>
  <c r="X182" i="14"/>
  <c r="T182" i="14"/>
  <c r="P182" i="14"/>
  <c r="L182" i="14"/>
  <c r="AK180" i="14"/>
  <c r="AG180" i="14"/>
  <c r="AC180" i="14"/>
  <c r="Y180" i="14"/>
  <c r="U180" i="14"/>
  <c r="Q180" i="14"/>
  <c r="M180" i="14"/>
  <c r="I180" i="14"/>
  <c r="AJ180" i="14"/>
  <c r="AF180" i="14"/>
  <c r="AB180" i="14"/>
  <c r="X180" i="14"/>
  <c r="T180" i="14"/>
  <c r="P180" i="14"/>
  <c r="L180" i="14"/>
  <c r="H180" i="14"/>
  <c r="AI180" i="14"/>
  <c r="AE180" i="14"/>
  <c r="AA180" i="14"/>
  <c r="W180" i="14"/>
  <c r="S180" i="14"/>
  <c r="O180" i="14"/>
  <c r="K180" i="14"/>
  <c r="H182" i="14"/>
  <c r="X179" i="14"/>
  <c r="Z180" i="14"/>
  <c r="AE182" i="14"/>
  <c r="H114" i="14"/>
  <c r="M114" i="14"/>
  <c r="N118" i="14"/>
  <c r="Y118" i="14"/>
  <c r="AH118" i="14"/>
  <c r="AK185" i="14"/>
  <c r="AG185" i="14"/>
  <c r="AC185" i="14"/>
  <c r="Y185" i="14"/>
  <c r="U185" i="14"/>
  <c r="Q185" i="14"/>
  <c r="M185" i="14"/>
  <c r="I185" i="14"/>
  <c r="AJ185" i="14"/>
  <c r="AF185" i="14"/>
  <c r="AB185" i="14"/>
  <c r="X185" i="14"/>
  <c r="T185" i="14"/>
  <c r="P185" i="14"/>
  <c r="L185" i="14"/>
  <c r="AI185" i="14"/>
  <c r="AE185" i="14"/>
  <c r="AA185" i="14"/>
  <c r="W185" i="14"/>
  <c r="S185" i="14"/>
  <c r="O185" i="14"/>
  <c r="K185" i="14"/>
  <c r="AI181" i="14"/>
  <c r="AE181" i="14"/>
  <c r="AA181" i="14"/>
  <c r="W181" i="14"/>
  <c r="S181" i="14"/>
  <c r="O181" i="14"/>
  <c r="K181" i="14"/>
  <c r="AH181" i="14"/>
  <c r="AD181" i="14"/>
  <c r="Z181" i="14"/>
  <c r="V181" i="14"/>
  <c r="R181" i="14"/>
  <c r="N181" i="14"/>
  <c r="J181" i="14"/>
  <c r="AK181" i="14"/>
  <c r="AG181" i="14"/>
  <c r="AC181" i="14"/>
  <c r="Y181" i="14"/>
  <c r="U181" i="14"/>
  <c r="Q181" i="14"/>
  <c r="M181" i="14"/>
  <c r="I181" i="14"/>
  <c r="H185" i="14"/>
  <c r="L176" i="14"/>
  <c r="P176" i="14"/>
  <c r="T176" i="14"/>
  <c r="L179" i="14"/>
  <c r="N180" i="14"/>
  <c r="AD180" i="14"/>
  <c r="P181" i="14"/>
  <c r="AF181" i="14"/>
  <c r="S182" i="14"/>
  <c r="AI182" i="14"/>
  <c r="U183" i="14"/>
  <c r="J185" i="14"/>
  <c r="Z185" i="14"/>
  <c r="AI179" i="14"/>
  <c r="AE179" i="14"/>
  <c r="AA179" i="14"/>
  <c r="W179" i="14"/>
  <c r="S179" i="14"/>
  <c r="O179" i="14"/>
  <c r="K179" i="14"/>
  <c r="AH179" i="14"/>
  <c r="AD179" i="14"/>
  <c r="Z179" i="14"/>
  <c r="V179" i="14"/>
  <c r="R179" i="14"/>
  <c r="N179" i="14"/>
  <c r="J179" i="14"/>
  <c r="AK179" i="14"/>
  <c r="AG179" i="14"/>
  <c r="AC179" i="14"/>
  <c r="Y179" i="14"/>
  <c r="U179" i="14"/>
  <c r="Q179" i="14"/>
  <c r="M179" i="14"/>
  <c r="I179" i="14"/>
  <c r="V118" i="14"/>
  <c r="AG118" i="14"/>
  <c r="J180" i="14"/>
  <c r="O182" i="14"/>
  <c r="X114" i="14"/>
  <c r="Q118" i="14"/>
  <c r="Z118" i="14"/>
  <c r="AJ176" i="14"/>
  <c r="AF176" i="14"/>
  <c r="AB176" i="14"/>
  <c r="AK176" i="14"/>
  <c r="AI176" i="14"/>
  <c r="AE176" i="14"/>
  <c r="AA176" i="14"/>
  <c r="AH176" i="14"/>
  <c r="AD176" i="14"/>
  <c r="Z176" i="14"/>
  <c r="AJ183" i="14"/>
  <c r="AF183" i="14"/>
  <c r="AB183" i="14"/>
  <c r="X183" i="14"/>
  <c r="T183" i="14"/>
  <c r="P183" i="14"/>
  <c r="L183" i="14"/>
  <c r="H183" i="14"/>
  <c r="AI183" i="14"/>
  <c r="AE183" i="14"/>
  <c r="AA183" i="14"/>
  <c r="W183" i="14"/>
  <c r="S183" i="14"/>
  <c r="O183" i="14"/>
  <c r="K183" i="14"/>
  <c r="AH183" i="14"/>
  <c r="AD183" i="14"/>
  <c r="Z183" i="14"/>
  <c r="V183" i="14"/>
  <c r="R183" i="14"/>
  <c r="N183" i="14"/>
  <c r="J183" i="14"/>
  <c r="H176" i="14"/>
  <c r="I176" i="14"/>
  <c r="M176" i="14"/>
  <c r="Q176" i="14"/>
  <c r="U176" i="14"/>
  <c r="Y176" i="14"/>
  <c r="P179" i="14"/>
  <c r="AF179" i="14"/>
  <c r="R180" i="14"/>
  <c r="AH180" i="14"/>
  <c r="T181" i="14"/>
  <c r="AJ181" i="14"/>
  <c r="W182" i="14"/>
  <c r="I183" i="14"/>
  <c r="Y183" i="14"/>
  <c r="N185" i="14"/>
  <c r="AD185" i="14"/>
  <c r="L78" i="14"/>
  <c r="T82" i="14"/>
  <c r="AF85" i="14"/>
  <c r="AI86" i="14"/>
  <c r="H91" i="14"/>
  <c r="U92" i="14"/>
  <c r="P78" i="14"/>
  <c r="AF82" i="14"/>
  <c r="AK85" i="14"/>
  <c r="H89" i="14"/>
  <c r="S91" i="14"/>
  <c r="AE92" i="14"/>
  <c r="AF107" i="14"/>
  <c r="T107" i="14"/>
  <c r="L107" i="14"/>
  <c r="AJ107" i="14"/>
  <c r="AB107" i="14"/>
  <c r="AK103" i="14"/>
  <c r="P103" i="14"/>
  <c r="AF103" i="14"/>
  <c r="J103" i="14"/>
  <c r="Z103" i="14"/>
  <c r="U103" i="14"/>
  <c r="AB78" i="14"/>
  <c r="AJ82" i="14"/>
  <c r="O85" i="14"/>
  <c r="N86" i="14"/>
  <c r="X89" i="14"/>
  <c r="AC91" i="14"/>
  <c r="AK98" i="14"/>
  <c r="AH98" i="14"/>
  <c r="AB98" i="14"/>
  <c r="W98" i="14"/>
  <c r="R98" i="14"/>
  <c r="L98" i="14"/>
  <c r="AF98" i="14"/>
  <c r="AA98" i="14"/>
  <c r="V98" i="14"/>
  <c r="P98" i="14"/>
  <c r="K98" i="14"/>
  <c r="AJ98" i="14"/>
  <c r="AE98" i="14"/>
  <c r="Z98" i="14"/>
  <c r="T98" i="14"/>
  <c r="O98" i="14"/>
  <c r="J98" i="14"/>
  <c r="AI98" i="14"/>
  <c r="AD98" i="14"/>
  <c r="X98" i="14"/>
  <c r="S98" i="14"/>
  <c r="N98" i="14"/>
  <c r="AI99" i="14"/>
  <c r="AJ99" i="14"/>
  <c r="AD99" i="14"/>
  <c r="Y99" i="14"/>
  <c r="T99" i="14"/>
  <c r="N99" i="14"/>
  <c r="I99" i="14"/>
  <c r="AH99" i="14"/>
  <c r="AC99" i="14"/>
  <c r="X99" i="14"/>
  <c r="R99" i="14"/>
  <c r="M99" i="14"/>
  <c r="H99" i="14"/>
  <c r="AG99" i="14"/>
  <c r="AB99" i="14"/>
  <c r="V99" i="14"/>
  <c r="Q99" i="14"/>
  <c r="L99" i="14"/>
  <c r="AK99" i="14"/>
  <c r="AF99" i="14"/>
  <c r="Z99" i="14"/>
  <c r="U99" i="14"/>
  <c r="P99" i="14"/>
  <c r="J99" i="14"/>
  <c r="AA105" i="14"/>
  <c r="Q105" i="14"/>
  <c r="AK105" i="14"/>
  <c r="Z105" i="14"/>
  <c r="O105" i="14"/>
  <c r="AG105" i="14"/>
  <c r="V105" i="14"/>
  <c r="K105" i="14"/>
  <c r="AE105" i="14"/>
  <c r="U105" i="14"/>
  <c r="J105" i="14"/>
  <c r="AF78" i="14"/>
  <c r="P82" i="14"/>
  <c r="S85" i="14"/>
  <c r="Y86" i="14"/>
  <c r="AC89" i="14"/>
  <c r="J92" i="14"/>
  <c r="AK101" i="14"/>
  <c r="AE101" i="14"/>
  <c r="W101" i="14"/>
  <c r="O101" i="14"/>
  <c r="AD101" i="14"/>
  <c r="V101" i="14"/>
  <c r="N101" i="14"/>
  <c r="AI101" i="14"/>
  <c r="AA101" i="14"/>
  <c r="S101" i="14"/>
  <c r="K101" i="14"/>
  <c r="AH101" i="14"/>
  <c r="Z101" i="14"/>
  <c r="R101" i="14"/>
  <c r="J101" i="14"/>
  <c r="AH100" i="14"/>
  <c r="AJ100" i="14"/>
  <c r="AB100" i="14"/>
  <c r="T100" i="14"/>
  <c r="L100" i="14"/>
  <c r="AI100" i="14"/>
  <c r="AA100" i="14"/>
  <c r="S100" i="14"/>
  <c r="K100" i="14"/>
  <c r="AF100" i="14"/>
  <c r="X100" i="14"/>
  <c r="P100" i="14"/>
  <c r="H100" i="14"/>
  <c r="AE100" i="14"/>
  <c r="W100" i="14"/>
  <c r="O100" i="14"/>
  <c r="L106" i="14"/>
  <c r="W106" i="14"/>
  <c r="AG106" i="14"/>
  <c r="X109" i="14"/>
  <c r="O124" i="14"/>
  <c r="M129" i="14"/>
  <c r="L137" i="14"/>
  <c r="T137" i="14"/>
  <c r="AB137" i="14"/>
  <c r="AJ137" i="14"/>
  <c r="N138" i="14"/>
  <c r="V138" i="14"/>
  <c r="AD138" i="14"/>
  <c r="K140" i="14"/>
  <c r="S140" i="14"/>
  <c r="AA140" i="14"/>
  <c r="AI140" i="14"/>
  <c r="V143" i="14"/>
  <c r="H144" i="14"/>
  <c r="P144" i="14"/>
  <c r="X144" i="14"/>
  <c r="AF144" i="14"/>
  <c r="M146" i="14"/>
  <c r="O147" i="14"/>
  <c r="H159" i="14"/>
  <c r="O150" i="14"/>
  <c r="W150" i="14"/>
  <c r="AE150" i="14"/>
  <c r="I151" i="14"/>
  <c r="Q151" i="14"/>
  <c r="Y151" i="14"/>
  <c r="AG151" i="14"/>
  <c r="P153" i="14"/>
  <c r="AF153" i="14"/>
  <c r="AA154" i="14"/>
  <c r="AF156" i="14"/>
  <c r="R157" i="14"/>
  <c r="AH157" i="14"/>
  <c r="I160" i="14"/>
  <c r="X172" i="14"/>
  <c r="M106" i="14"/>
  <c r="X106" i="14"/>
  <c r="AJ106" i="14"/>
  <c r="AF109" i="14"/>
  <c r="S124" i="14"/>
  <c r="AH131" i="14"/>
  <c r="H143" i="14"/>
  <c r="O137" i="14"/>
  <c r="W137" i="14"/>
  <c r="AE137" i="14"/>
  <c r="I138" i="14"/>
  <c r="Q138" i="14"/>
  <c r="Y138" i="14"/>
  <c r="AG138" i="14"/>
  <c r="N140" i="14"/>
  <c r="V140" i="14"/>
  <c r="AD140" i="14"/>
  <c r="M143" i="14"/>
  <c r="AC143" i="14"/>
  <c r="K144" i="14"/>
  <c r="S144" i="14"/>
  <c r="AA144" i="14"/>
  <c r="AI144" i="14"/>
  <c r="AB146" i="14"/>
  <c r="AD147" i="14"/>
  <c r="J150" i="14"/>
  <c r="P150" i="14"/>
  <c r="X150" i="14"/>
  <c r="AF150" i="14"/>
  <c r="J151" i="14"/>
  <c r="R151" i="14"/>
  <c r="Z151" i="14"/>
  <c r="AH151" i="14"/>
  <c r="Q153" i="14"/>
  <c r="AG153" i="14"/>
  <c r="AH154" i="14"/>
  <c r="I157" i="14"/>
  <c r="Y157" i="14"/>
  <c r="N159" i="14"/>
  <c r="P160" i="14"/>
  <c r="Q106" i="14"/>
  <c r="AB106" i="14"/>
  <c r="H109" i="14"/>
  <c r="H146" i="14"/>
  <c r="P137" i="14"/>
  <c r="X137" i="14"/>
  <c r="AF137" i="14"/>
  <c r="J138" i="14"/>
  <c r="R138" i="14"/>
  <c r="Z138" i="14"/>
  <c r="AH138" i="14"/>
  <c r="O140" i="14"/>
  <c r="W140" i="14"/>
  <c r="AE140" i="14"/>
  <c r="N143" i="14"/>
  <c r="AD143" i="14"/>
  <c r="L144" i="14"/>
  <c r="T144" i="14"/>
  <c r="AB144" i="14"/>
  <c r="AJ144" i="14"/>
  <c r="AC146" i="14"/>
  <c r="AE147" i="14"/>
  <c r="K150" i="14"/>
  <c r="S150" i="14"/>
  <c r="AA150" i="14"/>
  <c r="AI150" i="14"/>
  <c r="M151" i="14"/>
  <c r="U151" i="14"/>
  <c r="AC151" i="14"/>
  <c r="AK151" i="14"/>
  <c r="X153" i="14"/>
  <c r="K154" i="14"/>
  <c r="P156" i="14"/>
  <c r="J157" i="14"/>
  <c r="Z157" i="14"/>
  <c r="W159" i="14"/>
  <c r="Y160" i="14"/>
  <c r="AG169" i="14"/>
  <c r="H106" i="14"/>
  <c r="S106" i="14"/>
  <c r="AC106" i="14"/>
  <c r="P109" i="14"/>
  <c r="K137" i="14"/>
  <c r="S137" i="14"/>
  <c r="AA137" i="14"/>
  <c r="AI137" i="14"/>
  <c r="M138" i="14"/>
  <c r="U138" i="14"/>
  <c r="AC138" i="14"/>
  <c r="AK138" i="14"/>
  <c r="J140" i="14"/>
  <c r="R140" i="14"/>
  <c r="Z140" i="14"/>
  <c r="AH140" i="14"/>
  <c r="U143" i="14"/>
  <c r="O144" i="14"/>
  <c r="W144" i="14"/>
  <c r="AE144" i="14"/>
  <c r="L146" i="14"/>
  <c r="H156" i="14"/>
  <c r="L150" i="14"/>
  <c r="T150" i="14"/>
  <c r="AB150" i="14"/>
  <c r="AJ150" i="14"/>
  <c r="N151" i="14"/>
  <c r="V151" i="14"/>
  <c r="AD151" i="14"/>
  <c r="I153" i="14"/>
  <c r="Y153" i="14"/>
  <c r="Q157" i="14"/>
  <c r="AD159" i="14"/>
  <c r="N167" i="14"/>
  <c r="AI169" i="14"/>
  <c r="AB167" i="14"/>
  <c r="AF172" i="14"/>
  <c r="R166" i="14"/>
  <c r="Q169" i="14"/>
  <c r="L173" i="14"/>
  <c r="H166" i="14"/>
  <c r="Z166" i="14"/>
  <c r="S169" i="14"/>
  <c r="V173" i="14"/>
  <c r="AH88" i="14"/>
  <c r="AA88" i="14"/>
  <c r="U88" i="14"/>
  <c r="M88" i="14"/>
  <c r="AE88" i="14"/>
  <c r="Q88" i="14"/>
  <c r="AG88" i="14"/>
  <c r="Z88" i="14"/>
  <c r="R88" i="14"/>
  <c r="K88" i="14"/>
  <c r="W88" i="14"/>
  <c r="J88" i="14"/>
  <c r="AK90" i="14"/>
  <c r="AD90" i="14"/>
  <c r="V90" i="14"/>
  <c r="O90" i="14"/>
  <c r="I90" i="14"/>
  <c r="AG90" i="14"/>
  <c r="S90" i="14"/>
  <c r="AI90" i="14"/>
  <c r="AA90" i="14"/>
  <c r="U90" i="14"/>
  <c r="N90" i="14"/>
  <c r="Z90" i="14"/>
  <c r="K90" i="14"/>
  <c r="AC88" i="14"/>
  <c r="AK88" i="14"/>
  <c r="AH104" i="14"/>
  <c r="AD104" i="14"/>
  <c r="Z104" i="14"/>
  <c r="V104" i="14"/>
  <c r="R104" i="14"/>
  <c r="N104" i="14"/>
  <c r="J104" i="14"/>
  <c r="AG104" i="14"/>
  <c r="AB104" i="14"/>
  <c r="W104" i="14"/>
  <c r="Q104" i="14"/>
  <c r="L104" i="14"/>
  <c r="AJ104" i="14"/>
  <c r="AE104" i="14"/>
  <c r="T104" i="14"/>
  <c r="I104" i="14"/>
  <c r="AI104" i="14"/>
  <c r="AC104" i="14"/>
  <c r="S104" i="14"/>
  <c r="M104" i="14"/>
  <c r="AK104" i="14"/>
  <c r="AF104" i="14"/>
  <c r="AA104" i="14"/>
  <c r="U104" i="14"/>
  <c r="P104" i="14"/>
  <c r="K104" i="14"/>
  <c r="Y104" i="14"/>
  <c r="O104" i="14"/>
  <c r="X104" i="14"/>
  <c r="AJ108" i="14"/>
  <c r="AF108" i="14"/>
  <c r="AB108" i="14"/>
  <c r="X108" i="14"/>
  <c r="T108" i="14"/>
  <c r="P108" i="14"/>
  <c r="L108" i="14"/>
  <c r="H108" i="14"/>
  <c r="AI108" i="14"/>
  <c r="AE108" i="14"/>
  <c r="AA108" i="14"/>
  <c r="W108" i="14"/>
  <c r="S108" i="14"/>
  <c r="O108" i="14"/>
  <c r="K108" i="14"/>
  <c r="AK108" i="14"/>
  <c r="AC108" i="14"/>
  <c r="U108" i="14"/>
  <c r="M108" i="14"/>
  <c r="AG108" i="14"/>
  <c r="Q108" i="14"/>
  <c r="AD108" i="14"/>
  <c r="N108" i="14"/>
  <c r="AH108" i="14"/>
  <c r="Z108" i="14"/>
  <c r="R108" i="14"/>
  <c r="J108" i="14"/>
  <c r="Y108" i="14"/>
  <c r="I108" i="14"/>
  <c r="V108" i="14"/>
  <c r="O88" i="14"/>
  <c r="Q90" i="14"/>
  <c r="AE90" i="14"/>
  <c r="J90" i="14"/>
  <c r="AI102" i="14"/>
  <c r="AE102" i="14"/>
  <c r="AA102" i="14"/>
  <c r="W102" i="14"/>
  <c r="S102" i="14"/>
  <c r="O102" i="14"/>
  <c r="K102" i="14"/>
  <c r="AK102" i="14"/>
  <c r="AC102" i="14"/>
  <c r="Y102" i="14"/>
  <c r="Q102" i="14"/>
  <c r="I102" i="14"/>
  <c r="AB102" i="14"/>
  <c r="T102" i="14"/>
  <c r="L102" i="14"/>
  <c r="AH102" i="14"/>
  <c r="AD102" i="14"/>
  <c r="Z102" i="14"/>
  <c r="V102" i="14"/>
  <c r="R102" i="14"/>
  <c r="N102" i="14"/>
  <c r="J102" i="14"/>
  <c r="AG102" i="14"/>
  <c r="U102" i="14"/>
  <c r="M102" i="14"/>
  <c r="AJ102" i="14"/>
  <c r="AF102" i="14"/>
  <c r="X102" i="14"/>
  <c r="P102" i="14"/>
  <c r="H102" i="14"/>
  <c r="AK75" i="14"/>
  <c r="V75" i="14"/>
  <c r="AD75" i="14"/>
  <c r="AH75" i="14"/>
  <c r="R75" i="14"/>
  <c r="N75" i="14"/>
  <c r="AK79" i="14"/>
  <c r="Z79" i="14"/>
  <c r="J79" i="14"/>
  <c r="AH79" i="14"/>
  <c r="R79" i="14"/>
  <c r="V79" i="14"/>
  <c r="J75" i="14"/>
  <c r="N79" i="14"/>
  <c r="V88" i="14"/>
  <c r="Y90" i="14"/>
  <c r="H104" i="14"/>
  <c r="R86" i="14"/>
  <c r="L91" i="14"/>
  <c r="AG91" i="14"/>
  <c r="Y92" i="14"/>
  <c r="AI92" i="14"/>
  <c r="AI103" i="14"/>
  <c r="AE103" i="14"/>
  <c r="AA103" i="14"/>
  <c r="W103" i="14"/>
  <c r="S103" i="14"/>
  <c r="O103" i="14"/>
  <c r="K103" i="14"/>
  <c r="H107" i="14"/>
  <c r="L103" i="14"/>
  <c r="V103" i="14"/>
  <c r="AG103" i="14"/>
  <c r="W107" i="14"/>
  <c r="K109" i="14"/>
  <c r="AA109" i="14"/>
  <c r="Q114" i="14"/>
  <c r="AB114" i="14"/>
  <c r="T78" i="14"/>
  <c r="AJ78" i="14"/>
  <c r="H82" i="14"/>
  <c r="X82" i="14"/>
  <c r="W85" i="14"/>
  <c r="I86" i="14"/>
  <c r="S86" i="14"/>
  <c r="AD86" i="14"/>
  <c r="M89" i="14"/>
  <c r="AI89" i="14"/>
  <c r="M91" i="14"/>
  <c r="X91" i="14"/>
  <c r="AI91" i="14"/>
  <c r="O92" i="14"/>
  <c r="Z92" i="14"/>
  <c r="AK92" i="14"/>
  <c r="AJ105" i="14"/>
  <c r="AF105" i="14"/>
  <c r="AB105" i="14"/>
  <c r="X105" i="14"/>
  <c r="T105" i="14"/>
  <c r="P105" i="14"/>
  <c r="L105" i="14"/>
  <c r="H105" i="14"/>
  <c r="H98" i="14"/>
  <c r="I98" i="14"/>
  <c r="M98" i="14"/>
  <c r="Q98" i="14"/>
  <c r="U98" i="14"/>
  <c r="Y98" i="14"/>
  <c r="AC98" i="14"/>
  <c r="AG98" i="14"/>
  <c r="K99" i="14"/>
  <c r="O99" i="14"/>
  <c r="S99" i="14"/>
  <c r="W99" i="14"/>
  <c r="AA99" i="14"/>
  <c r="AE99" i="14"/>
  <c r="I100" i="14"/>
  <c r="M100" i="14"/>
  <c r="Q100" i="14"/>
  <c r="U100" i="14"/>
  <c r="Y100" i="14"/>
  <c r="AC100" i="14"/>
  <c r="AG100" i="14"/>
  <c r="AK100" i="14"/>
  <c r="L101" i="14"/>
  <c r="P101" i="14"/>
  <c r="T101" i="14"/>
  <c r="X101" i="14"/>
  <c r="AB101" i="14"/>
  <c r="AF101" i="14"/>
  <c r="AJ101" i="14"/>
  <c r="H103" i="14"/>
  <c r="M103" i="14"/>
  <c r="R103" i="14"/>
  <c r="X103" i="14"/>
  <c r="AC103" i="14"/>
  <c r="AH103" i="14"/>
  <c r="M105" i="14"/>
  <c r="R105" i="14"/>
  <c r="W105" i="14"/>
  <c r="AC105" i="14"/>
  <c r="AH105" i="14"/>
  <c r="I106" i="14"/>
  <c r="O106" i="14"/>
  <c r="T106" i="14"/>
  <c r="Y106" i="14"/>
  <c r="AE106" i="14"/>
  <c r="P107" i="14"/>
  <c r="X107" i="14"/>
  <c r="L109" i="14"/>
  <c r="T109" i="14"/>
  <c r="AB109" i="14"/>
  <c r="S114" i="14"/>
  <c r="M118" i="14"/>
  <c r="U118" i="14"/>
  <c r="AC118" i="14"/>
  <c r="Y127" i="14"/>
  <c r="AJ143" i="14"/>
  <c r="AF143" i="14"/>
  <c r="AB143" i="14"/>
  <c r="X143" i="14"/>
  <c r="T143" i="14"/>
  <c r="P143" i="14"/>
  <c r="L143" i="14"/>
  <c r="AI143" i="14"/>
  <c r="AE143" i="14"/>
  <c r="AA143" i="14"/>
  <c r="W143" i="14"/>
  <c r="S143" i="14"/>
  <c r="O143" i="14"/>
  <c r="K143" i="14"/>
  <c r="AK147" i="14"/>
  <c r="AG147" i="14"/>
  <c r="AC147" i="14"/>
  <c r="Y147" i="14"/>
  <c r="U147" i="14"/>
  <c r="Q147" i="14"/>
  <c r="M147" i="14"/>
  <c r="I147" i="14"/>
  <c r="AJ147" i="14"/>
  <c r="AF147" i="14"/>
  <c r="AB147" i="14"/>
  <c r="X147" i="14"/>
  <c r="T147" i="14"/>
  <c r="P147" i="14"/>
  <c r="L147" i="14"/>
  <c r="H147" i="14"/>
  <c r="AI147" i="14"/>
  <c r="AA147" i="14"/>
  <c r="S147" i="14"/>
  <c r="K147" i="14"/>
  <c r="AH147" i="14"/>
  <c r="Z147" i="14"/>
  <c r="R147" i="14"/>
  <c r="J147" i="14"/>
  <c r="I143" i="14"/>
  <c r="Q143" i="14"/>
  <c r="Y143" i="14"/>
  <c r="AG143" i="14"/>
  <c r="T146" i="14"/>
  <c r="V147" i="14"/>
  <c r="AH114" i="14"/>
  <c r="AK114" i="14"/>
  <c r="AF114" i="14"/>
  <c r="AA114" i="14"/>
  <c r="U114" i="14"/>
  <c r="P114" i="14"/>
  <c r="K114" i="14"/>
  <c r="AJ114" i="14"/>
  <c r="AE114" i="14"/>
  <c r="Y114" i="14"/>
  <c r="T114" i="14"/>
  <c r="O114" i="14"/>
  <c r="I114" i="14"/>
  <c r="AC86" i="14"/>
  <c r="W91" i="14"/>
  <c r="N92" i="14"/>
  <c r="AH107" i="14"/>
  <c r="AD107" i="14"/>
  <c r="Z107" i="14"/>
  <c r="V107" i="14"/>
  <c r="R107" i="14"/>
  <c r="N107" i="14"/>
  <c r="J107" i="14"/>
  <c r="AK107" i="14"/>
  <c r="AG107" i="14"/>
  <c r="AC107" i="14"/>
  <c r="Y107" i="14"/>
  <c r="U107" i="14"/>
  <c r="Q107" i="14"/>
  <c r="M107" i="14"/>
  <c r="I107" i="14"/>
  <c r="AH109" i="14"/>
  <c r="AD109" i="14"/>
  <c r="Z109" i="14"/>
  <c r="V109" i="14"/>
  <c r="R109" i="14"/>
  <c r="N109" i="14"/>
  <c r="J109" i="14"/>
  <c r="AK109" i="14"/>
  <c r="AG109" i="14"/>
  <c r="AC109" i="14"/>
  <c r="Y109" i="14"/>
  <c r="U109" i="14"/>
  <c r="Q109" i="14"/>
  <c r="M109" i="14"/>
  <c r="I109" i="14"/>
  <c r="Q103" i="14"/>
  <c r="AB103" i="14"/>
  <c r="O107" i="14"/>
  <c r="AE107" i="14"/>
  <c r="S109" i="14"/>
  <c r="AI109" i="14"/>
  <c r="H78" i="14"/>
  <c r="X78" i="14"/>
  <c r="L82" i="14"/>
  <c r="AB82" i="14"/>
  <c r="K85" i="14"/>
  <c r="AA85" i="14"/>
  <c r="M86" i="14"/>
  <c r="W86" i="14"/>
  <c r="AH86" i="14"/>
  <c r="Q91" i="14"/>
  <c r="AB91" i="14"/>
  <c r="I92" i="14"/>
  <c r="S92" i="14"/>
  <c r="AD92" i="14"/>
  <c r="AI106" i="14"/>
  <c r="AH106" i="14"/>
  <c r="AD106" i="14"/>
  <c r="Z106" i="14"/>
  <c r="V106" i="14"/>
  <c r="R106" i="14"/>
  <c r="N106" i="14"/>
  <c r="J106" i="14"/>
  <c r="H101" i="14"/>
  <c r="J100" i="14"/>
  <c r="N100" i="14"/>
  <c r="R100" i="14"/>
  <c r="V100" i="14"/>
  <c r="Z100" i="14"/>
  <c r="AD100" i="14"/>
  <c r="I101" i="14"/>
  <c r="M101" i="14"/>
  <c r="Q101" i="14"/>
  <c r="U101" i="14"/>
  <c r="Y101" i="14"/>
  <c r="AC101" i="14"/>
  <c r="AG101" i="14"/>
  <c r="I103" i="14"/>
  <c r="N103" i="14"/>
  <c r="T103" i="14"/>
  <c r="Y103" i="14"/>
  <c r="AD103" i="14"/>
  <c r="AJ103" i="14"/>
  <c r="I105" i="14"/>
  <c r="N105" i="14"/>
  <c r="S105" i="14"/>
  <c r="Y105" i="14"/>
  <c r="AD105" i="14"/>
  <c r="AI105" i="14"/>
  <c r="K106" i="14"/>
  <c r="P106" i="14"/>
  <c r="U106" i="14"/>
  <c r="AA106" i="14"/>
  <c r="AF106" i="14"/>
  <c r="K107" i="14"/>
  <c r="S107" i="14"/>
  <c r="AA107" i="14"/>
  <c r="AI107" i="14"/>
  <c r="O109" i="14"/>
  <c r="W109" i="14"/>
  <c r="AE109" i="14"/>
  <c r="L114" i="14"/>
  <c r="W114" i="14"/>
  <c r="AG114" i="14"/>
  <c r="AJ118" i="14"/>
  <c r="AF118" i="14"/>
  <c r="AB118" i="14"/>
  <c r="X118" i="14"/>
  <c r="T118" i="14"/>
  <c r="P118" i="14"/>
  <c r="L118" i="14"/>
  <c r="H118" i="14"/>
  <c r="AI118" i="14"/>
  <c r="AE118" i="14"/>
  <c r="AA118" i="14"/>
  <c r="W118" i="14"/>
  <c r="S118" i="14"/>
  <c r="O118" i="14"/>
  <c r="K118" i="14"/>
  <c r="AI146" i="14"/>
  <c r="AE146" i="14"/>
  <c r="AA146" i="14"/>
  <c r="W146" i="14"/>
  <c r="S146" i="14"/>
  <c r="O146" i="14"/>
  <c r="K146" i="14"/>
  <c r="AH146" i="14"/>
  <c r="AD146" i="14"/>
  <c r="Z146" i="14"/>
  <c r="V146" i="14"/>
  <c r="R146" i="14"/>
  <c r="N146" i="14"/>
  <c r="J146" i="14"/>
  <c r="AG146" i="14"/>
  <c r="Y146" i="14"/>
  <c r="Q146" i="14"/>
  <c r="I146" i="14"/>
  <c r="AF146" i="14"/>
  <c r="X146" i="14"/>
  <c r="P146" i="14"/>
  <c r="J143" i="14"/>
  <c r="R143" i="14"/>
  <c r="Z143" i="14"/>
  <c r="AH143" i="14"/>
  <c r="U146" i="14"/>
  <c r="AK146" i="14"/>
  <c r="W147" i="14"/>
  <c r="W124" i="14"/>
  <c r="AC129" i="14"/>
  <c r="H137" i="14"/>
  <c r="I137" i="14"/>
  <c r="M137" i="14"/>
  <c r="Q137" i="14"/>
  <c r="U137" i="14"/>
  <c r="Y137" i="14"/>
  <c r="AC137" i="14"/>
  <c r="AG137" i="14"/>
  <c r="AK137" i="14"/>
  <c r="K138" i="14"/>
  <c r="O138" i="14"/>
  <c r="S138" i="14"/>
  <c r="W138" i="14"/>
  <c r="AA138" i="14"/>
  <c r="AE138" i="14"/>
  <c r="AI138" i="14"/>
  <c r="L140" i="14"/>
  <c r="P140" i="14"/>
  <c r="T140" i="14"/>
  <c r="X140" i="14"/>
  <c r="AB140" i="14"/>
  <c r="AF140" i="14"/>
  <c r="AJ140" i="14"/>
  <c r="I144" i="14"/>
  <c r="M144" i="14"/>
  <c r="Q144" i="14"/>
  <c r="U144" i="14"/>
  <c r="Y144" i="14"/>
  <c r="AC144" i="14"/>
  <c r="AG144" i="14"/>
  <c r="AK144" i="14"/>
  <c r="AH156" i="14"/>
  <c r="AD156" i="14"/>
  <c r="Z156" i="14"/>
  <c r="V156" i="14"/>
  <c r="R156" i="14"/>
  <c r="N156" i="14"/>
  <c r="J156" i="14"/>
  <c r="AK156" i="14"/>
  <c r="AG156" i="14"/>
  <c r="AC156" i="14"/>
  <c r="Y156" i="14"/>
  <c r="U156" i="14"/>
  <c r="Q156" i="14"/>
  <c r="M156" i="14"/>
  <c r="I156" i="14"/>
  <c r="AJ156" i="14"/>
  <c r="AB156" i="14"/>
  <c r="T156" i="14"/>
  <c r="L156" i="14"/>
  <c r="AI156" i="14"/>
  <c r="AA156" i="14"/>
  <c r="S156" i="14"/>
  <c r="K156" i="14"/>
  <c r="AK154" i="14"/>
  <c r="AG154" i="14"/>
  <c r="AC154" i="14"/>
  <c r="Y154" i="14"/>
  <c r="U154" i="14"/>
  <c r="Q154" i="14"/>
  <c r="M154" i="14"/>
  <c r="I154" i="14"/>
  <c r="AJ154" i="14"/>
  <c r="AF154" i="14"/>
  <c r="AB154" i="14"/>
  <c r="X154" i="14"/>
  <c r="T154" i="14"/>
  <c r="P154" i="14"/>
  <c r="L154" i="14"/>
  <c r="H154" i="14"/>
  <c r="AE154" i="14"/>
  <c r="W154" i="14"/>
  <c r="O154" i="14"/>
  <c r="AD154" i="14"/>
  <c r="V154" i="14"/>
  <c r="N154" i="14"/>
  <c r="AI160" i="14"/>
  <c r="AE160" i="14"/>
  <c r="AA160" i="14"/>
  <c r="W160" i="14"/>
  <c r="S160" i="14"/>
  <c r="O160" i="14"/>
  <c r="K160" i="14"/>
  <c r="AH160" i="14"/>
  <c r="AD160" i="14"/>
  <c r="Z160" i="14"/>
  <c r="V160" i="14"/>
  <c r="R160" i="14"/>
  <c r="N160" i="14"/>
  <c r="J160" i="14"/>
  <c r="AK160" i="14"/>
  <c r="AC160" i="14"/>
  <c r="U160" i="14"/>
  <c r="M160" i="14"/>
  <c r="AJ160" i="14"/>
  <c r="AB160" i="14"/>
  <c r="T160" i="14"/>
  <c r="L160" i="14"/>
  <c r="S154" i="14"/>
  <c r="AI154" i="14"/>
  <c r="X156" i="14"/>
  <c r="O159" i="14"/>
  <c r="Q160" i="14"/>
  <c r="AG160" i="14"/>
  <c r="K124" i="14"/>
  <c r="AH124" i="14"/>
  <c r="R131" i="14"/>
  <c r="W133" i="14"/>
  <c r="H140" i="14"/>
  <c r="J137" i="14"/>
  <c r="N137" i="14"/>
  <c r="R137" i="14"/>
  <c r="V137" i="14"/>
  <c r="Z137" i="14"/>
  <c r="AD137" i="14"/>
  <c r="H138" i="14"/>
  <c r="L138" i="14"/>
  <c r="P138" i="14"/>
  <c r="T138" i="14"/>
  <c r="X138" i="14"/>
  <c r="AB138" i="14"/>
  <c r="AF138" i="14"/>
  <c r="I140" i="14"/>
  <c r="M140" i="14"/>
  <c r="Q140" i="14"/>
  <c r="U140" i="14"/>
  <c r="Y140" i="14"/>
  <c r="AC140" i="14"/>
  <c r="AG140" i="14"/>
  <c r="J144" i="14"/>
  <c r="N144" i="14"/>
  <c r="R144" i="14"/>
  <c r="V144" i="14"/>
  <c r="Z144" i="14"/>
  <c r="AD144" i="14"/>
  <c r="AK159" i="14"/>
  <c r="AG159" i="14"/>
  <c r="AC159" i="14"/>
  <c r="Y159" i="14"/>
  <c r="U159" i="14"/>
  <c r="Q159" i="14"/>
  <c r="M159" i="14"/>
  <c r="I159" i="14"/>
  <c r="AJ159" i="14"/>
  <c r="AF159" i="14"/>
  <c r="AB159" i="14"/>
  <c r="X159" i="14"/>
  <c r="T159" i="14"/>
  <c r="P159" i="14"/>
  <c r="L159" i="14"/>
  <c r="AI159" i="14"/>
  <c r="AA159" i="14"/>
  <c r="S159" i="14"/>
  <c r="K159" i="14"/>
  <c r="AH159" i="14"/>
  <c r="Z159" i="14"/>
  <c r="R159" i="14"/>
  <c r="J159" i="14"/>
  <c r="J154" i="14"/>
  <c r="Z154" i="14"/>
  <c r="O156" i="14"/>
  <c r="AE156" i="14"/>
  <c r="V159" i="14"/>
  <c r="H160" i="14"/>
  <c r="X160" i="14"/>
  <c r="AJ157" i="14"/>
  <c r="AF157" i="14"/>
  <c r="AB157" i="14"/>
  <c r="X157" i="14"/>
  <c r="T157" i="14"/>
  <c r="P157" i="14"/>
  <c r="L157" i="14"/>
  <c r="H157" i="14"/>
  <c r="AI157" i="14"/>
  <c r="AE157" i="14"/>
  <c r="AA157" i="14"/>
  <c r="W157" i="14"/>
  <c r="S157" i="14"/>
  <c r="O157" i="14"/>
  <c r="K157" i="14"/>
  <c r="H150" i="14"/>
  <c r="I150" i="14"/>
  <c r="M150" i="14"/>
  <c r="Q150" i="14"/>
  <c r="U150" i="14"/>
  <c r="Y150" i="14"/>
  <c r="AC150" i="14"/>
  <c r="AG150" i="14"/>
  <c r="AK150" i="14"/>
  <c r="K151" i="14"/>
  <c r="O151" i="14"/>
  <c r="S151" i="14"/>
  <c r="W151" i="14"/>
  <c r="AA151" i="14"/>
  <c r="AE151" i="14"/>
  <c r="AI151" i="14"/>
  <c r="L153" i="14"/>
  <c r="T153" i="14"/>
  <c r="AB153" i="14"/>
  <c r="M157" i="14"/>
  <c r="U157" i="14"/>
  <c r="AC157" i="14"/>
  <c r="AK157" i="14"/>
  <c r="Q163" i="14"/>
  <c r="H163" i="14"/>
  <c r="AI163" i="14"/>
  <c r="M163" i="14"/>
  <c r="U171" i="14"/>
  <c r="M171" i="14"/>
  <c r="I163" i="14"/>
  <c r="AI153" i="14"/>
  <c r="AE153" i="14"/>
  <c r="AA153" i="14"/>
  <c r="W153" i="14"/>
  <c r="S153" i="14"/>
  <c r="O153" i="14"/>
  <c r="K153" i="14"/>
  <c r="AH153" i="14"/>
  <c r="AD153" i="14"/>
  <c r="Z153" i="14"/>
  <c r="V153" i="14"/>
  <c r="R153" i="14"/>
  <c r="N153" i="14"/>
  <c r="J153" i="14"/>
  <c r="H153" i="14"/>
  <c r="N150" i="14"/>
  <c r="R150" i="14"/>
  <c r="V150" i="14"/>
  <c r="Z150" i="14"/>
  <c r="AD150" i="14"/>
  <c r="H151" i="14"/>
  <c r="L151" i="14"/>
  <c r="P151" i="14"/>
  <c r="T151" i="14"/>
  <c r="X151" i="14"/>
  <c r="AB151" i="14"/>
  <c r="AF151" i="14"/>
  <c r="M153" i="14"/>
  <c r="U153" i="14"/>
  <c r="AC153" i="14"/>
  <c r="AK153" i="14"/>
  <c r="N157" i="14"/>
  <c r="V157" i="14"/>
  <c r="AD157" i="14"/>
  <c r="AJ166" i="14"/>
  <c r="X166" i="14"/>
  <c r="L166" i="14"/>
  <c r="AH166" i="14"/>
  <c r="T166" i="14"/>
  <c r="J166" i="14"/>
  <c r="V167" i="14"/>
  <c r="AJ167" i="14"/>
  <c r="T167" i="14"/>
  <c r="AJ173" i="14"/>
  <c r="T173" i="14"/>
  <c r="AD173" i="14"/>
  <c r="N173" i="14"/>
  <c r="U163" i="14"/>
  <c r="P166" i="14"/>
  <c r="L167" i="14"/>
  <c r="AC171" i="14"/>
  <c r="I169" i="14"/>
  <c r="Y169" i="14"/>
  <c r="K169" i="14"/>
  <c r="AA169" i="14"/>
  <c r="AH170" i="14"/>
  <c r="AD170" i="14"/>
  <c r="Z170" i="14"/>
  <c r="V170" i="14"/>
  <c r="R170" i="14"/>
  <c r="N170" i="14"/>
  <c r="J170" i="14"/>
  <c r="AJ170" i="14"/>
  <c r="AF170" i="14"/>
  <c r="AB170" i="14"/>
  <c r="X170" i="14"/>
  <c r="T170" i="14"/>
  <c r="P170" i="14"/>
  <c r="L170" i="14"/>
  <c r="H170" i="14"/>
  <c r="M164" i="14"/>
  <c r="AC164" i="14"/>
  <c r="K170" i="14"/>
  <c r="AA170" i="14"/>
  <c r="AK172" i="14"/>
  <c r="AI172" i="14"/>
  <c r="AE172" i="14"/>
  <c r="AA172" i="14"/>
  <c r="W172" i="14"/>
  <c r="S172" i="14"/>
  <c r="O172" i="14"/>
  <c r="K172" i="14"/>
  <c r="AG172" i="14"/>
  <c r="AC172" i="14"/>
  <c r="Y172" i="14"/>
  <c r="U172" i="14"/>
  <c r="Q172" i="14"/>
  <c r="M172" i="14"/>
  <c r="I172" i="14"/>
  <c r="AH163" i="14"/>
  <c r="AD163" i="14"/>
  <c r="Z163" i="14"/>
  <c r="AJ163" i="14"/>
  <c r="AF163" i="14"/>
  <c r="AB163" i="14"/>
  <c r="X163" i="14"/>
  <c r="AJ171" i="14"/>
  <c r="AF171" i="14"/>
  <c r="AB171" i="14"/>
  <c r="X171" i="14"/>
  <c r="T171" i="14"/>
  <c r="P171" i="14"/>
  <c r="L171" i="14"/>
  <c r="H171" i="14"/>
  <c r="AH171" i="14"/>
  <c r="AD171" i="14"/>
  <c r="Z171" i="14"/>
  <c r="V171" i="14"/>
  <c r="R171" i="14"/>
  <c r="N171" i="14"/>
  <c r="J171" i="14"/>
  <c r="J163" i="14"/>
  <c r="R163" i="14"/>
  <c r="AC163" i="14"/>
  <c r="O164" i="14"/>
  <c r="AE164" i="14"/>
  <c r="U170" i="14"/>
  <c r="AK170" i="14"/>
  <c r="W171" i="14"/>
  <c r="J172" i="14"/>
  <c r="Z172" i="14"/>
  <c r="AK166" i="14"/>
  <c r="AG166" i="14"/>
  <c r="AC166" i="14"/>
  <c r="Y166" i="14"/>
  <c r="U166" i="14"/>
  <c r="Q166" i="14"/>
  <c r="M166" i="14"/>
  <c r="I166" i="14"/>
  <c r="AI166" i="14"/>
  <c r="AE166" i="14"/>
  <c r="AA166" i="14"/>
  <c r="W166" i="14"/>
  <c r="S166" i="14"/>
  <c r="O166" i="14"/>
  <c r="K166" i="14"/>
  <c r="AI167" i="14"/>
  <c r="AE167" i="14"/>
  <c r="AA167" i="14"/>
  <c r="W167" i="14"/>
  <c r="S167" i="14"/>
  <c r="O167" i="14"/>
  <c r="K167" i="14"/>
  <c r="AK167" i="14"/>
  <c r="AG167" i="14"/>
  <c r="AC167" i="14"/>
  <c r="Y167" i="14"/>
  <c r="U167" i="14"/>
  <c r="Q167" i="14"/>
  <c r="M167" i="14"/>
  <c r="I167" i="14"/>
  <c r="AI173" i="14"/>
  <c r="AE173" i="14"/>
  <c r="AA173" i="14"/>
  <c r="W173" i="14"/>
  <c r="S173" i="14"/>
  <c r="O173" i="14"/>
  <c r="K173" i="14"/>
  <c r="AK173" i="14"/>
  <c r="AG173" i="14"/>
  <c r="AC173" i="14"/>
  <c r="Y173" i="14"/>
  <c r="U173" i="14"/>
  <c r="Q173" i="14"/>
  <c r="M173" i="14"/>
  <c r="I173" i="14"/>
  <c r="H169" i="14"/>
  <c r="K163" i="14"/>
  <c r="O163" i="14"/>
  <c r="S163" i="14"/>
  <c r="W163" i="14"/>
  <c r="AE163" i="14"/>
  <c r="I164" i="14"/>
  <c r="Q164" i="14"/>
  <c r="Y164" i="14"/>
  <c r="N166" i="14"/>
  <c r="V166" i="14"/>
  <c r="AD166" i="14"/>
  <c r="H167" i="14"/>
  <c r="P167" i="14"/>
  <c r="X167" i="14"/>
  <c r="AF167" i="14"/>
  <c r="M169" i="14"/>
  <c r="U169" i="14"/>
  <c r="AC169" i="14"/>
  <c r="O170" i="14"/>
  <c r="W170" i="14"/>
  <c r="AE170" i="14"/>
  <c r="I171" i="14"/>
  <c r="Q171" i="14"/>
  <c r="Y171" i="14"/>
  <c r="AG171" i="14"/>
  <c r="L172" i="14"/>
  <c r="T172" i="14"/>
  <c r="AB172" i="14"/>
  <c r="H173" i="14"/>
  <c r="P173" i="14"/>
  <c r="X173" i="14"/>
  <c r="AF173" i="14"/>
  <c r="AJ164" i="14"/>
  <c r="AF164" i="14"/>
  <c r="AB164" i="14"/>
  <c r="X164" i="14"/>
  <c r="T164" i="14"/>
  <c r="P164" i="14"/>
  <c r="L164" i="14"/>
  <c r="H164" i="14"/>
  <c r="AH164" i="14"/>
  <c r="AD164" i="14"/>
  <c r="Z164" i="14"/>
  <c r="V164" i="14"/>
  <c r="R164" i="14"/>
  <c r="N164" i="14"/>
  <c r="J164" i="14"/>
  <c r="U164" i="14"/>
  <c r="AK164" i="14"/>
  <c r="S170" i="14"/>
  <c r="AI170" i="14"/>
  <c r="N163" i="14"/>
  <c r="V163" i="14"/>
  <c r="AK163" i="14"/>
  <c r="W164" i="14"/>
  <c r="M170" i="14"/>
  <c r="AC170" i="14"/>
  <c r="O171" i="14"/>
  <c r="AE171" i="14"/>
  <c r="R172" i="14"/>
  <c r="AH172" i="14"/>
  <c r="AJ169" i="14"/>
  <c r="AF169" i="14"/>
  <c r="AB169" i="14"/>
  <c r="X169" i="14"/>
  <c r="T169" i="14"/>
  <c r="P169" i="14"/>
  <c r="L169" i="14"/>
  <c r="AH169" i="14"/>
  <c r="AD169" i="14"/>
  <c r="Z169" i="14"/>
  <c r="V169" i="14"/>
  <c r="R169" i="14"/>
  <c r="N169" i="14"/>
  <c r="J169" i="14"/>
  <c r="H172" i="14"/>
  <c r="L163" i="14"/>
  <c r="P163" i="14"/>
  <c r="T163" i="14"/>
  <c r="Y163" i="14"/>
  <c r="AG163" i="14"/>
  <c r="K164" i="14"/>
  <c r="S164" i="14"/>
  <c r="AA164" i="14"/>
  <c r="AI164" i="14"/>
  <c r="AF166" i="14"/>
  <c r="J167" i="14"/>
  <c r="R167" i="14"/>
  <c r="Z167" i="14"/>
  <c r="AH167" i="14"/>
  <c r="O169" i="14"/>
  <c r="W169" i="14"/>
  <c r="AE169" i="14"/>
  <c r="I170" i="14"/>
  <c r="Q170" i="14"/>
  <c r="Y170" i="14"/>
  <c r="AG170" i="14"/>
  <c r="K171" i="14"/>
  <c r="S171" i="14"/>
  <c r="AA171" i="14"/>
  <c r="AI171" i="14"/>
  <c r="N172" i="14"/>
  <c r="V172" i="14"/>
  <c r="AD172" i="14"/>
  <c r="J173" i="14"/>
  <c r="R173" i="14"/>
  <c r="Z173" i="14"/>
  <c r="AH173" i="14"/>
  <c r="AJ172" i="14"/>
  <c r="AH130" i="14"/>
  <c r="AD130" i="14"/>
  <c r="Z130" i="14"/>
  <c r="V130" i="14"/>
  <c r="R130" i="14"/>
  <c r="N130" i="14"/>
  <c r="J130" i="14"/>
  <c r="AK130" i="14"/>
  <c r="AG130" i="14"/>
  <c r="AC130" i="14"/>
  <c r="Y130" i="14"/>
  <c r="U130" i="14"/>
  <c r="Q130" i="14"/>
  <c r="M130" i="14"/>
  <c r="I130" i="14"/>
  <c r="AI130" i="14"/>
  <c r="AE130" i="14"/>
  <c r="AA130" i="14"/>
  <c r="W130" i="14"/>
  <c r="S130" i="14"/>
  <c r="O130" i="14"/>
  <c r="K130" i="14"/>
  <c r="P130" i="14"/>
  <c r="I134" i="14"/>
  <c r="Y134" i="14"/>
  <c r="AI127" i="14"/>
  <c r="AE127" i="14"/>
  <c r="AA127" i="14"/>
  <c r="W127" i="14"/>
  <c r="S127" i="14"/>
  <c r="O127" i="14"/>
  <c r="K127" i="14"/>
  <c r="AH127" i="14"/>
  <c r="AD127" i="14"/>
  <c r="Z127" i="14"/>
  <c r="V127" i="14"/>
  <c r="R127" i="14"/>
  <c r="N127" i="14"/>
  <c r="J127" i="14"/>
  <c r="AJ127" i="14"/>
  <c r="AF127" i="14"/>
  <c r="AB127" i="14"/>
  <c r="X127" i="14"/>
  <c r="T127" i="14"/>
  <c r="P127" i="14"/>
  <c r="L127" i="14"/>
  <c r="H127" i="14"/>
  <c r="J124" i="14"/>
  <c r="N124" i="14"/>
  <c r="R124" i="14"/>
  <c r="V124" i="14"/>
  <c r="U127" i="14"/>
  <c r="AK127" i="14"/>
  <c r="W128" i="14"/>
  <c r="I129" i="14"/>
  <c r="L130" i="14"/>
  <c r="AB130" i="14"/>
  <c r="N131" i="14"/>
  <c r="AD131" i="14"/>
  <c r="S133" i="14"/>
  <c r="U134" i="14"/>
  <c r="AI134" i="14"/>
  <c r="AE134" i="14"/>
  <c r="AA134" i="14"/>
  <c r="W134" i="14"/>
  <c r="S134" i="14"/>
  <c r="O134" i="14"/>
  <c r="K134" i="14"/>
  <c r="AH134" i="14"/>
  <c r="AD134" i="14"/>
  <c r="Z134" i="14"/>
  <c r="V134" i="14"/>
  <c r="R134" i="14"/>
  <c r="N134" i="14"/>
  <c r="J134" i="14"/>
  <c r="AJ134" i="14"/>
  <c r="AF134" i="14"/>
  <c r="AB134" i="14"/>
  <c r="X134" i="14"/>
  <c r="T134" i="14"/>
  <c r="P134" i="14"/>
  <c r="L134" i="14"/>
  <c r="H134" i="14"/>
  <c r="K128" i="14"/>
  <c r="AF130" i="14"/>
  <c r="AJ124" i="14"/>
  <c r="AF124" i="14"/>
  <c r="AB124" i="14"/>
  <c r="AI124" i="14"/>
  <c r="AE124" i="14"/>
  <c r="AA124" i="14"/>
  <c r="AK124" i="14"/>
  <c r="AG124" i="14"/>
  <c r="AC124" i="14"/>
  <c r="Y124" i="14"/>
  <c r="AK133" i="14"/>
  <c r="AG133" i="14"/>
  <c r="AC133" i="14"/>
  <c r="Y133" i="14"/>
  <c r="U133" i="14"/>
  <c r="Q133" i="14"/>
  <c r="M133" i="14"/>
  <c r="I133" i="14"/>
  <c r="AJ133" i="14"/>
  <c r="AF133" i="14"/>
  <c r="AB133" i="14"/>
  <c r="X133" i="14"/>
  <c r="T133" i="14"/>
  <c r="P133" i="14"/>
  <c r="L133" i="14"/>
  <c r="AH133" i="14"/>
  <c r="AD133" i="14"/>
  <c r="Z133" i="14"/>
  <c r="V133" i="14"/>
  <c r="R133" i="14"/>
  <c r="N133" i="14"/>
  <c r="J133" i="14"/>
  <c r="AI129" i="14"/>
  <c r="AE129" i="14"/>
  <c r="AA129" i="14"/>
  <c r="W129" i="14"/>
  <c r="S129" i="14"/>
  <c r="O129" i="14"/>
  <c r="K129" i="14"/>
  <c r="AH129" i="14"/>
  <c r="AD129" i="14"/>
  <c r="Z129" i="14"/>
  <c r="V129" i="14"/>
  <c r="R129" i="14"/>
  <c r="N129" i="14"/>
  <c r="J129" i="14"/>
  <c r="AJ129" i="14"/>
  <c r="AF129" i="14"/>
  <c r="AB129" i="14"/>
  <c r="X129" i="14"/>
  <c r="T129" i="14"/>
  <c r="P129" i="14"/>
  <c r="L129" i="14"/>
  <c r="H129" i="14"/>
  <c r="H133" i="14"/>
  <c r="L124" i="14"/>
  <c r="P124" i="14"/>
  <c r="T124" i="14"/>
  <c r="X124" i="14"/>
  <c r="M127" i="14"/>
  <c r="AC127" i="14"/>
  <c r="O128" i="14"/>
  <c r="Q129" i="14"/>
  <c r="AG129" i="14"/>
  <c r="T130" i="14"/>
  <c r="AJ130" i="14"/>
  <c r="K133" i="14"/>
  <c r="AA133" i="14"/>
  <c r="M134" i="14"/>
  <c r="AC134" i="14"/>
  <c r="AK128" i="14"/>
  <c r="AG128" i="14"/>
  <c r="AC128" i="14"/>
  <c r="Y128" i="14"/>
  <c r="U128" i="14"/>
  <c r="Q128" i="14"/>
  <c r="M128" i="14"/>
  <c r="I128" i="14"/>
  <c r="AJ128" i="14"/>
  <c r="AF128" i="14"/>
  <c r="AB128" i="14"/>
  <c r="X128" i="14"/>
  <c r="T128" i="14"/>
  <c r="P128" i="14"/>
  <c r="L128" i="14"/>
  <c r="H128" i="14"/>
  <c r="AH128" i="14"/>
  <c r="AD128" i="14"/>
  <c r="Z128" i="14"/>
  <c r="V128" i="14"/>
  <c r="R128" i="14"/>
  <c r="N128" i="14"/>
  <c r="J128" i="14"/>
  <c r="H130" i="14"/>
  <c r="AA128" i="14"/>
  <c r="AJ131" i="14"/>
  <c r="AF131" i="14"/>
  <c r="AB131" i="14"/>
  <c r="X131" i="14"/>
  <c r="T131" i="14"/>
  <c r="P131" i="14"/>
  <c r="L131" i="14"/>
  <c r="H131" i="14"/>
  <c r="AI131" i="14"/>
  <c r="AE131" i="14"/>
  <c r="AA131" i="14"/>
  <c r="W131" i="14"/>
  <c r="S131" i="14"/>
  <c r="O131" i="14"/>
  <c r="K131" i="14"/>
  <c r="AK131" i="14"/>
  <c r="AG131" i="14"/>
  <c r="AC131" i="14"/>
  <c r="Y131" i="14"/>
  <c r="U131" i="14"/>
  <c r="Q131" i="14"/>
  <c r="M131" i="14"/>
  <c r="I131" i="14"/>
  <c r="H124" i="14"/>
  <c r="I124" i="14"/>
  <c r="M124" i="14"/>
  <c r="Q124" i="14"/>
  <c r="U124" i="14"/>
  <c r="Z124" i="14"/>
  <c r="Q127" i="14"/>
  <c r="AG127" i="14"/>
  <c r="S128" i="14"/>
  <c r="AI128" i="14"/>
  <c r="U129" i="14"/>
  <c r="AK129" i="14"/>
  <c r="X130" i="14"/>
  <c r="J131" i="14"/>
  <c r="Z131" i="14"/>
  <c r="O133" i="14"/>
  <c r="AE133" i="14"/>
  <c r="Q134" i="14"/>
  <c r="AG134" i="14"/>
  <c r="J120" i="14"/>
  <c r="N120" i="14"/>
  <c r="R120" i="14"/>
  <c r="V120" i="14"/>
  <c r="Z120" i="14"/>
  <c r="AD120" i="14"/>
  <c r="L117" i="14"/>
  <c r="P117" i="14"/>
  <c r="T117" i="14"/>
  <c r="X117" i="14"/>
  <c r="AB117" i="14"/>
  <c r="AF117" i="14"/>
  <c r="AJ117" i="14"/>
  <c r="I117" i="14"/>
  <c r="M117" i="14"/>
  <c r="Q117" i="14"/>
  <c r="U117" i="14"/>
  <c r="Y117" i="14"/>
  <c r="AC117" i="14"/>
  <c r="AG117" i="14"/>
  <c r="AK117" i="14"/>
  <c r="H117" i="14"/>
  <c r="J117" i="14"/>
  <c r="N117" i="14"/>
  <c r="R117" i="14"/>
  <c r="V117" i="14"/>
  <c r="Z117" i="14"/>
  <c r="AD117" i="14"/>
  <c r="J114" i="14"/>
  <c r="N114" i="14"/>
  <c r="R114" i="14"/>
  <c r="V114" i="14"/>
  <c r="Z114" i="14"/>
  <c r="AD114" i="14"/>
  <c r="R94" i="14"/>
  <c r="AC94" i="14"/>
  <c r="AH89" i="14"/>
  <c r="AD89" i="14"/>
  <c r="Z89" i="14"/>
  <c r="V89" i="14"/>
  <c r="R89" i="14"/>
  <c r="N89" i="14"/>
  <c r="J89" i="14"/>
  <c r="H85" i="14"/>
  <c r="L85" i="14"/>
  <c r="P85" i="14"/>
  <c r="X85" i="14"/>
  <c r="AB85" i="14"/>
  <c r="AG85" i="14"/>
  <c r="I89" i="14"/>
  <c r="O89" i="14"/>
  <c r="T89" i="14"/>
  <c r="Y89" i="14"/>
  <c r="AE89" i="14"/>
  <c r="AJ89" i="14"/>
  <c r="I94" i="14"/>
  <c r="N94" i="14"/>
  <c r="S94" i="14"/>
  <c r="Y94" i="14"/>
  <c r="AD94" i="14"/>
  <c r="AI94" i="14"/>
  <c r="AJ88" i="14"/>
  <c r="AF88" i="14"/>
  <c r="AB88" i="14"/>
  <c r="X88" i="14"/>
  <c r="T88" i="14"/>
  <c r="P88" i="14"/>
  <c r="L88" i="14"/>
  <c r="H88" i="14"/>
  <c r="AJ90" i="14"/>
  <c r="AF90" i="14"/>
  <c r="AB90" i="14"/>
  <c r="X90" i="14"/>
  <c r="T90" i="14"/>
  <c r="P90" i="14"/>
  <c r="L90" i="14"/>
  <c r="H90" i="14"/>
  <c r="I85" i="14"/>
  <c r="M85" i="14"/>
  <c r="Q85" i="14"/>
  <c r="U85" i="14"/>
  <c r="Y85" i="14"/>
  <c r="AC85" i="14"/>
  <c r="J86" i="14"/>
  <c r="O86" i="14"/>
  <c r="U86" i="14"/>
  <c r="Z86" i="14"/>
  <c r="AE86" i="14"/>
  <c r="I88" i="14"/>
  <c r="N88" i="14"/>
  <c r="S88" i="14"/>
  <c r="Y88" i="14"/>
  <c r="AD88" i="14"/>
  <c r="AI88" i="14"/>
  <c r="K89" i="14"/>
  <c r="P89" i="14"/>
  <c r="U89" i="14"/>
  <c r="AA89" i="14"/>
  <c r="AF89" i="14"/>
  <c r="AK89" i="14"/>
  <c r="M90" i="14"/>
  <c r="R90" i="14"/>
  <c r="W90" i="14"/>
  <c r="AC90" i="14"/>
  <c r="AH90" i="14"/>
  <c r="I91" i="14"/>
  <c r="O91" i="14"/>
  <c r="T91" i="14"/>
  <c r="Y91" i="14"/>
  <c r="AE91" i="14"/>
  <c r="K92" i="14"/>
  <c r="Q92" i="14"/>
  <c r="V92" i="14"/>
  <c r="AA92" i="14"/>
  <c r="J94" i="14"/>
  <c r="O94" i="14"/>
  <c r="U94" i="14"/>
  <c r="Z94" i="14"/>
  <c r="AE94" i="14"/>
  <c r="AJ94" i="14"/>
  <c r="AF94" i="14"/>
  <c r="AB94" i="14"/>
  <c r="X94" i="14"/>
  <c r="T94" i="14"/>
  <c r="P94" i="14"/>
  <c r="L94" i="14"/>
  <c r="H94" i="14"/>
  <c r="M94" i="14"/>
  <c r="W94" i="14"/>
  <c r="AH94" i="14"/>
  <c r="AH85" i="14"/>
  <c r="AD85" i="14"/>
  <c r="T85" i="14"/>
  <c r="AH91" i="14"/>
  <c r="AD91" i="14"/>
  <c r="Z91" i="14"/>
  <c r="V91" i="14"/>
  <c r="R91" i="14"/>
  <c r="N91" i="14"/>
  <c r="J91" i="14"/>
  <c r="AJ92" i="14"/>
  <c r="AF92" i="14"/>
  <c r="AB92" i="14"/>
  <c r="X92" i="14"/>
  <c r="T92" i="14"/>
  <c r="P92" i="14"/>
  <c r="L92" i="14"/>
  <c r="H92" i="14"/>
  <c r="AJ86" i="14"/>
  <c r="AF86" i="14"/>
  <c r="AB86" i="14"/>
  <c r="X86" i="14"/>
  <c r="T86" i="14"/>
  <c r="P86" i="14"/>
  <c r="L86" i="14"/>
  <c r="H86" i="14"/>
  <c r="J85" i="14"/>
  <c r="N85" i="14"/>
  <c r="R85" i="14"/>
  <c r="V85" i="14"/>
  <c r="Z85" i="14"/>
  <c r="AE85" i="14"/>
  <c r="AJ85" i="14"/>
  <c r="K86" i="14"/>
  <c r="Q86" i="14"/>
  <c r="V86" i="14"/>
  <c r="AA86" i="14"/>
  <c r="AG86" i="14"/>
  <c r="L89" i="14"/>
  <c r="Q89" i="14"/>
  <c r="W89" i="14"/>
  <c r="AB89" i="14"/>
  <c r="AG89" i="14"/>
  <c r="K91" i="14"/>
  <c r="P91" i="14"/>
  <c r="U91" i="14"/>
  <c r="AA91" i="14"/>
  <c r="AF91" i="14"/>
  <c r="AK91" i="14"/>
  <c r="M92" i="14"/>
  <c r="R92" i="14"/>
  <c r="W92" i="14"/>
  <c r="AC92" i="14"/>
  <c r="AH92" i="14"/>
  <c r="K94" i="14"/>
  <c r="Q94" i="14"/>
  <c r="V94" i="14"/>
  <c r="AA94" i="14"/>
  <c r="AG94" i="14"/>
  <c r="N81" i="14"/>
  <c r="Z81" i="14"/>
  <c r="AH81" i="14"/>
  <c r="K75" i="14"/>
  <c r="O75" i="14"/>
  <c r="S75" i="14"/>
  <c r="W75" i="14"/>
  <c r="AA75" i="14"/>
  <c r="AE75" i="14"/>
  <c r="AI75" i="14"/>
  <c r="I78" i="14"/>
  <c r="M78" i="14"/>
  <c r="Q78" i="14"/>
  <c r="U78" i="14"/>
  <c r="Y78" i="14"/>
  <c r="AC78" i="14"/>
  <c r="AG78" i="14"/>
  <c r="AK78" i="14"/>
  <c r="K79" i="14"/>
  <c r="O79" i="14"/>
  <c r="S79" i="14"/>
  <c r="W79" i="14"/>
  <c r="AA79" i="14"/>
  <c r="AE79" i="14"/>
  <c r="AI79" i="14"/>
  <c r="K81" i="14"/>
  <c r="O81" i="14"/>
  <c r="S81" i="14"/>
  <c r="W81" i="14"/>
  <c r="AA81" i="14"/>
  <c r="AE81" i="14"/>
  <c r="AI81" i="14"/>
  <c r="I82" i="14"/>
  <c r="M82" i="14"/>
  <c r="Q82" i="14"/>
  <c r="U82" i="14"/>
  <c r="Y82" i="14"/>
  <c r="AC82" i="14"/>
  <c r="AG82" i="14"/>
  <c r="AK82" i="14"/>
  <c r="J81" i="14"/>
  <c r="V81" i="14"/>
  <c r="H75" i="14"/>
  <c r="L75" i="14"/>
  <c r="P75" i="14"/>
  <c r="T75" i="14"/>
  <c r="X75" i="14"/>
  <c r="AB75" i="14"/>
  <c r="AF75" i="14"/>
  <c r="AJ75" i="14"/>
  <c r="J78" i="14"/>
  <c r="N78" i="14"/>
  <c r="R78" i="14"/>
  <c r="V78" i="14"/>
  <c r="Z78" i="14"/>
  <c r="AD78" i="14"/>
  <c r="AH78" i="14"/>
  <c r="H79" i="14"/>
  <c r="L79" i="14"/>
  <c r="P79" i="14"/>
  <c r="T79" i="14"/>
  <c r="X79" i="14"/>
  <c r="AB79" i="14"/>
  <c r="AF79" i="14"/>
  <c r="AJ79" i="14"/>
  <c r="H81" i="14"/>
  <c r="L81" i="14"/>
  <c r="P81" i="14"/>
  <c r="T81" i="14"/>
  <c r="X81" i="14"/>
  <c r="AB81" i="14"/>
  <c r="AF81" i="14"/>
  <c r="AJ81" i="14"/>
  <c r="J82" i="14"/>
  <c r="N82" i="14"/>
  <c r="R82" i="14"/>
  <c r="V82" i="14"/>
  <c r="Z82" i="14"/>
  <c r="AD82" i="14"/>
  <c r="AH82" i="14"/>
  <c r="R81" i="14"/>
  <c r="AD81" i="14"/>
  <c r="I75" i="14"/>
  <c r="M75" i="14"/>
  <c r="Q75" i="14"/>
  <c r="U75" i="14"/>
  <c r="Y75" i="14"/>
  <c r="AC75" i="14"/>
  <c r="AG75" i="14"/>
  <c r="K78" i="14"/>
  <c r="O78" i="14"/>
  <c r="S78" i="14"/>
  <c r="W78" i="14"/>
  <c r="AA78" i="14"/>
  <c r="AE78" i="14"/>
  <c r="I79" i="14"/>
  <c r="M79" i="14"/>
  <c r="Q79" i="14"/>
  <c r="U79" i="14"/>
  <c r="Y79" i="14"/>
  <c r="AC79" i="14"/>
  <c r="AG79" i="14"/>
  <c r="I81" i="14"/>
  <c r="M81" i="14"/>
  <c r="Q81" i="14"/>
  <c r="U81" i="14"/>
  <c r="Y81" i="14"/>
  <c r="AC81" i="14"/>
  <c r="AG81" i="14"/>
  <c r="K82" i="14"/>
  <c r="O82" i="14"/>
  <c r="S82" i="14"/>
  <c r="W82" i="14"/>
  <c r="AA82" i="14"/>
  <c r="AE82" i="14"/>
  <c r="H72" i="14"/>
  <c r="P72" i="14"/>
  <c r="X72" i="14"/>
  <c r="AF72" i="14"/>
  <c r="I72" i="14"/>
  <c r="M72" i="14"/>
  <c r="U72" i="14"/>
  <c r="AC72" i="14"/>
  <c r="AK72" i="14"/>
  <c r="J72" i="14"/>
  <c r="N72" i="14"/>
  <c r="R72" i="14"/>
  <c r="V72" i="14"/>
  <c r="Z72" i="14"/>
  <c r="AD72" i="14"/>
  <c r="AH72" i="14"/>
  <c r="L72" i="14"/>
  <c r="T72" i="14"/>
  <c r="AB72" i="14"/>
  <c r="AJ72" i="14"/>
  <c r="Q72" i="14"/>
  <c r="Y72" i="14"/>
  <c r="AG72" i="14"/>
  <c r="K72" i="14"/>
  <c r="O72" i="14"/>
  <c r="S72" i="14"/>
  <c r="W72" i="14"/>
  <c r="AA72" i="14"/>
  <c r="AE72" i="14"/>
  <c r="AI14" i="14" l="1"/>
  <c r="AE14" i="14"/>
  <c r="AA14" i="14"/>
  <c r="W14" i="14"/>
  <c r="S14" i="14"/>
  <c r="O14" i="14"/>
  <c r="K14" i="14"/>
  <c r="AJ14" i="14"/>
  <c r="X14" i="14"/>
  <c r="L14" i="14"/>
  <c r="AH14" i="14"/>
  <c r="AD14" i="14"/>
  <c r="Z14" i="14"/>
  <c r="V14" i="14"/>
  <c r="R14" i="14"/>
  <c r="N14" i="14"/>
  <c r="J14" i="14"/>
  <c r="AB14" i="14"/>
  <c r="P14" i="14"/>
  <c r="AK14" i="14"/>
  <c r="AG14" i="14"/>
  <c r="AC14" i="14"/>
  <c r="Y14" i="14"/>
  <c r="U14" i="14"/>
  <c r="Q14" i="14"/>
  <c r="M14" i="14"/>
  <c r="I14" i="14"/>
  <c r="AF14" i="14"/>
  <c r="T14" i="14"/>
  <c r="H14" i="14"/>
  <c r="I132" i="14"/>
  <c r="Z139" i="14"/>
  <c r="AH11" i="14"/>
  <c r="AD11" i="14"/>
  <c r="Z11" i="14"/>
  <c r="V11" i="14"/>
  <c r="R11" i="14"/>
  <c r="N11" i="14"/>
  <c r="J11" i="14"/>
  <c r="AK11" i="14"/>
  <c r="AG11" i="14"/>
  <c r="AC11" i="14"/>
  <c r="Y11" i="14"/>
  <c r="U11" i="14"/>
  <c r="Q11" i="14"/>
  <c r="M11" i="14"/>
  <c r="I11" i="14"/>
  <c r="AI11" i="14"/>
  <c r="AA11" i="14"/>
  <c r="S11" i="14"/>
  <c r="K11" i="14"/>
  <c r="AF11" i="14"/>
  <c r="X11" i="14"/>
  <c r="P11" i="14"/>
  <c r="H11" i="14"/>
  <c r="AE11" i="14"/>
  <c r="O11" i="14"/>
  <c r="W11" i="14"/>
  <c r="AJ11" i="14"/>
  <c r="AB11" i="14"/>
  <c r="L11" i="14"/>
  <c r="T11" i="14"/>
  <c r="AF184" i="14"/>
  <c r="K184" i="14"/>
  <c r="N165" i="14"/>
  <c r="AB174" i="14"/>
  <c r="AA66" i="14"/>
  <c r="AH148" i="14"/>
  <c r="AK66" i="14"/>
  <c r="AB66" i="14"/>
  <c r="U66" i="14"/>
  <c r="AI8" i="14"/>
  <c r="AE8" i="14"/>
  <c r="AA8" i="14"/>
  <c r="W8" i="14"/>
  <c r="S8" i="14"/>
  <c r="O8" i="14"/>
  <c r="K8" i="14"/>
  <c r="X8" i="14"/>
  <c r="L8" i="14"/>
  <c r="AH8" i="14"/>
  <c r="AD8" i="14"/>
  <c r="Z8" i="14"/>
  <c r="V8" i="14"/>
  <c r="R8" i="14"/>
  <c r="N8" i="14"/>
  <c r="J8" i="14"/>
  <c r="AF8" i="14"/>
  <c r="T8" i="14"/>
  <c r="H8" i="14"/>
  <c r="AK8" i="14"/>
  <c r="AG8" i="14"/>
  <c r="AC8" i="14"/>
  <c r="Y8" i="14"/>
  <c r="U8" i="14"/>
  <c r="Q8" i="14"/>
  <c r="M8" i="14"/>
  <c r="I8" i="14"/>
  <c r="AJ8" i="14"/>
  <c r="AB8" i="14"/>
  <c r="P8" i="14"/>
  <c r="AA152" i="14"/>
  <c r="X152" i="14"/>
  <c r="L152" i="14"/>
  <c r="Z184" i="14"/>
  <c r="V152" i="14"/>
  <c r="AI152" i="14"/>
  <c r="AH184" i="14"/>
  <c r="N152" i="14"/>
  <c r="AK152" i="14"/>
  <c r="X184" i="14"/>
  <c r="J5" i="14"/>
  <c r="N5" i="14"/>
  <c r="R5" i="14"/>
  <c r="V5" i="14"/>
  <c r="Z5" i="14"/>
  <c r="AD5" i="14"/>
  <c r="AH5" i="14"/>
  <c r="H5" i="14"/>
  <c r="K5" i="14"/>
  <c r="O5" i="14"/>
  <c r="S5" i="14"/>
  <c r="W5" i="14"/>
  <c r="AA5" i="14"/>
  <c r="AE5" i="14"/>
  <c r="AI5" i="14"/>
  <c r="L5" i="14"/>
  <c r="I5" i="14"/>
  <c r="M5" i="14"/>
  <c r="Q5" i="14"/>
  <c r="U5" i="14"/>
  <c r="Y5" i="14"/>
  <c r="AC5" i="14"/>
  <c r="AG5" i="14"/>
  <c r="AK5" i="14"/>
  <c r="P5" i="14"/>
  <c r="T5" i="14"/>
  <c r="AJ5" i="14"/>
  <c r="X5" i="14"/>
  <c r="AB5" i="14"/>
  <c r="AF5" i="14"/>
  <c r="I158" i="14"/>
  <c r="AG155" i="14"/>
  <c r="K155" i="14"/>
  <c r="AC148" i="14"/>
  <c r="Y152" i="14"/>
  <c r="P152" i="14"/>
  <c r="AC152" i="14"/>
  <c r="AA177" i="14"/>
  <c r="Y184" i="14"/>
  <c r="K66" i="14"/>
  <c r="T66" i="14"/>
  <c r="AK87" i="14"/>
  <c r="Q174" i="14"/>
  <c r="AD93" i="14"/>
  <c r="I168" i="14"/>
  <c r="U152" i="14"/>
  <c r="AF168" i="14"/>
  <c r="T152" i="14"/>
  <c r="AG184" i="14"/>
  <c r="V66" i="14"/>
  <c r="F15" i="14"/>
  <c r="I155" i="14"/>
  <c r="Z155" i="14"/>
  <c r="AE155" i="14"/>
  <c r="U155" i="14"/>
  <c r="AJ148" i="14"/>
  <c r="V148" i="14"/>
  <c r="AA148" i="14"/>
  <c r="AC155" i="14"/>
  <c r="I186" i="14"/>
  <c r="O21" i="14"/>
  <c r="Z158" i="14"/>
  <c r="H155" i="14"/>
  <c r="J155" i="14"/>
  <c r="O155" i="14"/>
  <c r="AK148" i="14"/>
  <c r="K148" i="14"/>
  <c r="L158" i="14"/>
  <c r="AA158" i="14"/>
  <c r="AB155" i="14"/>
  <c r="AF155" i="14"/>
  <c r="V155" i="14"/>
  <c r="AA155" i="14"/>
  <c r="Y148" i="14"/>
  <c r="AB148" i="14"/>
  <c r="R148" i="14"/>
  <c r="W148" i="14"/>
  <c r="N168" i="14"/>
  <c r="AC87" i="14"/>
  <c r="W132" i="14"/>
  <c r="Z132" i="14"/>
  <c r="T93" i="14"/>
  <c r="J87" i="14"/>
  <c r="Q93" i="14"/>
  <c r="P87" i="14"/>
  <c r="AJ87" i="14"/>
  <c r="F67" i="14"/>
  <c r="AC67" i="14" s="1"/>
  <c r="W66" i="14"/>
  <c r="R66" i="14"/>
  <c r="Q66" i="14"/>
  <c r="L66" i="14"/>
  <c r="AH66" i="14"/>
  <c r="AG66" i="14"/>
  <c r="AI66" i="14"/>
  <c r="AD83" i="14"/>
  <c r="H83" i="14"/>
  <c r="W145" i="14"/>
  <c r="Y145" i="14"/>
  <c r="AH80" i="14"/>
  <c r="AE145" i="14"/>
  <c r="J145" i="14"/>
  <c r="M112" i="14"/>
  <c r="P145" i="14"/>
  <c r="AJ145" i="14"/>
  <c r="N145" i="14"/>
  <c r="Y21" i="14"/>
  <c r="AI21" i="14"/>
  <c r="Z21" i="14"/>
  <c r="P21" i="14"/>
  <c r="U21" i="14"/>
  <c r="AJ21" i="14"/>
  <c r="O27" i="14"/>
  <c r="Y40" i="14"/>
  <c r="S40" i="14"/>
  <c r="T40" i="14"/>
  <c r="N40" i="14"/>
  <c r="AD40" i="14"/>
  <c r="AI40" i="14"/>
  <c r="AJ40" i="14"/>
  <c r="U40" i="14"/>
  <c r="J40" i="14"/>
  <c r="O40" i="14"/>
  <c r="P40" i="14"/>
  <c r="I40" i="14"/>
  <c r="Z40" i="14"/>
  <c r="AE40" i="14"/>
  <c r="AF40" i="14"/>
  <c r="AC40" i="14"/>
  <c r="M155" i="14"/>
  <c r="AF148" i="14"/>
  <c r="Q148" i="14"/>
  <c r="H186" i="14"/>
  <c r="Q40" i="14"/>
  <c r="S80" i="14"/>
  <c r="Q80" i="14"/>
  <c r="X158" i="14"/>
  <c r="Y158" i="14"/>
  <c r="L155" i="14"/>
  <c r="P155" i="14"/>
  <c r="Q155" i="14"/>
  <c r="N155" i="14"/>
  <c r="AD155" i="14"/>
  <c r="S155" i="14"/>
  <c r="AI155" i="14"/>
  <c r="I148" i="14"/>
  <c r="L148" i="14"/>
  <c r="M148" i="14"/>
  <c r="J148" i="14"/>
  <c r="Z148" i="14"/>
  <c r="O148" i="14"/>
  <c r="AE148" i="14"/>
  <c r="AJ141" i="14"/>
  <c r="T155" i="14"/>
  <c r="Z73" i="14"/>
  <c r="S66" i="14"/>
  <c r="AD66" i="14"/>
  <c r="N66" i="14"/>
  <c r="AC66" i="14"/>
  <c r="M66" i="14"/>
  <c r="H66" i="14"/>
  <c r="P66" i="14"/>
  <c r="R40" i="14"/>
  <c r="AH40" i="14"/>
  <c r="W40" i="14"/>
  <c r="H40" i="14"/>
  <c r="X40" i="14"/>
  <c r="F41" i="14"/>
  <c r="Z41" i="14" s="1"/>
  <c r="AH21" i="14"/>
  <c r="S21" i="14"/>
  <c r="T21" i="14"/>
  <c r="V21" i="14"/>
  <c r="AG148" i="14"/>
  <c r="O186" i="14"/>
  <c r="S112" i="14"/>
  <c r="J158" i="14"/>
  <c r="X155" i="14"/>
  <c r="Y155" i="14"/>
  <c r="R155" i="14"/>
  <c r="AH155" i="14"/>
  <c r="W155" i="14"/>
  <c r="T148" i="14"/>
  <c r="U148" i="14"/>
  <c r="N148" i="14"/>
  <c r="AD148" i="14"/>
  <c r="S148" i="14"/>
  <c r="AI148" i="14"/>
  <c r="H148" i="14"/>
  <c r="AE141" i="14"/>
  <c r="P148" i="14"/>
  <c r="AJ155" i="14"/>
  <c r="AE66" i="14"/>
  <c r="O66" i="14"/>
  <c r="Z66" i="14"/>
  <c r="J66" i="14"/>
  <c r="Y66" i="14"/>
  <c r="I66" i="14"/>
  <c r="X66" i="14"/>
  <c r="AF66" i="14"/>
  <c r="AK40" i="14"/>
  <c r="V40" i="14"/>
  <c r="K40" i="14"/>
  <c r="AA40" i="14"/>
  <c r="L40" i="14"/>
  <c r="AG27" i="14"/>
  <c r="I21" i="14"/>
  <c r="M21" i="14"/>
  <c r="AE21" i="14"/>
  <c r="AF21" i="14"/>
  <c r="L125" i="14"/>
  <c r="K174" i="14"/>
  <c r="V76" i="14"/>
  <c r="T174" i="14"/>
  <c r="AD145" i="14"/>
  <c r="AI145" i="14"/>
  <c r="Q145" i="14"/>
  <c r="AG145" i="14"/>
  <c r="H24" i="14"/>
  <c r="AG83" i="14"/>
  <c r="H95" i="14"/>
  <c r="H87" i="14"/>
  <c r="Z87" i="14"/>
  <c r="AC93" i="14"/>
  <c r="W87" i="14"/>
  <c r="U95" i="14"/>
  <c r="AF93" i="14"/>
  <c r="AF135" i="14"/>
  <c r="Y132" i="14"/>
  <c r="M165" i="14"/>
  <c r="O174" i="14"/>
  <c r="L165" i="14"/>
  <c r="J168" i="14"/>
  <c r="AA165" i="14"/>
  <c r="X168" i="14"/>
  <c r="AH152" i="14"/>
  <c r="J152" i="14"/>
  <c r="AB152" i="14"/>
  <c r="Q152" i="14"/>
  <c r="X145" i="14"/>
  <c r="H145" i="14"/>
  <c r="AB145" i="14"/>
  <c r="O145" i="14"/>
  <c r="I95" i="14"/>
  <c r="X174" i="14"/>
  <c r="I145" i="14"/>
  <c r="O152" i="14"/>
  <c r="AH145" i="14"/>
  <c r="U145" i="14"/>
  <c r="S152" i="14"/>
  <c r="Z145" i="14"/>
  <c r="H184" i="14"/>
  <c r="I184" i="14"/>
  <c r="J184" i="14"/>
  <c r="O184" i="14"/>
  <c r="S24" i="14"/>
  <c r="Y24" i="14"/>
  <c r="J135" i="14"/>
  <c r="U165" i="14"/>
  <c r="Z165" i="14"/>
  <c r="L145" i="14"/>
  <c r="S145" i="14"/>
  <c r="AA139" i="14"/>
  <c r="Q83" i="14"/>
  <c r="W76" i="14"/>
  <c r="U76" i="14"/>
  <c r="N93" i="14"/>
  <c r="H93" i="14"/>
  <c r="N95" i="14"/>
  <c r="O87" i="14"/>
  <c r="AK125" i="14"/>
  <c r="J132" i="14"/>
  <c r="M174" i="14"/>
  <c r="X165" i="14"/>
  <c r="S165" i="14"/>
  <c r="Z152" i="14"/>
  <c r="AF152" i="14"/>
  <c r="I152" i="14"/>
  <c r="T145" i="14"/>
  <c r="AA145" i="14"/>
  <c r="AF145" i="14"/>
  <c r="AC145" i="14"/>
  <c r="K145" i="14"/>
  <c r="Q139" i="14"/>
  <c r="V145" i="14"/>
  <c r="AD152" i="14"/>
  <c r="M145" i="14"/>
  <c r="R145" i="14"/>
  <c r="J177" i="14"/>
  <c r="S184" i="14"/>
  <c r="P184" i="14"/>
  <c r="Q184" i="14"/>
  <c r="R184" i="14"/>
  <c r="AI184" i="14"/>
  <c r="F25" i="14"/>
  <c r="AA25" i="14" s="1"/>
  <c r="AJ168" i="14"/>
  <c r="W168" i="14"/>
  <c r="Y168" i="14"/>
  <c r="L168" i="14"/>
  <c r="AI168" i="14"/>
  <c r="AK168" i="14"/>
  <c r="V168" i="14"/>
  <c r="S168" i="14"/>
  <c r="U168" i="14"/>
  <c r="AD112" i="14"/>
  <c r="H112" i="14"/>
  <c r="N112" i="14"/>
  <c r="AC112" i="14"/>
  <c r="S83" i="14"/>
  <c r="V83" i="14"/>
  <c r="X83" i="14"/>
  <c r="AI83" i="14"/>
  <c r="H76" i="14"/>
  <c r="AG40" i="14"/>
  <c r="M40" i="14"/>
  <c r="Z161" i="14"/>
  <c r="N139" i="14"/>
  <c r="AK139" i="14"/>
  <c r="W139" i="14"/>
  <c r="X139" i="14"/>
  <c r="AB76" i="14"/>
  <c r="M177" i="14"/>
  <c r="Z177" i="14"/>
  <c r="AA174" i="14"/>
  <c r="AC174" i="14"/>
  <c r="AB165" i="14"/>
  <c r="AD165" i="14"/>
  <c r="J174" i="14"/>
  <c r="V174" i="14"/>
  <c r="AE165" i="14"/>
  <c r="O165" i="14"/>
  <c r="J139" i="14"/>
  <c r="AG139" i="14"/>
  <c r="O139" i="14"/>
  <c r="T139" i="14"/>
  <c r="P139" i="14"/>
  <c r="Q177" i="14"/>
  <c r="AH177" i="14"/>
  <c r="O76" i="14"/>
  <c r="R76" i="14"/>
  <c r="Y76" i="14"/>
  <c r="AC95" i="14"/>
  <c r="Q95" i="14"/>
  <c r="AD95" i="14"/>
  <c r="J125" i="14"/>
  <c r="M135" i="14"/>
  <c r="AE174" i="14"/>
  <c r="AG174" i="14"/>
  <c r="H165" i="14"/>
  <c r="J165" i="14"/>
  <c r="AD139" i="14"/>
  <c r="U139" i="14"/>
  <c r="X76" i="14"/>
  <c r="Y95" i="14"/>
  <c r="L139" i="14"/>
  <c r="AI139" i="14"/>
  <c r="AG177" i="14"/>
  <c r="W177" i="14"/>
  <c r="F32" i="14"/>
  <c r="J21" i="14"/>
  <c r="Q21" i="14"/>
  <c r="AC21" i="14"/>
  <c r="W21" i="14"/>
  <c r="H21" i="14"/>
  <c r="X21" i="14"/>
  <c r="AK21" i="14"/>
  <c r="R21" i="14"/>
  <c r="AG21" i="14"/>
  <c r="K21" i="14"/>
  <c r="AA21" i="14"/>
  <c r="L21" i="14"/>
  <c r="AB21" i="14"/>
  <c r="F22" i="14"/>
  <c r="W22" i="14" s="1"/>
  <c r="N21" i="14"/>
  <c r="X24" i="14"/>
  <c r="R24" i="14"/>
  <c r="P27" i="14"/>
  <c r="AH27" i="14"/>
  <c r="R27" i="14"/>
  <c r="Q27" i="14"/>
  <c r="U27" i="14"/>
  <c r="F28" i="14"/>
  <c r="AF28" i="14" s="1"/>
  <c r="AF27" i="14"/>
  <c r="I27" i="14"/>
  <c r="Y27" i="14"/>
  <c r="J27" i="14"/>
  <c r="Z27" i="14"/>
  <c r="H27" i="14"/>
  <c r="AK27" i="14"/>
  <c r="V27" i="14"/>
  <c r="X27" i="14"/>
  <c r="M27" i="14"/>
  <c r="AC27" i="14"/>
  <c r="N27" i="14"/>
  <c r="AD27" i="14"/>
  <c r="Z186" i="14"/>
  <c r="Y186" i="14"/>
  <c r="AE186" i="14"/>
  <c r="P186" i="14"/>
  <c r="J186" i="14"/>
  <c r="AB168" i="14"/>
  <c r="K168" i="14"/>
  <c r="AA168" i="14"/>
  <c r="M168" i="14"/>
  <c r="AC168" i="14"/>
  <c r="Z168" i="14"/>
  <c r="H168" i="14"/>
  <c r="AD168" i="14"/>
  <c r="T168" i="14"/>
  <c r="O168" i="14"/>
  <c r="AE168" i="14"/>
  <c r="Q168" i="14"/>
  <c r="AG168" i="14"/>
  <c r="R168" i="14"/>
  <c r="P168" i="14"/>
  <c r="T161" i="14"/>
  <c r="AJ161" i="14"/>
  <c r="P158" i="14"/>
  <c r="M158" i="14"/>
  <c r="N158" i="14"/>
  <c r="T158" i="14"/>
  <c r="H158" i="14"/>
  <c r="Q158" i="14"/>
  <c r="AG158" i="14"/>
  <c r="R158" i="14"/>
  <c r="AH158" i="14"/>
  <c r="W158" i="14"/>
  <c r="S158" i="14"/>
  <c r="AC158" i="14"/>
  <c r="AD158" i="14"/>
  <c r="K158" i="14"/>
  <c r="AF158" i="14"/>
  <c r="U158" i="14"/>
  <c r="AK158" i="14"/>
  <c r="V158" i="14"/>
  <c r="O158" i="14"/>
  <c r="AB158" i="14"/>
  <c r="R152" i="14"/>
  <c r="AE152" i="14"/>
  <c r="AJ152" i="14"/>
  <c r="M152" i="14"/>
  <c r="H152" i="14"/>
  <c r="W152" i="14"/>
  <c r="K152" i="14"/>
  <c r="L132" i="14"/>
  <c r="H132" i="14"/>
  <c r="AF132" i="14"/>
  <c r="O132" i="14"/>
  <c r="AE132" i="14"/>
  <c r="Q132" i="14"/>
  <c r="AG132" i="14"/>
  <c r="R132" i="14"/>
  <c r="AH132" i="14"/>
  <c r="AB132" i="14"/>
  <c r="X132" i="14"/>
  <c r="K132" i="14"/>
  <c r="AA132" i="14"/>
  <c r="M132" i="14"/>
  <c r="AC132" i="14"/>
  <c r="N132" i="14"/>
  <c r="AD132" i="14"/>
  <c r="T132" i="14"/>
  <c r="P132" i="14"/>
  <c r="S132" i="14"/>
  <c r="AI132" i="14"/>
  <c r="U132" i="14"/>
  <c r="AK132" i="14"/>
  <c r="V132" i="14"/>
  <c r="K122" i="14"/>
  <c r="O119" i="14"/>
  <c r="AJ119" i="14"/>
  <c r="AD119" i="14"/>
  <c r="AG122" i="14"/>
  <c r="M122" i="14"/>
  <c r="N119" i="14"/>
  <c r="O112" i="14"/>
  <c r="Z112" i="14"/>
  <c r="Y112" i="14"/>
  <c r="I112" i="14"/>
  <c r="X112" i="14"/>
  <c r="P112" i="14"/>
  <c r="AA112" i="14"/>
  <c r="K112" i="14"/>
  <c r="V112" i="14"/>
  <c r="AK112" i="14"/>
  <c r="U112" i="14"/>
  <c r="X122" i="14"/>
  <c r="T112" i="14"/>
  <c r="AI112" i="14"/>
  <c r="L112" i="14"/>
  <c r="AE112" i="14"/>
  <c r="J112" i="14"/>
  <c r="W112" i="14"/>
  <c r="AH112" i="14"/>
  <c r="R112" i="14"/>
  <c r="AG112" i="14"/>
  <c r="Q112" i="14"/>
  <c r="AE122" i="14"/>
  <c r="V122" i="14"/>
  <c r="AE27" i="14"/>
  <c r="AI27" i="14"/>
  <c r="S27" i="14"/>
  <c r="K27" i="14"/>
  <c r="AJ27" i="14"/>
  <c r="AB27" i="14"/>
  <c r="L27" i="14"/>
  <c r="AA27" i="14"/>
  <c r="T27" i="14"/>
  <c r="AD24" i="14"/>
  <c r="N24" i="14"/>
  <c r="O24" i="14"/>
  <c r="W24" i="14"/>
  <c r="V24" i="14"/>
  <c r="AE24" i="14"/>
  <c r="K24" i="14"/>
  <c r="J24" i="14"/>
  <c r="L24" i="14"/>
  <c r="AB24" i="14"/>
  <c r="M24" i="14"/>
  <c r="AC24" i="14"/>
  <c r="AI24" i="14"/>
  <c r="AH24" i="14"/>
  <c r="P24" i="14"/>
  <c r="AF24" i="14"/>
  <c r="Q24" i="14"/>
  <c r="AG24" i="14"/>
  <c r="AA24" i="14"/>
  <c r="Z24" i="14"/>
  <c r="T24" i="14"/>
  <c r="AJ24" i="14"/>
  <c r="U24" i="14"/>
  <c r="AK24" i="14"/>
  <c r="F9" i="14"/>
  <c r="F6" i="14"/>
  <c r="F12" i="14"/>
  <c r="M83" i="14"/>
  <c r="AJ83" i="14"/>
  <c r="T83" i="14"/>
  <c r="AE83" i="14"/>
  <c r="O83" i="14"/>
  <c r="N87" i="14"/>
  <c r="R93" i="14"/>
  <c r="AG93" i="14"/>
  <c r="L93" i="14"/>
  <c r="AF87" i="14"/>
  <c r="K87" i="14"/>
  <c r="U93" i="14"/>
  <c r="AC122" i="14"/>
  <c r="I122" i="14"/>
  <c r="AA122" i="14"/>
  <c r="J83" i="14"/>
  <c r="N122" i="14"/>
  <c r="J122" i="14"/>
  <c r="AK44" i="14"/>
  <c r="AG44" i="14"/>
  <c r="AC44" i="14"/>
  <c r="Y44" i="14"/>
  <c r="U44" i="14"/>
  <c r="Q44" i="14"/>
  <c r="M44" i="14"/>
  <c r="I44" i="14"/>
  <c r="AJ44" i="14"/>
  <c r="AF44" i="14"/>
  <c r="AB44" i="14"/>
  <c r="X44" i="14"/>
  <c r="T44" i="14"/>
  <c r="P44" i="14"/>
  <c r="L44" i="14"/>
  <c r="H44" i="14"/>
  <c r="AI44" i="14"/>
  <c r="AE44" i="14"/>
  <c r="AA44" i="14"/>
  <c r="W44" i="14"/>
  <c r="S44" i="14"/>
  <c r="O44" i="14"/>
  <c r="K44" i="14"/>
  <c r="Z44" i="14"/>
  <c r="J44" i="14"/>
  <c r="V44" i="14"/>
  <c r="N44" i="14"/>
  <c r="AD44" i="14"/>
  <c r="AH44" i="14"/>
  <c r="R44" i="14"/>
  <c r="Y83" i="14"/>
  <c r="I83" i="14"/>
  <c r="AF83" i="14"/>
  <c r="P83" i="14"/>
  <c r="AA83" i="14"/>
  <c r="K83" i="14"/>
  <c r="AE93" i="14"/>
  <c r="I93" i="14"/>
  <c r="S87" i="14"/>
  <c r="AA93" i="14"/>
  <c r="T87" i="14"/>
  <c r="R87" i="14"/>
  <c r="AH87" i="14"/>
  <c r="V93" i="14"/>
  <c r="S93" i="14"/>
  <c r="L87" i="14"/>
  <c r="AB93" i="14"/>
  <c r="AA87" i="14"/>
  <c r="K93" i="14"/>
  <c r="Y122" i="14"/>
  <c r="AF122" i="14"/>
  <c r="L122" i="14"/>
  <c r="W122" i="14"/>
  <c r="AI125" i="14"/>
  <c r="AD135" i="14"/>
  <c r="AG135" i="14"/>
  <c r="L174" i="14"/>
  <c r="AK165" i="14"/>
  <c r="S174" i="14"/>
  <c r="AI174" i="14"/>
  <c r="U174" i="14"/>
  <c r="AK174" i="14"/>
  <c r="Y165" i="14"/>
  <c r="P165" i="14"/>
  <c r="AF165" i="14"/>
  <c r="R165" i="14"/>
  <c r="AH165" i="14"/>
  <c r="Z174" i="14"/>
  <c r="K165" i="14"/>
  <c r="AG165" i="14"/>
  <c r="AF174" i="14"/>
  <c r="AI165" i="14"/>
  <c r="V161" i="14"/>
  <c r="U161" i="14"/>
  <c r="V139" i="14"/>
  <c r="AC139" i="14"/>
  <c r="M139" i="14"/>
  <c r="AF119" i="14"/>
  <c r="Z141" i="14"/>
  <c r="M119" i="14"/>
  <c r="Z83" i="14"/>
  <c r="AD174" i="14"/>
  <c r="K135" i="14"/>
  <c r="I141" i="14"/>
  <c r="AJ139" i="14"/>
  <c r="H174" i="14"/>
  <c r="S139" i="14"/>
  <c r="H139" i="14"/>
  <c r="AB177" i="14"/>
  <c r="U177" i="14"/>
  <c r="R177" i="14"/>
  <c r="K177" i="14"/>
  <c r="AE177" i="14"/>
  <c r="H177" i="14"/>
  <c r="R122" i="14"/>
  <c r="Z122" i="14"/>
  <c r="U25" i="14"/>
  <c r="AC83" i="14"/>
  <c r="AJ93" i="14"/>
  <c r="O93" i="14"/>
  <c r="X87" i="14"/>
  <c r="Y87" i="14"/>
  <c r="AD87" i="14"/>
  <c r="AH93" i="14"/>
  <c r="X93" i="14"/>
  <c r="Q87" i="14"/>
  <c r="P122" i="14"/>
  <c r="J141" i="14"/>
  <c r="R83" i="14"/>
  <c r="AK83" i="14"/>
  <c r="U83" i="14"/>
  <c r="AB83" i="14"/>
  <c r="L83" i="14"/>
  <c r="W83" i="14"/>
  <c r="Y93" i="14"/>
  <c r="AI87" i="14"/>
  <c r="M87" i="14"/>
  <c r="P93" i="14"/>
  <c r="I87" i="14"/>
  <c r="V87" i="14"/>
  <c r="J93" i="14"/>
  <c r="Z93" i="14"/>
  <c r="M93" i="14"/>
  <c r="AB87" i="14"/>
  <c r="W93" i="14"/>
  <c r="U87" i="14"/>
  <c r="AK93" i="14"/>
  <c r="AE87" i="14"/>
  <c r="Q122" i="14"/>
  <c r="AB122" i="14"/>
  <c r="H122" i="14"/>
  <c r="O122" i="14"/>
  <c r="I125" i="14"/>
  <c r="L135" i="14"/>
  <c r="AJ174" i="14"/>
  <c r="AC165" i="14"/>
  <c r="W174" i="14"/>
  <c r="I174" i="14"/>
  <c r="Y174" i="14"/>
  <c r="I165" i="14"/>
  <c r="T165" i="14"/>
  <c r="AJ165" i="14"/>
  <c r="V165" i="14"/>
  <c r="R174" i="14"/>
  <c r="Q165" i="14"/>
  <c r="P174" i="14"/>
  <c r="AE161" i="14"/>
  <c r="AK161" i="14"/>
  <c r="R139" i="14"/>
  <c r="Y139" i="14"/>
  <c r="I139" i="14"/>
  <c r="AC141" i="14"/>
  <c r="O141" i="14"/>
  <c r="AC119" i="14"/>
  <c r="N83" i="14"/>
  <c r="AE139" i="14"/>
  <c r="N174" i="14"/>
  <c r="AB139" i="14"/>
  <c r="K139" i="14"/>
  <c r="AF139" i="14"/>
  <c r="L177" i="14"/>
  <c r="AC177" i="14"/>
  <c r="V177" i="14"/>
  <c r="O177" i="14"/>
  <c r="AK177" i="14"/>
  <c r="AI119" i="14"/>
  <c r="AJ18" i="14"/>
  <c r="AF18" i="14"/>
  <c r="AB18" i="14"/>
  <c r="X18" i="14"/>
  <c r="T18" i="14"/>
  <c r="P18" i="14"/>
  <c r="L18" i="14"/>
  <c r="H18" i="14"/>
  <c r="AI18" i="14"/>
  <c r="AE18" i="14"/>
  <c r="AA18" i="14"/>
  <c r="W18" i="14"/>
  <c r="S18" i="14"/>
  <c r="O18" i="14"/>
  <c r="K18" i="14"/>
  <c r="AH18" i="14"/>
  <c r="AD18" i="14"/>
  <c r="Z18" i="14"/>
  <c r="V18" i="14"/>
  <c r="R18" i="14"/>
  <c r="N18" i="14"/>
  <c r="J18" i="14"/>
  <c r="AC18" i="14"/>
  <c r="M18" i="14"/>
  <c r="Y18" i="14"/>
  <c r="I18" i="14"/>
  <c r="AG18" i="14"/>
  <c r="U18" i="14"/>
  <c r="Q18" i="14"/>
  <c r="AK18" i="14"/>
  <c r="AH122" i="14"/>
  <c r="M186" i="14"/>
  <c r="N186" i="14"/>
  <c r="S186" i="14"/>
  <c r="Q186" i="14"/>
  <c r="AG186" i="14"/>
  <c r="R186" i="14"/>
  <c r="AH186" i="14"/>
  <c r="W186" i="14"/>
  <c r="X186" i="14"/>
  <c r="AC186" i="14"/>
  <c r="AD186" i="14"/>
  <c r="AI186" i="14"/>
  <c r="AF186" i="14"/>
  <c r="U186" i="14"/>
  <c r="AK186" i="14"/>
  <c r="V186" i="14"/>
  <c r="K186" i="14"/>
  <c r="AA186" i="14"/>
  <c r="AE184" i="14"/>
  <c r="T184" i="14"/>
  <c r="AJ184" i="14"/>
  <c r="U184" i="14"/>
  <c r="AK184" i="14"/>
  <c r="V184" i="14"/>
  <c r="AA184" i="14"/>
  <c r="L184" i="14"/>
  <c r="AB184" i="14"/>
  <c r="M184" i="14"/>
  <c r="AC184" i="14"/>
  <c r="N184" i="14"/>
  <c r="AD184" i="14"/>
  <c r="I177" i="14"/>
  <c r="Y177" i="14"/>
  <c r="N177" i="14"/>
  <c r="AD177" i="14"/>
  <c r="S177" i="14"/>
  <c r="AI158" i="14"/>
  <c r="AJ158" i="14"/>
  <c r="T177" i="14"/>
  <c r="AF177" i="14"/>
  <c r="X177" i="14"/>
  <c r="F178" i="14"/>
  <c r="P177" i="14"/>
  <c r="AJ177" i="14"/>
  <c r="F187" i="14"/>
  <c r="AB186" i="14"/>
  <c r="AJ186" i="14"/>
  <c r="T186" i="14"/>
  <c r="N161" i="14"/>
  <c r="W161" i="14"/>
  <c r="P161" i="14"/>
  <c r="AF161" i="14"/>
  <c r="Q161" i="14"/>
  <c r="AG161" i="14"/>
  <c r="S161" i="14"/>
  <c r="AH161" i="14"/>
  <c r="J161" i="14"/>
  <c r="AD161" i="14"/>
  <c r="H161" i="14"/>
  <c r="X161" i="14"/>
  <c r="I161" i="14"/>
  <c r="Y161" i="14"/>
  <c r="AA161" i="14"/>
  <c r="R161" i="14"/>
  <c r="O161" i="14"/>
  <c r="L161" i="14"/>
  <c r="AB161" i="14"/>
  <c r="M161" i="14"/>
  <c r="AC161" i="14"/>
  <c r="K161" i="14"/>
  <c r="L141" i="14"/>
  <c r="K141" i="14"/>
  <c r="P141" i="14"/>
  <c r="U141" i="14"/>
  <c r="V141" i="14"/>
  <c r="F142" i="14"/>
  <c r="AF141" i="14"/>
  <c r="M141" i="14"/>
  <c r="AB141" i="14"/>
  <c r="N141" i="14"/>
  <c r="AD141" i="14"/>
  <c r="S141" i="14"/>
  <c r="AI141" i="14"/>
  <c r="AK141" i="14"/>
  <c r="T141" i="14"/>
  <c r="R141" i="14"/>
  <c r="AH141" i="14"/>
  <c r="W141" i="14"/>
  <c r="X141" i="14"/>
  <c r="AG141" i="14"/>
  <c r="Y141" i="14"/>
  <c r="H141" i="14"/>
  <c r="Q141" i="14"/>
  <c r="AI135" i="14"/>
  <c r="AE135" i="14"/>
  <c r="N135" i="14"/>
  <c r="P135" i="14"/>
  <c r="Q135" i="14"/>
  <c r="S135" i="14"/>
  <c r="Z135" i="14"/>
  <c r="AB135" i="14"/>
  <c r="AC135" i="14"/>
  <c r="S125" i="14"/>
  <c r="U125" i="14"/>
  <c r="V125" i="14"/>
  <c r="P125" i="14"/>
  <c r="W125" i="14"/>
  <c r="Y125" i="14"/>
  <c r="Z125" i="14"/>
  <c r="K125" i="14"/>
  <c r="AA125" i="14"/>
  <c r="M125" i="14"/>
  <c r="AC125" i="14"/>
  <c r="N125" i="14"/>
  <c r="AD125" i="14"/>
  <c r="O135" i="14"/>
  <c r="H125" i="14"/>
  <c r="R135" i="14"/>
  <c r="AH135" i="14"/>
  <c r="T135" i="14"/>
  <c r="AJ135" i="14"/>
  <c r="U135" i="14"/>
  <c r="AK135" i="14"/>
  <c r="AA135" i="14"/>
  <c r="X125" i="14"/>
  <c r="F126" i="14"/>
  <c r="AB125" i="14"/>
  <c r="O125" i="14"/>
  <c r="AE125" i="14"/>
  <c r="Q125" i="14"/>
  <c r="AG125" i="14"/>
  <c r="R125" i="14"/>
  <c r="AH125" i="14"/>
  <c r="V135" i="14"/>
  <c r="H135" i="14"/>
  <c r="X135" i="14"/>
  <c r="I135" i="14"/>
  <c r="Y135" i="14"/>
  <c r="AF125" i="14"/>
  <c r="T125" i="14"/>
  <c r="U122" i="14"/>
  <c r="AJ122" i="14"/>
  <c r="T122" i="14"/>
  <c r="AI122" i="14"/>
  <c r="S122" i="14"/>
  <c r="AD122" i="14"/>
  <c r="T119" i="14"/>
  <c r="AG119" i="14"/>
  <c r="R119" i="14"/>
  <c r="P119" i="14"/>
  <c r="AB119" i="14"/>
  <c r="AE119" i="14"/>
  <c r="U119" i="14"/>
  <c r="AK119" i="14"/>
  <c r="V119" i="14"/>
  <c r="X119" i="14"/>
  <c r="Q119" i="14"/>
  <c r="AH119" i="14"/>
  <c r="H119" i="14"/>
  <c r="L119" i="14"/>
  <c r="W119" i="14"/>
  <c r="I119" i="14"/>
  <c r="Y119" i="14"/>
  <c r="J119" i="14"/>
  <c r="AJ115" i="14"/>
  <c r="AF115" i="14"/>
  <c r="AB115" i="14"/>
  <c r="X115" i="14"/>
  <c r="T115" i="14"/>
  <c r="P115" i="14"/>
  <c r="L115" i="14"/>
  <c r="H115" i="14"/>
  <c r="F116" i="14"/>
  <c r="AI115" i="14"/>
  <c r="AE115" i="14"/>
  <c r="AA115" i="14"/>
  <c r="W115" i="14"/>
  <c r="S115" i="14"/>
  <c r="O115" i="14"/>
  <c r="K115" i="14"/>
  <c r="AD115" i="14"/>
  <c r="V115" i="14"/>
  <c r="N115" i="14"/>
  <c r="AK115" i="14"/>
  <c r="AC115" i="14"/>
  <c r="U115" i="14"/>
  <c r="M115" i="14"/>
  <c r="AH115" i="14"/>
  <c r="Z115" i="14"/>
  <c r="R115" i="14"/>
  <c r="J115" i="14"/>
  <c r="AG115" i="14"/>
  <c r="Y115" i="14"/>
  <c r="Q115" i="14"/>
  <c r="I115" i="14"/>
  <c r="F113" i="14"/>
  <c r="AB112" i="14"/>
  <c r="AF112" i="14"/>
  <c r="AA119" i="14"/>
  <c r="K119" i="14"/>
  <c r="S119" i="14"/>
  <c r="AI95" i="14"/>
  <c r="M95" i="14"/>
  <c r="W95" i="14"/>
  <c r="AA95" i="14"/>
  <c r="J95" i="14"/>
  <c r="Z95" i="14"/>
  <c r="O95" i="14"/>
  <c r="F96" i="14"/>
  <c r="AE95" i="14"/>
  <c r="X95" i="14"/>
  <c r="AG95" i="14"/>
  <c r="L95" i="14"/>
  <c r="AK95" i="14"/>
  <c r="P95" i="14"/>
  <c r="R95" i="14"/>
  <c r="AH95" i="14"/>
  <c r="S95" i="14"/>
  <c r="AB95" i="14"/>
  <c r="AF95" i="14"/>
  <c r="K95" i="14"/>
  <c r="V95" i="14"/>
  <c r="T95" i="14"/>
  <c r="AK80" i="14"/>
  <c r="AF80" i="14"/>
  <c r="R80" i="14"/>
  <c r="AG80" i="14"/>
  <c r="AB80" i="14"/>
  <c r="H80" i="14"/>
  <c r="AD80" i="14"/>
  <c r="W80" i="14"/>
  <c r="N80" i="14"/>
  <c r="U80" i="14"/>
  <c r="L80" i="14"/>
  <c r="AE76" i="14"/>
  <c r="K76" i="14"/>
  <c r="AH76" i="14"/>
  <c r="J76" i="14"/>
  <c r="AK76" i="14"/>
  <c r="M76" i="14"/>
  <c r="AA76" i="14"/>
  <c r="Z76" i="14"/>
  <c r="AC76" i="14"/>
  <c r="I76" i="14"/>
  <c r="T76" i="14"/>
  <c r="F74" i="14"/>
  <c r="AK73" i="14"/>
  <c r="R73" i="14"/>
  <c r="W73" i="14"/>
  <c r="P73" i="14"/>
  <c r="AF73" i="14"/>
  <c r="K73" i="14"/>
  <c r="U73" i="14"/>
  <c r="J73" i="14"/>
  <c r="N73" i="14"/>
  <c r="AH73" i="14"/>
  <c r="AE73" i="14"/>
  <c r="T73" i="14"/>
  <c r="AJ73" i="14"/>
  <c r="S73" i="14"/>
  <c r="I73" i="14"/>
  <c r="Y73" i="14"/>
  <c r="V73" i="14"/>
  <c r="AD73" i="14"/>
  <c r="AI73" i="14"/>
  <c r="H73" i="14"/>
  <c r="X73" i="14"/>
  <c r="AG73" i="14"/>
  <c r="AB73" i="14"/>
  <c r="AC73" i="14"/>
  <c r="L73" i="14"/>
  <c r="O73" i="14"/>
  <c r="Q73" i="14"/>
  <c r="AA73" i="14"/>
  <c r="AE80" i="14"/>
  <c r="O80" i="14"/>
  <c r="Z80" i="14"/>
  <c r="J80" i="14"/>
  <c r="AC80" i="14"/>
  <c r="M80" i="14"/>
  <c r="AJ80" i="14"/>
  <c r="T80" i="14"/>
  <c r="AI76" i="14"/>
  <c r="F77" i="14"/>
  <c r="AA80" i="14"/>
  <c r="K80" i="14"/>
  <c r="S76" i="14"/>
  <c r="V80" i="14"/>
  <c r="AD76" i="14"/>
  <c r="N76" i="14"/>
  <c r="Y80" i="14"/>
  <c r="I80" i="14"/>
  <c r="AG76" i="14"/>
  <c r="Q76" i="14"/>
  <c r="X80" i="14"/>
  <c r="AJ76" i="14"/>
  <c r="AF76" i="14"/>
  <c r="L76" i="14"/>
  <c r="P80" i="14"/>
  <c r="AI69" i="14"/>
  <c r="AE69" i="14"/>
  <c r="AA69" i="14"/>
  <c r="W69" i="14"/>
  <c r="S69" i="14"/>
  <c r="O69" i="14"/>
  <c r="K69" i="14"/>
  <c r="AH69" i="14"/>
  <c r="AD69" i="14"/>
  <c r="Z69" i="14"/>
  <c r="V69" i="14"/>
  <c r="R69" i="14"/>
  <c r="N69" i="14"/>
  <c r="J69" i="14"/>
  <c r="AK69" i="14"/>
  <c r="AG69" i="14"/>
  <c r="AC69" i="14"/>
  <c r="Y69" i="14"/>
  <c r="U69" i="14"/>
  <c r="Q69" i="14"/>
  <c r="M69" i="14"/>
  <c r="I69" i="14"/>
  <c r="AJ69" i="14"/>
  <c r="AF69" i="14"/>
  <c r="AB69" i="14"/>
  <c r="X69" i="14"/>
  <c r="T69" i="14"/>
  <c r="P69" i="14"/>
  <c r="L69" i="14"/>
  <c r="H69" i="14"/>
  <c r="AG67" i="14"/>
  <c r="Q67" i="14"/>
  <c r="N67" i="14"/>
  <c r="X67" i="14"/>
  <c r="H67" i="14"/>
  <c r="AE67" i="14"/>
  <c r="O67" i="14"/>
  <c r="J67" i="14"/>
  <c r="AJ64" i="14"/>
  <c r="AF64" i="14"/>
  <c r="AB64" i="14"/>
  <c r="X64" i="14"/>
  <c r="T64" i="14"/>
  <c r="P64" i="14"/>
  <c r="L64" i="14"/>
  <c r="H64" i="14"/>
  <c r="AI64" i="14"/>
  <c r="AE64" i="14"/>
  <c r="AA64" i="14"/>
  <c r="W64" i="14"/>
  <c r="S64" i="14"/>
  <c r="O64" i="14"/>
  <c r="K64" i="14"/>
  <c r="AH64" i="14"/>
  <c r="AD64" i="14"/>
  <c r="Z64" i="14"/>
  <c r="V64" i="14"/>
  <c r="R64" i="14"/>
  <c r="N64" i="14"/>
  <c r="J64" i="14"/>
  <c r="AK64" i="14"/>
  <c r="AG64" i="14"/>
  <c r="AC64" i="14"/>
  <c r="Y64" i="14"/>
  <c r="U64" i="14"/>
  <c r="Q64" i="14"/>
  <c r="M64" i="14"/>
  <c r="I64" i="14"/>
  <c r="AH63" i="14"/>
  <c r="AD63" i="14"/>
  <c r="Z63" i="14"/>
  <c r="V63" i="14"/>
  <c r="R63" i="14"/>
  <c r="N63" i="14"/>
  <c r="J63" i="14"/>
  <c r="AK63" i="14"/>
  <c r="AG63" i="14"/>
  <c r="AC63" i="14"/>
  <c r="Y63" i="14"/>
  <c r="U63" i="14"/>
  <c r="Q63" i="14"/>
  <c r="M63" i="14"/>
  <c r="I63" i="14"/>
  <c r="AJ63" i="14"/>
  <c r="AF63" i="14"/>
  <c r="AB63" i="14"/>
  <c r="X63" i="14"/>
  <c r="T63" i="14"/>
  <c r="P63" i="14"/>
  <c r="L63" i="14"/>
  <c r="H63" i="14"/>
  <c r="AI63" i="14"/>
  <c r="AE63" i="14"/>
  <c r="AA63" i="14"/>
  <c r="W63" i="14"/>
  <c r="S63" i="14"/>
  <c r="O63" i="14"/>
  <c r="K63" i="14"/>
  <c r="AI60" i="14"/>
  <c r="AE60" i="14"/>
  <c r="AA60" i="14"/>
  <c r="W60" i="14"/>
  <c r="S60" i="14"/>
  <c r="O60" i="14"/>
  <c r="K60" i="14"/>
  <c r="AG60" i="14"/>
  <c r="AC60" i="14"/>
  <c r="Q60" i="14"/>
  <c r="I60" i="14"/>
  <c r="AJ60" i="14"/>
  <c r="AB60" i="14"/>
  <c r="T60" i="14"/>
  <c r="L60" i="14"/>
  <c r="AH60" i="14"/>
  <c r="AD60" i="14"/>
  <c r="Z60" i="14"/>
  <c r="V60" i="14"/>
  <c r="R60" i="14"/>
  <c r="N60" i="14"/>
  <c r="J60" i="14"/>
  <c r="AK60" i="14"/>
  <c r="Y60" i="14"/>
  <c r="U60" i="14"/>
  <c r="M60" i="14"/>
  <c r="AF60" i="14"/>
  <c r="X60" i="14"/>
  <c r="P60" i="14"/>
  <c r="H60" i="14"/>
  <c r="F61" i="14"/>
  <c r="F70" i="14"/>
  <c r="F19" i="14"/>
  <c r="AA28" i="14" l="1"/>
  <c r="AK15" i="14"/>
  <c r="AG15" i="14"/>
  <c r="AC15" i="14"/>
  <c r="Y15" i="14"/>
  <c r="U15" i="14"/>
  <c r="Q15" i="14"/>
  <c r="M15" i="14"/>
  <c r="I15" i="14"/>
  <c r="R15" i="14"/>
  <c r="AJ15" i="14"/>
  <c r="AF15" i="14"/>
  <c r="AB15" i="14"/>
  <c r="X15" i="14"/>
  <c r="T15" i="14"/>
  <c r="P15" i="14"/>
  <c r="L15" i="14"/>
  <c r="H15" i="14"/>
  <c r="AD15" i="14"/>
  <c r="V15" i="14"/>
  <c r="J15" i="14"/>
  <c r="AI15" i="14"/>
  <c r="AE15" i="14"/>
  <c r="AA15" i="14"/>
  <c r="W15" i="14"/>
  <c r="S15" i="14"/>
  <c r="O15" i="14"/>
  <c r="K15" i="14"/>
  <c r="AH15" i="14"/>
  <c r="Z15" i="14"/>
  <c r="N15" i="14"/>
  <c r="AH41" i="14"/>
  <c r="Y22" i="14"/>
  <c r="AJ12" i="14"/>
  <c r="AF12" i="14"/>
  <c r="AB12" i="14"/>
  <c r="X12" i="14"/>
  <c r="T12" i="14"/>
  <c r="P12" i="14"/>
  <c r="L12" i="14"/>
  <c r="H12" i="14"/>
  <c r="AI12" i="14"/>
  <c r="AE12" i="14"/>
  <c r="AA12" i="14"/>
  <c r="W12" i="14"/>
  <c r="S12" i="14"/>
  <c r="O12" i="14"/>
  <c r="K12" i="14"/>
  <c r="AK12" i="14"/>
  <c r="AC12" i="14"/>
  <c r="U12" i="14"/>
  <c r="M12" i="14"/>
  <c r="AH12" i="14"/>
  <c r="Z12" i="14"/>
  <c r="R12" i="14"/>
  <c r="J12" i="14"/>
  <c r="AG12" i="14"/>
  <c r="Q12" i="14"/>
  <c r="Y12" i="14"/>
  <c r="V12" i="14"/>
  <c r="AD12" i="14"/>
  <c r="N12" i="14"/>
  <c r="I12" i="14"/>
  <c r="AI22" i="14"/>
  <c r="AK28" i="14"/>
  <c r="V67" i="14"/>
  <c r="S67" i="14"/>
  <c r="AI67" i="14"/>
  <c r="L67" i="14"/>
  <c r="AB67" i="14"/>
  <c r="Z67" i="14"/>
  <c r="U67" i="14"/>
  <c r="AK67" i="14"/>
  <c r="AD25" i="14"/>
  <c r="AD67" i="14"/>
  <c r="W67" i="14"/>
  <c r="R67" i="14"/>
  <c r="P67" i="14"/>
  <c r="AF67" i="14"/>
  <c r="I67" i="14"/>
  <c r="Y67" i="14"/>
  <c r="AI25" i="14"/>
  <c r="K67" i="14"/>
  <c r="AA67" i="14"/>
  <c r="AH67" i="14"/>
  <c r="T67" i="14"/>
  <c r="AJ67" i="14"/>
  <c r="M67" i="14"/>
  <c r="Y25" i="14"/>
  <c r="AK9" i="14"/>
  <c r="AG9" i="14"/>
  <c r="AC9" i="14"/>
  <c r="Y9" i="14"/>
  <c r="U9" i="14"/>
  <c r="Q9" i="14"/>
  <c r="M9" i="14"/>
  <c r="I9" i="14"/>
  <c r="R9" i="14"/>
  <c r="J9" i="14"/>
  <c r="AJ9" i="14"/>
  <c r="AF9" i="14"/>
  <c r="AB9" i="14"/>
  <c r="X9" i="14"/>
  <c r="T9" i="14"/>
  <c r="P9" i="14"/>
  <c r="L9" i="14"/>
  <c r="H9" i="14"/>
  <c r="V9" i="14"/>
  <c r="AI9" i="14"/>
  <c r="AE9" i="14"/>
  <c r="AA9" i="14"/>
  <c r="W9" i="14"/>
  <c r="S9" i="14"/>
  <c r="O9" i="14"/>
  <c r="K9" i="14"/>
  <c r="AH9" i="14"/>
  <c r="AD9" i="14"/>
  <c r="Z9" i="14"/>
  <c r="N9" i="14"/>
  <c r="H6" i="14"/>
  <c r="L6" i="14"/>
  <c r="P6" i="14"/>
  <c r="T6" i="14"/>
  <c r="X6" i="14"/>
  <c r="AB6" i="14"/>
  <c r="AF6" i="14"/>
  <c r="AJ6" i="14"/>
  <c r="I6" i="14"/>
  <c r="M6" i="14"/>
  <c r="Q6" i="14"/>
  <c r="U6" i="14"/>
  <c r="Y6" i="14"/>
  <c r="AC6" i="14"/>
  <c r="AG6" i="14"/>
  <c r="AK6" i="14"/>
  <c r="K6" i="14"/>
  <c r="O6" i="14"/>
  <c r="S6" i="14"/>
  <c r="W6" i="14"/>
  <c r="AA6" i="14"/>
  <c r="AE6" i="14"/>
  <c r="AI6" i="14"/>
  <c r="V6" i="14"/>
  <c r="J6" i="14"/>
  <c r="Z6" i="14"/>
  <c r="N6" i="14"/>
  <c r="AD6" i="14"/>
  <c r="R6" i="14"/>
  <c r="AH6" i="14"/>
  <c r="T22" i="14"/>
  <c r="N22" i="14"/>
  <c r="L22" i="14"/>
  <c r="AD22" i="14"/>
  <c r="I22" i="14"/>
  <c r="S22" i="14"/>
  <c r="I25" i="14"/>
  <c r="M25" i="14"/>
  <c r="Z25" i="14"/>
  <c r="AE25" i="14"/>
  <c r="X25" i="14"/>
  <c r="AB25" i="14"/>
  <c r="J25" i="14"/>
  <c r="O25" i="14"/>
  <c r="AF25" i="14"/>
  <c r="AJ25" i="14"/>
  <c r="N25" i="14"/>
  <c r="S25" i="14"/>
  <c r="H22" i="14"/>
  <c r="P22" i="14"/>
  <c r="Q22" i="14"/>
  <c r="AG22" i="14"/>
  <c r="V22" i="14"/>
  <c r="K22" i="14"/>
  <c r="AA22" i="14"/>
  <c r="J22" i="14"/>
  <c r="AJ22" i="14"/>
  <c r="AF22" i="14"/>
  <c r="U22" i="14"/>
  <c r="AK22" i="14"/>
  <c r="Z22" i="14"/>
  <c r="O22" i="14"/>
  <c r="AE22" i="14"/>
  <c r="X22" i="14"/>
  <c r="AB22" i="14"/>
  <c r="M22" i="14"/>
  <c r="AC22" i="14"/>
  <c r="R22" i="14"/>
  <c r="AH22" i="14"/>
  <c r="AF41" i="14"/>
  <c r="K41" i="14"/>
  <c r="AG41" i="14"/>
  <c r="P41" i="14"/>
  <c r="R41" i="14"/>
  <c r="AI41" i="14"/>
  <c r="Q41" i="14"/>
  <c r="K28" i="14"/>
  <c r="AE41" i="14"/>
  <c r="W41" i="14"/>
  <c r="L41" i="14"/>
  <c r="AB41" i="14"/>
  <c r="M41" i="14"/>
  <c r="AC41" i="14"/>
  <c r="N41" i="14"/>
  <c r="AD41" i="14"/>
  <c r="Y28" i="14"/>
  <c r="L28" i="14"/>
  <c r="O41" i="14"/>
  <c r="AA41" i="14"/>
  <c r="T41" i="14"/>
  <c r="AJ41" i="14"/>
  <c r="U41" i="14"/>
  <c r="AK41" i="14"/>
  <c r="V41" i="14"/>
  <c r="J28" i="14"/>
  <c r="AB28" i="14"/>
  <c r="S41" i="14"/>
  <c r="H41" i="14"/>
  <c r="X41" i="14"/>
  <c r="I41" i="14"/>
  <c r="Y41" i="14"/>
  <c r="J41" i="14"/>
  <c r="P25" i="14"/>
  <c r="L25" i="14"/>
  <c r="Q25" i="14"/>
  <c r="AC25" i="14"/>
  <c r="R25" i="14"/>
  <c r="AH25" i="14"/>
  <c r="W25" i="14"/>
  <c r="H25" i="14"/>
  <c r="T25" i="14"/>
  <c r="AG25" i="14"/>
  <c r="AK25" i="14"/>
  <c r="V25" i="14"/>
  <c r="K25" i="14"/>
  <c r="AC28" i="14"/>
  <c r="I28" i="14"/>
  <c r="N28" i="14"/>
  <c r="Z28" i="14"/>
  <c r="S28" i="14"/>
  <c r="AI28" i="14"/>
  <c r="T28" i="14"/>
  <c r="AJ28" i="14"/>
  <c r="U28" i="14"/>
  <c r="Q28" i="14"/>
  <c r="AD28" i="14"/>
  <c r="AH28" i="14"/>
  <c r="W28" i="14"/>
  <c r="H28" i="14"/>
  <c r="X28" i="14"/>
  <c r="M28" i="14"/>
  <c r="V28" i="14"/>
  <c r="AG28" i="14"/>
  <c r="R28" i="14"/>
  <c r="O28" i="14"/>
  <c r="AE28" i="14"/>
  <c r="P28" i="14"/>
  <c r="AH19" i="14"/>
  <c r="AD19" i="14"/>
  <c r="Z19" i="14"/>
  <c r="V19" i="14"/>
  <c r="R19" i="14"/>
  <c r="N19" i="14"/>
  <c r="J19" i="14"/>
  <c r="AK19" i="14"/>
  <c r="AG19" i="14"/>
  <c r="AC19" i="14"/>
  <c r="Y19" i="14"/>
  <c r="U19" i="14"/>
  <c r="Q19" i="14"/>
  <c r="M19" i="14"/>
  <c r="I19" i="14"/>
  <c r="AJ19" i="14"/>
  <c r="AF19" i="14"/>
  <c r="AB19" i="14"/>
  <c r="X19" i="14"/>
  <c r="T19" i="14"/>
  <c r="P19" i="14"/>
  <c r="L19" i="14"/>
  <c r="H19" i="14"/>
  <c r="AE19" i="14"/>
  <c r="O19" i="14"/>
  <c r="AA19" i="14"/>
  <c r="K19" i="14"/>
  <c r="AI19" i="14"/>
  <c r="W19" i="14"/>
  <c r="S19" i="14"/>
  <c r="AD178" i="14"/>
  <c r="N178" i="14"/>
  <c r="Y178" i="14"/>
  <c r="I178" i="14"/>
  <c r="X178" i="14"/>
  <c r="H178" i="14"/>
  <c r="AA178" i="14"/>
  <c r="AI178" i="14"/>
  <c r="O178" i="14"/>
  <c r="Z178" i="14"/>
  <c r="J178" i="14"/>
  <c r="U178" i="14"/>
  <c r="AJ178" i="14"/>
  <c r="T178" i="14"/>
  <c r="AE178" i="14"/>
  <c r="V178" i="14"/>
  <c r="AG178" i="14"/>
  <c r="Q178" i="14"/>
  <c r="AF178" i="14"/>
  <c r="P178" i="14"/>
  <c r="S178" i="14"/>
  <c r="W178" i="14"/>
  <c r="AK178" i="14"/>
  <c r="AH178" i="14"/>
  <c r="R178" i="14"/>
  <c r="AC178" i="14"/>
  <c r="M178" i="14"/>
  <c r="AB178" i="14"/>
  <c r="L178" i="14"/>
  <c r="K178" i="14"/>
  <c r="V187" i="14"/>
  <c r="Z187" i="14"/>
  <c r="J187" i="14"/>
  <c r="AG187" i="14"/>
  <c r="Q187" i="14"/>
  <c r="AF187" i="14"/>
  <c r="P187" i="14"/>
  <c r="AE187" i="14"/>
  <c r="O187" i="14"/>
  <c r="N187" i="14"/>
  <c r="AC187" i="14"/>
  <c r="M187" i="14"/>
  <c r="AB187" i="14"/>
  <c r="L187" i="14"/>
  <c r="AA187" i="14"/>
  <c r="K187" i="14"/>
  <c r="AD187" i="14"/>
  <c r="R187" i="14"/>
  <c r="Y187" i="14"/>
  <c r="I187" i="14"/>
  <c r="X187" i="14"/>
  <c r="H187" i="14"/>
  <c r="W187" i="14"/>
  <c r="AH187" i="14"/>
  <c r="AK187" i="14"/>
  <c r="U187" i="14"/>
  <c r="AJ187" i="14"/>
  <c r="T187" i="14"/>
  <c r="AI187" i="14"/>
  <c r="S187" i="14"/>
  <c r="AD142" i="14"/>
  <c r="R142" i="14"/>
  <c r="K142" i="14"/>
  <c r="AH142" i="14"/>
  <c r="V142" i="14"/>
  <c r="AG142" i="14"/>
  <c r="Q142" i="14"/>
  <c r="AF142" i="14"/>
  <c r="P142" i="14"/>
  <c r="Z142" i="14"/>
  <c r="I142" i="14"/>
  <c r="H142" i="14"/>
  <c r="S142" i="14"/>
  <c r="J142" i="14"/>
  <c r="AA142" i="14"/>
  <c r="AC142" i="14"/>
  <c r="M142" i="14"/>
  <c r="AB142" i="14"/>
  <c r="L142" i="14"/>
  <c r="O142" i="14"/>
  <c r="AI142" i="14"/>
  <c r="Y142" i="14"/>
  <c r="X142" i="14"/>
  <c r="W142" i="14"/>
  <c r="N142" i="14"/>
  <c r="AK142" i="14"/>
  <c r="U142" i="14"/>
  <c r="AJ142" i="14"/>
  <c r="T142" i="14"/>
  <c r="AE142" i="14"/>
  <c r="V126" i="14"/>
  <c r="X126" i="14"/>
  <c r="H126" i="14"/>
  <c r="W126" i="14"/>
  <c r="AK126" i="14"/>
  <c r="U126" i="14"/>
  <c r="AF126" i="14"/>
  <c r="P126" i="14"/>
  <c r="O126" i="14"/>
  <c r="M126" i="14"/>
  <c r="AH126" i="14"/>
  <c r="AD126" i="14"/>
  <c r="AB126" i="14"/>
  <c r="AA126" i="14"/>
  <c r="I126" i="14"/>
  <c r="Z126" i="14"/>
  <c r="AJ126" i="14"/>
  <c r="T126" i="14"/>
  <c r="AI126" i="14"/>
  <c r="S126" i="14"/>
  <c r="AG126" i="14"/>
  <c r="Q126" i="14"/>
  <c r="R126" i="14"/>
  <c r="N126" i="14"/>
  <c r="AE126" i="14"/>
  <c r="AC126" i="14"/>
  <c r="J126" i="14"/>
  <c r="L126" i="14"/>
  <c r="K126" i="14"/>
  <c r="Y126" i="14"/>
  <c r="S113" i="14"/>
  <c r="AH113" i="14"/>
  <c r="H113" i="14"/>
  <c r="X113" i="14"/>
  <c r="I113" i="14"/>
  <c r="Y113" i="14"/>
  <c r="J113" i="14"/>
  <c r="Z113" i="14"/>
  <c r="K113" i="14"/>
  <c r="AF113" i="14"/>
  <c r="AG113" i="14"/>
  <c r="W113" i="14"/>
  <c r="AJ113" i="14"/>
  <c r="AK113" i="14"/>
  <c r="AA113" i="14"/>
  <c r="AI113" i="14"/>
  <c r="O113" i="14"/>
  <c r="L113" i="14"/>
  <c r="AB113" i="14"/>
  <c r="M113" i="14"/>
  <c r="AC113" i="14"/>
  <c r="N113" i="14"/>
  <c r="AD113" i="14"/>
  <c r="P113" i="14"/>
  <c r="Q113" i="14"/>
  <c r="R113" i="14"/>
  <c r="AE113" i="14"/>
  <c r="T113" i="14"/>
  <c r="U113" i="14"/>
  <c r="V113" i="14"/>
  <c r="AH116" i="14"/>
  <c r="AD116" i="14"/>
  <c r="Z116" i="14"/>
  <c r="V116" i="14"/>
  <c r="R116" i="14"/>
  <c r="N116" i="14"/>
  <c r="J116" i="14"/>
  <c r="AK116" i="14"/>
  <c r="AG116" i="14"/>
  <c r="AC116" i="14"/>
  <c r="Y116" i="14"/>
  <c r="U116" i="14"/>
  <c r="Q116" i="14"/>
  <c r="M116" i="14"/>
  <c r="I116" i="14"/>
  <c r="AF116" i="14"/>
  <c r="X116" i="14"/>
  <c r="P116" i="14"/>
  <c r="H116" i="14"/>
  <c r="AE116" i="14"/>
  <c r="W116" i="14"/>
  <c r="O116" i="14"/>
  <c r="AJ116" i="14"/>
  <c r="AB116" i="14"/>
  <c r="T116" i="14"/>
  <c r="L116" i="14"/>
  <c r="AI116" i="14"/>
  <c r="AA116" i="14"/>
  <c r="S116" i="14"/>
  <c r="K116" i="14"/>
  <c r="O96" i="14"/>
  <c r="U96" i="14"/>
  <c r="AG96" i="14"/>
  <c r="W96" i="14"/>
  <c r="AK96" i="14"/>
  <c r="AB96" i="14"/>
  <c r="L96" i="14"/>
  <c r="S96" i="14"/>
  <c r="AE96" i="14"/>
  <c r="I96" i="14"/>
  <c r="M96" i="14"/>
  <c r="Z96" i="14"/>
  <c r="J96" i="14"/>
  <c r="X96" i="14"/>
  <c r="H96" i="14"/>
  <c r="Y96" i="14"/>
  <c r="R96" i="14"/>
  <c r="V96" i="14"/>
  <c r="T96" i="14"/>
  <c r="AC96" i="14"/>
  <c r="AA96" i="14"/>
  <c r="Q96" i="14"/>
  <c r="K96" i="14"/>
  <c r="AF96" i="14"/>
  <c r="P96" i="14"/>
  <c r="N96" i="14"/>
  <c r="AI96" i="14"/>
  <c r="AH96" i="14"/>
  <c r="AJ96" i="14"/>
  <c r="AD96" i="14"/>
  <c r="AI74" i="14"/>
  <c r="Q74" i="14"/>
  <c r="AF74" i="14"/>
  <c r="T74" i="14"/>
  <c r="AC74" i="14"/>
  <c r="R74" i="14"/>
  <c r="AH74" i="14"/>
  <c r="K74" i="14"/>
  <c r="AA74" i="14"/>
  <c r="AG74" i="14"/>
  <c r="H74" i="14"/>
  <c r="AB74" i="14"/>
  <c r="AK74" i="14"/>
  <c r="V74" i="14"/>
  <c r="O74" i="14"/>
  <c r="AE74" i="14"/>
  <c r="X74" i="14"/>
  <c r="I74" i="14"/>
  <c r="AJ74" i="14"/>
  <c r="M74" i="14"/>
  <c r="J74" i="14"/>
  <c r="Z74" i="14"/>
  <c r="Y74" i="14"/>
  <c r="U74" i="14"/>
  <c r="AD74" i="14"/>
  <c r="W74" i="14"/>
  <c r="L74" i="14"/>
  <c r="P74" i="14"/>
  <c r="N74" i="14"/>
  <c r="S74" i="14"/>
  <c r="AK77" i="14"/>
  <c r="S77" i="14"/>
  <c r="AI77" i="14"/>
  <c r="AH77" i="14"/>
  <c r="P77" i="14"/>
  <c r="AF77" i="14"/>
  <c r="AD77" i="14"/>
  <c r="I77" i="14"/>
  <c r="Y77" i="14"/>
  <c r="W77" i="14"/>
  <c r="T77" i="14"/>
  <c r="AJ77" i="14"/>
  <c r="M77" i="14"/>
  <c r="AC77" i="14"/>
  <c r="N77" i="14"/>
  <c r="K77" i="14"/>
  <c r="AA77" i="14"/>
  <c r="R77" i="14"/>
  <c r="H77" i="14"/>
  <c r="X77" i="14"/>
  <c r="Q77" i="14"/>
  <c r="AG77" i="14"/>
  <c r="U77" i="14"/>
  <c r="Z77" i="14"/>
  <c r="V77" i="14"/>
  <c r="L77" i="14"/>
  <c r="J77" i="14"/>
  <c r="O77" i="14"/>
  <c r="AB77" i="14"/>
  <c r="AE77" i="14"/>
  <c r="AK70" i="14"/>
  <c r="AG70" i="14"/>
  <c r="AC70" i="14"/>
  <c r="Y70" i="14"/>
  <c r="U70" i="14"/>
  <c r="Q70" i="14"/>
  <c r="M70" i="14"/>
  <c r="I70" i="14"/>
  <c r="AJ70" i="14"/>
  <c r="AF70" i="14"/>
  <c r="AB70" i="14"/>
  <c r="X70" i="14"/>
  <c r="T70" i="14"/>
  <c r="P70" i="14"/>
  <c r="L70" i="14"/>
  <c r="H70" i="14"/>
  <c r="AI70" i="14"/>
  <c r="AE70" i="14"/>
  <c r="AA70" i="14"/>
  <c r="W70" i="14"/>
  <c r="S70" i="14"/>
  <c r="O70" i="14"/>
  <c r="K70" i="14"/>
  <c r="AH70" i="14"/>
  <c r="AD70" i="14"/>
  <c r="Z70" i="14"/>
  <c r="V70" i="14"/>
  <c r="R70" i="14"/>
  <c r="N70" i="14"/>
  <c r="J70" i="14"/>
  <c r="AK61" i="14"/>
  <c r="AG61" i="14"/>
  <c r="AC61" i="14"/>
  <c r="Y61" i="14"/>
  <c r="U61" i="14"/>
  <c r="Q61" i="14"/>
  <c r="M61" i="14"/>
  <c r="I61" i="14"/>
  <c r="AI61" i="14"/>
  <c r="AA61" i="14"/>
  <c r="S61" i="14"/>
  <c r="K61" i="14"/>
  <c r="AD61" i="14"/>
  <c r="V61" i="14"/>
  <c r="N61" i="14"/>
  <c r="AJ61" i="14"/>
  <c r="AF61" i="14"/>
  <c r="AB61" i="14"/>
  <c r="X61" i="14"/>
  <c r="T61" i="14"/>
  <c r="P61" i="14"/>
  <c r="L61" i="14"/>
  <c r="H61" i="14"/>
  <c r="AE61" i="14"/>
  <c r="W61" i="14"/>
  <c r="O61" i="14"/>
  <c r="AH61" i="14"/>
  <c r="Z61" i="14"/>
  <c r="R61" i="14"/>
  <c r="J61" i="14"/>
  <c r="E7" i="10" l="1"/>
  <c r="E8" i="10" s="1"/>
  <c r="D7" i="10"/>
  <c r="D8" i="10" s="1"/>
  <c r="C7" i="10"/>
  <c r="C8" i="10" s="1"/>
  <c r="F8" i="13" l="1"/>
  <c r="F7" i="13"/>
  <c r="F6" i="13"/>
  <c r="D8" i="13"/>
  <c r="D7" i="13"/>
  <c r="C7" i="13"/>
  <c r="C8" i="13" s="1"/>
  <c r="D88" i="18" l="1"/>
  <c r="D85" i="18"/>
  <c r="D76" i="18"/>
  <c r="D73" i="18"/>
  <c r="D64" i="18"/>
  <c r="D61" i="18"/>
  <c r="D57" i="18"/>
  <c r="D54" i="18"/>
  <c r="D51" i="18"/>
  <c r="D45" i="18"/>
  <c r="D36" i="18"/>
  <c r="C36" i="18" s="1"/>
  <c r="D89" i="18"/>
  <c r="D86" i="18"/>
  <c r="D81" i="18"/>
  <c r="D79" i="18"/>
  <c r="D77" i="18"/>
  <c r="D74" i="18"/>
  <c r="D69" i="18"/>
  <c r="D67" i="18"/>
  <c r="D65" i="18"/>
  <c r="D55" i="18"/>
  <c r="D49" i="18"/>
  <c r="D46" i="18"/>
  <c r="D43" i="18"/>
  <c r="D38" i="18"/>
  <c r="D37" i="18"/>
  <c r="D87" i="18"/>
  <c r="D83" i="18"/>
  <c r="D82" i="18"/>
  <c r="D75" i="18"/>
  <c r="D71" i="18"/>
  <c r="D70" i="18"/>
  <c r="D62" i="18"/>
  <c r="D59" i="18"/>
  <c r="D58" i="18"/>
  <c r="D53" i="18"/>
  <c r="D52" i="18"/>
  <c r="D50" i="18"/>
  <c r="D47" i="18"/>
  <c r="D44" i="18"/>
  <c r="D40" i="18"/>
  <c r="D39" i="18"/>
  <c r="D84" i="18"/>
  <c r="D80" i="18"/>
  <c r="D78" i="18"/>
  <c r="D72" i="18"/>
  <c r="D68" i="18"/>
  <c r="D66" i="18"/>
  <c r="D63" i="18"/>
  <c r="D60" i="18"/>
  <c r="D56" i="18"/>
  <c r="D48" i="18"/>
  <c r="D42" i="18"/>
  <c r="D41" i="18"/>
  <c r="D30" i="18"/>
  <c r="D29" i="18"/>
  <c r="D19" i="18"/>
  <c r="D13" i="18"/>
  <c r="D8" i="18"/>
  <c r="D33" i="18"/>
  <c r="D26" i="18"/>
  <c r="D23" i="18"/>
  <c r="D22" i="18"/>
  <c r="D17" i="18"/>
  <c r="D16" i="18"/>
  <c r="D14" i="18"/>
  <c r="D11" i="18"/>
  <c r="D10" i="18"/>
  <c r="D9" i="18"/>
  <c r="D7" i="18"/>
  <c r="D34" i="18"/>
  <c r="D31" i="18"/>
  <c r="D27" i="18"/>
  <c r="D24" i="18"/>
  <c r="D20" i="18"/>
  <c r="D12" i="18"/>
  <c r="D35" i="18"/>
  <c r="D32" i="18"/>
  <c r="D28" i="18"/>
  <c r="D25" i="18"/>
  <c r="D21" i="18"/>
  <c r="D18" i="18"/>
  <c r="D15" i="18"/>
  <c r="D6" i="18"/>
  <c r="C6" i="18" s="1"/>
  <c r="D156" i="18"/>
  <c r="D153" i="18"/>
  <c r="D150" i="18"/>
  <c r="D140" i="18"/>
  <c r="D135" i="18"/>
  <c r="D133" i="18"/>
  <c r="D127" i="18"/>
  <c r="D123" i="18"/>
  <c r="D120" i="18"/>
  <c r="D114" i="18"/>
  <c r="D111" i="18"/>
  <c r="D108" i="18"/>
  <c r="D95" i="18"/>
  <c r="D94" i="18"/>
  <c r="D157" i="18"/>
  <c r="D154" i="18"/>
  <c r="D151" i="18"/>
  <c r="D146" i="18"/>
  <c r="D144" i="18"/>
  <c r="D141" i="18"/>
  <c r="D131" i="18"/>
  <c r="D128" i="18"/>
  <c r="D117" i="18"/>
  <c r="D116" i="18"/>
  <c r="D115" i="18"/>
  <c r="D112" i="18"/>
  <c r="D109" i="18"/>
  <c r="D104" i="18"/>
  <c r="D102" i="18"/>
  <c r="D99" i="18"/>
  <c r="D96" i="18"/>
  <c r="D93" i="18"/>
  <c r="D92" i="18"/>
  <c r="D91" i="18"/>
  <c r="D152" i="18"/>
  <c r="D148" i="18"/>
  <c r="D147" i="18"/>
  <c r="D142" i="18"/>
  <c r="D136" i="18"/>
  <c r="D134" i="18"/>
  <c r="D132" i="18"/>
  <c r="D129" i="18"/>
  <c r="D124" i="18"/>
  <c r="D121" i="18"/>
  <c r="D118" i="18"/>
  <c r="D110" i="18"/>
  <c r="D106" i="18"/>
  <c r="D105" i="18"/>
  <c r="D100" i="18"/>
  <c r="D97" i="18"/>
  <c r="D155" i="18"/>
  <c r="D149" i="18"/>
  <c r="D145" i="18"/>
  <c r="D143" i="18"/>
  <c r="D139" i="18"/>
  <c r="D138" i="18"/>
  <c r="D137" i="18"/>
  <c r="D130" i="18"/>
  <c r="D126" i="18"/>
  <c r="D125" i="18"/>
  <c r="D122" i="18"/>
  <c r="D119" i="18"/>
  <c r="D113" i="18"/>
  <c r="D107" i="18"/>
  <c r="D103" i="18"/>
  <c r="D101" i="18"/>
  <c r="D98" i="18"/>
  <c r="D90" i="18"/>
  <c r="C90" i="18" s="1"/>
  <c r="C91" i="18" l="1"/>
  <c r="C92" i="18"/>
  <c r="C9" i="18"/>
  <c r="C7" i="18"/>
  <c r="C8" i="18" s="1"/>
  <c r="C39" i="18"/>
  <c r="C37" i="18"/>
  <c r="C38" i="18" s="1"/>
  <c r="C15" i="18" l="1"/>
  <c r="C10" i="18"/>
  <c r="C11" i="18" s="1"/>
  <c r="C12" i="18" s="1"/>
  <c r="C13" i="18" s="1"/>
  <c r="C14" i="18" s="1"/>
  <c r="C108" i="18"/>
  <c r="C93" i="18"/>
  <c r="C94" i="18" s="1"/>
  <c r="C95" i="18" s="1"/>
  <c r="C96" i="18" s="1"/>
  <c r="C97" i="18" s="1"/>
  <c r="C98" i="18" s="1"/>
  <c r="C99" i="18" s="1"/>
  <c r="C100" i="18" s="1"/>
  <c r="C101" i="18" s="1"/>
  <c r="C102" i="18" s="1"/>
  <c r="C103" i="18" s="1"/>
  <c r="C104" i="18" s="1"/>
  <c r="C105" i="18" s="1"/>
  <c r="C106" i="18" s="1"/>
  <c r="C107" i="18" s="1"/>
  <c r="C40" i="18"/>
  <c r="C41" i="18" s="1"/>
  <c r="C42" i="18" s="1"/>
  <c r="C43" i="18" s="1"/>
  <c r="C44" i="18" s="1"/>
  <c r="C45" i="18" s="1"/>
  <c r="C46" i="18" s="1"/>
  <c r="C47" i="18" s="1"/>
  <c r="C48" i="18" s="1"/>
  <c r="C49" i="18" s="1"/>
  <c r="C50" i="18" s="1"/>
  <c r="C51" i="18"/>
  <c r="C109" i="18" l="1"/>
  <c r="C110" i="18" s="1"/>
  <c r="C111" i="18" s="1"/>
  <c r="C112" i="18" s="1"/>
  <c r="C113" i="18" s="1"/>
  <c r="C114" i="18" s="1"/>
  <c r="C115" i="18" s="1"/>
  <c r="C116" i="18" s="1"/>
  <c r="C117" i="18" s="1"/>
  <c r="C118" i="18" s="1"/>
  <c r="C119" i="18" s="1"/>
  <c r="C120" i="18" s="1"/>
  <c r="C121" i="18" s="1"/>
  <c r="C122" i="18" s="1"/>
  <c r="C123" i="18" s="1"/>
  <c r="C124" i="18"/>
  <c r="C52" i="18"/>
  <c r="C53" i="18" s="1"/>
  <c r="C54" i="18" s="1"/>
  <c r="C55" i="18" s="1"/>
  <c r="C56" i="18" s="1"/>
  <c r="C57" i="18" s="1"/>
  <c r="C58" i="18" s="1"/>
  <c r="C59" i="18" s="1"/>
  <c r="C60" i="18" s="1"/>
  <c r="C61" i="18" s="1"/>
  <c r="C62" i="18" s="1"/>
  <c r="C63" i="18"/>
  <c r="C21" i="18"/>
  <c r="C16" i="18"/>
  <c r="C17" i="18" s="1"/>
  <c r="C18" i="18" s="1"/>
  <c r="C19" i="18" s="1"/>
  <c r="C20" i="18" s="1"/>
  <c r="C64" i="18" l="1"/>
  <c r="C65" i="18" s="1"/>
  <c r="C66" i="18" s="1"/>
  <c r="C67" i="18" s="1"/>
  <c r="C68" i="18" s="1"/>
  <c r="C69" i="18" s="1"/>
  <c r="C70" i="18" s="1"/>
  <c r="C71" i="18" s="1"/>
  <c r="C72" i="18" s="1"/>
  <c r="C73" i="18" s="1"/>
  <c r="C74" i="18" s="1"/>
  <c r="C75" i="18"/>
  <c r="C140" i="18"/>
  <c r="C125" i="18"/>
  <c r="C126" i="18" s="1"/>
  <c r="C127" i="18" s="1"/>
  <c r="C128" i="18" s="1"/>
  <c r="C129" i="18" s="1"/>
  <c r="C130" i="18" s="1"/>
  <c r="C131" i="18" s="1"/>
  <c r="C132" i="18" s="1"/>
  <c r="C133" i="18" s="1"/>
  <c r="C134" i="18" s="1"/>
  <c r="C135" i="18" s="1"/>
  <c r="C136" i="18" s="1"/>
  <c r="C137" i="18" s="1"/>
  <c r="C138" i="18" s="1"/>
  <c r="C139" i="18" s="1"/>
  <c r="C22" i="18"/>
  <c r="C23" i="18" s="1"/>
  <c r="C24" i="18" s="1"/>
  <c r="C25" i="18" s="1"/>
  <c r="C26" i="18" s="1"/>
  <c r="C27" i="18"/>
  <c r="C156" i="18" l="1"/>
  <c r="C157" i="18" s="1"/>
  <c r="C141" i="18"/>
  <c r="C142" i="18" s="1"/>
  <c r="C143" i="18" s="1"/>
  <c r="C144" i="18" s="1"/>
  <c r="C145" i="18" s="1"/>
  <c r="C146" i="18" s="1"/>
  <c r="C147" i="18" s="1"/>
  <c r="C148" i="18" s="1"/>
  <c r="C149" i="18" s="1"/>
  <c r="C150" i="18" s="1"/>
  <c r="C151" i="18" s="1"/>
  <c r="C152" i="18" s="1"/>
  <c r="C153" i="18" s="1"/>
  <c r="C154" i="18" s="1"/>
  <c r="C155" i="18" s="1"/>
  <c r="C28" i="18"/>
  <c r="C29" i="18" s="1"/>
  <c r="C30" i="18" s="1"/>
  <c r="C31" i="18" s="1"/>
  <c r="C32" i="18" s="1"/>
  <c r="C33" i="18"/>
  <c r="C34" i="18" s="1"/>
  <c r="C35" i="18" s="1"/>
  <c r="C87" i="18"/>
  <c r="C88" i="18" s="1"/>
  <c r="C89" i="18" s="1"/>
  <c r="C76" i="18"/>
  <c r="C77" i="18" s="1"/>
  <c r="C78" i="18" s="1"/>
  <c r="C79" i="18" s="1"/>
  <c r="C80" i="18" s="1"/>
  <c r="C81" i="18" s="1"/>
  <c r="C82" i="18" s="1"/>
  <c r="C83" i="18" s="1"/>
  <c r="C84" i="18" s="1"/>
  <c r="C85" i="18" s="1"/>
  <c r="C86" i="18" s="1"/>
  <c r="H4" i="16"/>
  <c r="AK4" i="16"/>
  <c r="S4" i="16"/>
  <c r="K4" i="16"/>
  <c r="Q4" i="16"/>
  <c r="AA4" i="16"/>
  <c r="M4" i="16"/>
  <c r="J4" i="16"/>
  <c r="AH5" i="16"/>
  <c r="AE5" i="16"/>
  <c r="Z5" i="16"/>
  <c r="AA5" i="16"/>
  <c r="R5" i="16"/>
  <c r="W5" i="16"/>
  <c r="X5" i="16"/>
  <c r="AE6" i="16"/>
  <c r="N6" i="16"/>
  <c r="AA6" i="16"/>
  <c r="J6" i="16"/>
  <c r="AF6" i="16"/>
  <c r="AC6" i="16"/>
  <c r="T6" i="16"/>
  <c r="Y6" i="16"/>
  <c r="AI30" i="14"/>
  <c r="AD30" i="14"/>
  <c r="AJ30" i="14"/>
  <c r="K30" i="14"/>
  <c r="J30" i="14"/>
  <c r="O30" i="14"/>
  <c r="AB30" i="14"/>
  <c r="P31" i="14"/>
  <c r="H31" i="14"/>
  <c r="K31" i="14"/>
  <c r="L31" i="14"/>
  <c r="AF31" i="14"/>
  <c r="M31" i="14"/>
  <c r="Z31" i="14"/>
  <c r="W31" i="14"/>
  <c r="AD32" i="14"/>
  <c r="S32" i="14"/>
  <c r="AH32" i="14"/>
  <c r="AJ32" i="14"/>
  <c r="K32" i="14"/>
  <c r="Y32" i="14"/>
  <c r="AA32" i="14"/>
  <c r="AI4" i="16"/>
  <c r="U4" i="16"/>
  <c r="O4" i="16"/>
  <c r="AH4" i="16"/>
  <c r="AF4" i="16"/>
  <c r="AD4" i="16"/>
  <c r="AB4" i="16"/>
  <c r="X4" i="16"/>
  <c r="AJ5" i="16"/>
  <c r="O5" i="16"/>
  <c r="AF5" i="16"/>
  <c r="K5" i="16"/>
  <c r="AB5" i="16"/>
  <c r="Y5" i="16"/>
  <c r="H5" i="16"/>
  <c r="O6" i="16"/>
  <c r="AK6" i="16"/>
  <c r="K6" i="16"/>
  <c r="AG6" i="16"/>
  <c r="H6" i="16"/>
  <c r="M6" i="16"/>
  <c r="AH6" i="16"/>
  <c r="I6" i="16"/>
  <c r="AH30" i="14"/>
  <c r="U30" i="14"/>
  <c r="I30" i="14"/>
  <c r="AA30" i="14"/>
  <c r="M30" i="14"/>
  <c r="AE30" i="14"/>
  <c r="R30" i="14"/>
  <c r="AD31" i="14"/>
  <c r="V31" i="14"/>
  <c r="O31" i="14"/>
  <c r="AG31" i="14"/>
  <c r="AI31" i="14"/>
  <c r="R31" i="14"/>
  <c r="X31" i="14"/>
  <c r="AE31" i="14"/>
  <c r="R32" i="14"/>
  <c r="AC32" i="14"/>
  <c r="V32" i="14"/>
  <c r="AK32" i="14"/>
  <c r="O32" i="14"/>
  <c r="U32" i="14"/>
  <c r="AE32" i="14"/>
  <c r="V4" i="16"/>
  <c r="T4" i="16"/>
  <c r="I4" i="16"/>
  <c r="AG4" i="16"/>
  <c r="Y4" i="16"/>
  <c r="AC4" i="16"/>
  <c r="AE4" i="16"/>
  <c r="U5" i="16"/>
  <c r="AD5" i="16"/>
  <c r="Q5" i="16"/>
  <c r="V5" i="16"/>
  <c r="M5" i="16"/>
  <c r="N5" i="16"/>
  <c r="J5" i="16"/>
  <c r="S5" i="16"/>
  <c r="AD6" i="16"/>
  <c r="AB6" i="16"/>
  <c r="Z6" i="16"/>
  <c r="W6" i="16"/>
  <c r="AJ6" i="16"/>
  <c r="S6" i="16"/>
  <c r="X6" i="16"/>
  <c r="S30" i="14"/>
  <c r="AF30" i="14"/>
  <c r="T30" i="14"/>
  <c r="N30" i="14"/>
  <c r="X30" i="14"/>
  <c r="Z30" i="14"/>
  <c r="L30" i="14"/>
  <c r="AG30" i="14"/>
  <c r="J31" i="14"/>
  <c r="I31" i="14"/>
  <c r="N31" i="14"/>
  <c r="AH31" i="14"/>
  <c r="Q31" i="14"/>
  <c r="U31" i="14"/>
  <c r="Y31" i="14"/>
  <c r="M32" i="14"/>
  <c r="H32" i="14"/>
  <c r="W32" i="14"/>
  <c r="AI32" i="14"/>
  <c r="P32" i="14"/>
  <c r="L32" i="14"/>
  <c r="AF32" i="14"/>
  <c r="AB32" i="14"/>
  <c r="W4" i="16"/>
  <c r="P4" i="16"/>
  <c r="T5" i="16"/>
  <c r="L5" i="16"/>
  <c r="U6" i="16"/>
  <c r="AI6" i="16"/>
  <c r="W30" i="14"/>
  <c r="V30" i="14"/>
  <c r="AK31" i="14"/>
  <c r="AJ31" i="14"/>
  <c r="X32" i="14"/>
  <c r="Z32" i="14"/>
  <c r="AJ4" i="16"/>
  <c r="N4" i="16"/>
  <c r="AG5" i="16"/>
  <c r="I5" i="16"/>
  <c r="L6" i="16"/>
  <c r="R6" i="16"/>
  <c r="Y30" i="14"/>
  <c r="Q30" i="14"/>
  <c r="AC31" i="14"/>
  <c r="I32" i="14"/>
  <c r="Q32" i="14"/>
  <c r="R4" i="16"/>
  <c r="AK5" i="16"/>
  <c r="AC5" i="16"/>
  <c r="P6" i="16"/>
  <c r="V6" i="16"/>
  <c r="P30" i="14"/>
  <c r="AC30" i="14"/>
  <c r="T31" i="14"/>
  <c r="S31" i="14"/>
  <c r="AG32" i="14"/>
  <c r="N32" i="14"/>
  <c r="Z4" i="16"/>
  <c r="Q6" i="16"/>
  <c r="AA31" i="14"/>
  <c r="P5" i="16"/>
  <c r="L4" i="16"/>
  <c r="AK30" i="14"/>
  <c r="T32" i="14"/>
  <c r="J32" i="14"/>
  <c r="AI5" i="16"/>
  <c r="AB31" i="14"/>
  <c r="H30" i="14"/>
  <c r="AF33" i="14"/>
  <c r="S10" i="1"/>
  <c r="K16" i="16" s="1"/>
  <c r="S9" i="1"/>
  <c r="I15" i="16" s="1"/>
  <c r="I21" i="16"/>
  <c r="S11" i="1"/>
  <c r="J19" i="16" s="1"/>
  <c r="S8" i="1"/>
  <c r="V10" i="16" s="1"/>
  <c r="AJ21" i="16" l="1"/>
  <c r="AD14" i="16"/>
  <c r="N21" i="16"/>
  <c r="I16" i="16"/>
  <c r="V12" i="16"/>
  <c r="AE16" i="16"/>
  <c r="AD18" i="16"/>
  <c r="AC12" i="16"/>
  <c r="Z18" i="16"/>
  <c r="K12" i="16"/>
  <c r="AK11" i="16"/>
  <c r="AB21" i="16"/>
  <c r="R14" i="16"/>
  <c r="H16" i="16"/>
  <c r="AI16" i="16"/>
  <c r="W10" i="16"/>
  <c r="AD21" i="16"/>
  <c r="T15" i="16"/>
  <c r="Q18" i="16"/>
  <c r="K18" i="16"/>
  <c r="U11" i="16"/>
  <c r="T12" i="16"/>
  <c r="Y12" i="16"/>
  <c r="N12" i="16"/>
  <c r="Z11" i="16"/>
  <c r="AG10" i="16"/>
  <c r="AJ10" i="16"/>
  <c r="R12" i="16"/>
  <c r="J11" i="16"/>
  <c r="AB12" i="16"/>
  <c r="AK12" i="16"/>
  <c r="K11" i="16"/>
  <c r="I11" i="16"/>
  <c r="AE10" i="16"/>
  <c r="I10" i="16"/>
  <c r="AA12" i="16"/>
  <c r="AF10" i="16"/>
  <c r="S12" i="16"/>
  <c r="H11" i="16"/>
  <c r="AH11" i="16"/>
  <c r="T10" i="16"/>
  <c r="AB10" i="16"/>
  <c r="AH21" i="16"/>
  <c r="AE21" i="16"/>
  <c r="X20" i="16"/>
  <c r="AC21" i="16"/>
  <c r="X21" i="16"/>
  <c r="AI21" i="16"/>
  <c r="AF20" i="16"/>
  <c r="J21" i="16"/>
  <c r="M21" i="16"/>
  <c r="AF21" i="16"/>
  <c r="AI20" i="16"/>
  <c r="S19" i="16"/>
  <c r="Q20" i="16"/>
  <c r="AK19" i="16"/>
  <c r="Y19" i="16"/>
  <c r="M20" i="16"/>
  <c r="AI19" i="16"/>
  <c r="AJ19" i="16"/>
  <c r="R20" i="16"/>
  <c r="K20" i="16"/>
  <c r="Q19" i="16"/>
  <c r="U19" i="16"/>
  <c r="W15" i="16"/>
  <c r="Y13" i="16"/>
  <c r="J15" i="16"/>
  <c r="V13" i="16"/>
  <c r="H15" i="16"/>
  <c r="P11" i="16"/>
  <c r="O11" i="16"/>
  <c r="J10" i="16"/>
  <c r="S10" i="16"/>
  <c r="AH12" i="16"/>
  <c r="AA11" i="16"/>
  <c r="O12" i="16"/>
  <c r="H12" i="16"/>
  <c r="T11" i="16"/>
  <c r="S11" i="16"/>
  <c r="AD10" i="16"/>
  <c r="Y10" i="16"/>
  <c r="N11" i="16"/>
  <c r="AA10" i="16"/>
  <c r="P12" i="16"/>
  <c r="AG11" i="16"/>
  <c r="AF11" i="16"/>
  <c r="AK10" i="16"/>
  <c r="AI10" i="16"/>
  <c r="V20" i="16"/>
  <c r="Q21" i="16"/>
  <c r="P21" i="16"/>
  <c r="T21" i="16"/>
  <c r="H20" i="16"/>
  <c r="W21" i="16"/>
  <c r="V21" i="16"/>
  <c r="U21" i="16"/>
  <c r="AB20" i="16"/>
  <c r="I20" i="16"/>
  <c r="AK20" i="16"/>
  <c r="O19" i="16"/>
  <c r="P19" i="16"/>
  <c r="L20" i="16"/>
  <c r="X19" i="16"/>
  <c r="K19" i="16"/>
  <c r="AD20" i="16"/>
  <c r="AA19" i="16"/>
  <c r="AB19" i="16"/>
  <c r="Y14" i="16"/>
  <c r="AI15" i="16"/>
  <c r="M10" i="16"/>
  <c r="I12" i="16"/>
  <c r="L12" i="16"/>
  <c r="R11" i="16"/>
  <c r="AD11" i="16"/>
  <c r="H10" i="16"/>
  <c r="R10" i="16"/>
  <c r="W12" i="16"/>
  <c r="K10" i="16"/>
  <c r="U12" i="16"/>
  <c r="J12" i="16"/>
  <c r="Y11" i="16"/>
  <c r="X11" i="16"/>
  <c r="L10" i="16"/>
  <c r="AF12" i="16"/>
  <c r="L11" i="16"/>
  <c r="AE12" i="16"/>
  <c r="AI12" i="16"/>
  <c r="W11" i="16"/>
  <c r="AH10" i="16"/>
  <c r="Q10" i="16"/>
  <c r="AA20" i="16"/>
  <c r="O21" i="16"/>
  <c r="H21" i="16"/>
  <c r="O20" i="16"/>
  <c r="AJ20" i="16"/>
  <c r="S21" i="16"/>
  <c r="L21" i="16"/>
  <c r="R19" i="16"/>
  <c r="AG21" i="16"/>
  <c r="R21" i="16"/>
  <c r="Y21" i="16"/>
  <c r="S20" i="16"/>
  <c r="P20" i="16"/>
  <c r="AG20" i="16"/>
  <c r="I19" i="16"/>
  <c r="Z20" i="16"/>
  <c r="AC20" i="16"/>
  <c r="T19" i="16"/>
  <c r="M19" i="16"/>
  <c r="AH20" i="16"/>
  <c r="AC19" i="16"/>
  <c r="AG19" i="16"/>
  <c r="AG13" i="16"/>
  <c r="AJ13" i="16"/>
  <c r="P14" i="16"/>
  <c r="AI14" i="16"/>
  <c r="Y15" i="16"/>
  <c r="AD13" i="16"/>
  <c r="I13" i="16"/>
  <c r="AK14" i="16"/>
  <c r="U14" i="16"/>
  <c r="U15" i="16"/>
  <c r="AB15" i="16"/>
  <c r="M13" i="16"/>
  <c r="R13" i="16"/>
  <c r="AG14" i="16"/>
  <c r="I14" i="16"/>
  <c r="M15" i="16"/>
  <c r="AK15" i="16"/>
  <c r="N14" i="16"/>
  <c r="Z13" i="16"/>
  <c r="AE14" i="16"/>
  <c r="M14" i="16"/>
  <c r="Z15" i="16"/>
  <c r="O15" i="16"/>
  <c r="W13" i="16"/>
  <c r="S13" i="16"/>
  <c r="L14" i="16"/>
  <c r="S14" i="16"/>
  <c r="Q15" i="16"/>
  <c r="V15" i="16"/>
  <c r="AA13" i="16"/>
  <c r="H13" i="16"/>
  <c r="AA14" i="16"/>
  <c r="U13" i="16"/>
  <c r="Q13" i="16"/>
  <c r="Z14" i="16"/>
  <c r="AH14" i="16"/>
  <c r="AA15" i="16"/>
  <c r="X15" i="16"/>
  <c r="N13" i="16"/>
  <c r="AB13" i="16"/>
  <c r="O14" i="16"/>
  <c r="J14" i="16"/>
  <c r="AD15" i="16"/>
  <c r="AF15" i="16"/>
  <c r="AH13" i="16"/>
  <c r="T14" i="16"/>
  <c r="K14" i="16"/>
  <c r="AC15" i="16"/>
  <c r="AJ15" i="16"/>
  <c r="AF13" i="16"/>
  <c r="O13" i="16"/>
  <c r="J13" i="16"/>
  <c r="AC14" i="16"/>
  <c r="V14" i="16"/>
  <c r="AE15" i="16"/>
  <c r="L15" i="16"/>
  <c r="AI13" i="16"/>
  <c r="AC13" i="16"/>
  <c r="Q14" i="16"/>
  <c r="AG15" i="16"/>
  <c r="R15" i="16"/>
  <c r="L13" i="16"/>
  <c r="X13" i="16"/>
  <c r="AF14" i="16"/>
  <c r="AB14" i="16"/>
  <c r="K15" i="16"/>
  <c r="N15" i="16"/>
  <c r="AE13" i="16"/>
  <c r="W14" i="16"/>
  <c r="AJ14" i="16"/>
  <c r="H14" i="16"/>
  <c r="P13" i="16"/>
  <c r="P15" i="16"/>
  <c r="AD12" i="16"/>
  <c r="AB11" i="16"/>
  <c r="Z12" i="16"/>
  <c r="M12" i="16"/>
  <c r="X12" i="16"/>
  <c r="AE11" i="16"/>
  <c r="AC11" i="16"/>
  <c r="Z10" i="16"/>
  <c r="O10" i="16"/>
  <c r="M11" i="16"/>
  <c r="AC10" i="16"/>
  <c r="Q12" i="16"/>
  <c r="V11" i="16"/>
  <c r="AI11" i="16"/>
  <c r="N10" i="16"/>
  <c r="X10" i="16"/>
  <c r="AJ12" i="16"/>
  <c r="P10" i="16"/>
  <c r="AG12" i="16"/>
  <c r="AJ11" i="16"/>
  <c r="Q11" i="16"/>
  <c r="U10" i="16"/>
  <c r="AD19" i="16"/>
  <c r="K21" i="16"/>
  <c r="W20" i="16"/>
  <c r="AH19" i="16"/>
  <c r="AF19" i="16"/>
  <c r="AA21" i="16"/>
  <c r="J20" i="16"/>
  <c r="W19" i="16"/>
  <c r="T20" i="16"/>
  <c r="Z21" i="16"/>
  <c r="AK21" i="16"/>
  <c r="N19" i="16"/>
  <c r="U20" i="16"/>
  <c r="Z19" i="16"/>
  <c r="AE19" i="16"/>
  <c r="N20" i="16"/>
  <c r="H19" i="16"/>
  <c r="V19" i="16"/>
  <c r="AE20" i="16"/>
  <c r="Y20" i="16"/>
  <c r="L19" i="16"/>
  <c r="T13" i="16"/>
  <c r="AK13" i="16"/>
  <c r="AH15" i="16"/>
  <c r="K13" i="16"/>
  <c r="S15" i="16"/>
  <c r="X14" i="16"/>
  <c r="K17" i="16"/>
  <c r="H17" i="16"/>
  <c r="S16" i="16"/>
  <c r="H18" i="16"/>
  <c r="T16" i="16"/>
  <c r="N17" i="16"/>
  <c r="J18" i="16"/>
  <c r="AG16" i="16"/>
  <c r="Z17" i="16"/>
  <c r="I17" i="16"/>
  <c r="I18" i="16"/>
  <c r="AK16" i="16"/>
  <c r="AB17" i="16"/>
  <c r="Y18" i="16"/>
  <c r="V16" i="16"/>
  <c r="R17" i="16"/>
  <c r="L18" i="16"/>
  <c r="AI18" i="16"/>
  <c r="R16" i="16"/>
  <c r="AH17" i="16"/>
  <c r="AH18" i="16"/>
  <c r="W16" i="16"/>
  <c r="N35" i="14"/>
  <c r="O9" i="16"/>
  <c r="AD8" i="16"/>
  <c r="J33" i="14"/>
  <c r="X9" i="16"/>
  <c r="AA8" i="16"/>
  <c r="K34" i="14"/>
  <c r="AI9" i="16"/>
  <c r="AJ9" i="16"/>
  <c r="T35" i="14"/>
  <c r="AC7" i="16"/>
  <c r="W9" i="16"/>
  <c r="Q9" i="16"/>
  <c r="H8" i="16"/>
  <c r="I7" i="16"/>
  <c r="K9" i="16"/>
  <c r="S35" i="14"/>
  <c r="N8" i="16"/>
  <c r="Q35" i="14"/>
  <c r="S34" i="14"/>
  <c r="W34" i="14"/>
  <c r="AJ7" i="16"/>
  <c r="AE34" i="14"/>
  <c r="Z33" i="14"/>
  <c r="AA33" i="14"/>
  <c r="AJ35" i="14"/>
  <c r="AD35" i="14"/>
  <c r="T8" i="16"/>
  <c r="AA35" i="14"/>
  <c r="N34" i="14"/>
  <c r="V34" i="14"/>
  <c r="Z7" i="16"/>
  <c r="H34" i="14"/>
  <c r="P33" i="14"/>
  <c r="Q33" i="14"/>
  <c r="AK35" i="14"/>
  <c r="AI35" i="14"/>
  <c r="R8" i="16"/>
  <c r="AB35" i="14"/>
  <c r="L34" i="14"/>
  <c r="P34" i="14"/>
  <c r="AF7" i="16"/>
  <c r="X34" i="14"/>
  <c r="K33" i="14"/>
  <c r="X33" i="14"/>
  <c r="Q17" i="16"/>
  <c r="J17" i="16"/>
  <c r="AA16" i="16"/>
  <c r="Y17" i="16"/>
  <c r="U16" i="16"/>
  <c r="S17" i="16"/>
  <c r="AE18" i="16"/>
  <c r="AH16" i="16"/>
  <c r="AJ17" i="16"/>
  <c r="AC18" i="16"/>
  <c r="J16" i="16"/>
  <c r="Z16" i="16"/>
  <c r="AA17" i="16"/>
  <c r="AA18" i="16"/>
  <c r="L16" i="16"/>
  <c r="AE17" i="16"/>
  <c r="T18" i="16"/>
  <c r="N16" i="16"/>
  <c r="L17" i="16"/>
  <c r="V17" i="16"/>
  <c r="AA7" i="16"/>
  <c r="M34" i="14"/>
  <c r="AD9" i="16"/>
  <c r="AA9" i="16"/>
  <c r="Y9" i="16"/>
  <c r="AB9" i="16"/>
  <c r="P35" i="14"/>
  <c r="U34" i="14"/>
  <c r="AK9" i="16"/>
  <c r="M9" i="16"/>
  <c r="AH35" i="14"/>
  <c r="S7" i="16"/>
  <c r="J9" i="16"/>
  <c r="S8" i="16"/>
  <c r="AB7" i="16"/>
  <c r="U33" i="14"/>
  <c r="AE35" i="14"/>
  <c r="U35" i="14"/>
  <c r="P8" i="16"/>
  <c r="R35" i="14"/>
  <c r="AB34" i="14"/>
  <c r="AF34" i="14"/>
  <c r="AK7" i="16"/>
  <c r="AH7" i="16"/>
  <c r="Y33" i="14"/>
  <c r="W33" i="14"/>
  <c r="U8" i="16"/>
  <c r="H35" i="14"/>
  <c r="K8" i="16"/>
  <c r="AK8" i="16"/>
  <c r="W7" i="16"/>
  <c r="N7" i="16"/>
  <c r="Q34" i="14"/>
  <c r="L7" i="16"/>
  <c r="H33" i="14"/>
  <c r="S33" i="14"/>
  <c r="J8" i="16"/>
  <c r="I35" i="14"/>
  <c r="AB8" i="16"/>
  <c r="L8" i="16"/>
  <c r="AI7" i="16"/>
  <c r="T7" i="16"/>
  <c r="J34" i="14"/>
  <c r="O7" i="16"/>
  <c r="AJ33" i="14"/>
  <c r="L33" i="14"/>
  <c r="X17" i="16"/>
  <c r="U18" i="16"/>
  <c r="Y16" i="16"/>
  <c r="O17" i="16"/>
  <c r="AK18" i="16"/>
  <c r="P18" i="16"/>
  <c r="X16" i="16"/>
  <c r="P17" i="16"/>
  <c r="V18" i="16"/>
  <c r="Q16" i="16"/>
  <c r="M17" i="16"/>
  <c r="S18" i="16"/>
  <c r="X18" i="16"/>
  <c r="P16" i="16"/>
  <c r="AC17" i="16"/>
  <c r="AB18" i="16"/>
  <c r="AF16" i="16"/>
  <c r="T17" i="16"/>
  <c r="AG33" i="14"/>
  <c r="AG35" i="14"/>
  <c r="AG9" i="16"/>
  <c r="P9" i="16"/>
  <c r="U9" i="16"/>
  <c r="AI8" i="16"/>
  <c r="AC33" i="14"/>
  <c r="I9" i="16"/>
  <c r="V35" i="14"/>
  <c r="H7" i="16"/>
  <c r="I33" i="14"/>
  <c r="R9" i="16"/>
  <c r="K35" i="14"/>
  <c r="J7" i="16"/>
  <c r="AH9" i="16"/>
  <c r="Q8" i="16"/>
  <c r="Y35" i="14"/>
  <c r="X8" i="16"/>
  <c r="AG8" i="16"/>
  <c r="V7" i="16"/>
  <c r="K7" i="16"/>
  <c r="AA34" i="14"/>
  <c r="Q7" i="16"/>
  <c r="AK33" i="14"/>
  <c r="V9" i="16"/>
  <c r="AJ8" i="16"/>
  <c r="L35" i="14"/>
  <c r="AH8" i="16"/>
  <c r="M8" i="16"/>
  <c r="AE7" i="16"/>
  <c r="P7" i="16"/>
  <c r="AH34" i="14"/>
  <c r="AI33" i="14"/>
  <c r="AB33" i="14"/>
  <c r="T9" i="16"/>
  <c r="O8" i="16"/>
  <c r="J35" i="14"/>
  <c r="Y8" i="16"/>
  <c r="AE8" i="16"/>
  <c r="AG7" i="16"/>
  <c r="U7" i="16"/>
  <c r="T34" i="14"/>
  <c r="N33" i="14"/>
  <c r="AE33" i="14"/>
  <c r="AI17" i="16"/>
  <c r="U17" i="16"/>
  <c r="AD16" i="16"/>
  <c r="AF18" i="16"/>
  <c r="M18" i="16"/>
  <c r="AF17" i="16"/>
  <c r="R18" i="16"/>
  <c r="AC16" i="16"/>
  <c r="AD17" i="16"/>
  <c r="AJ18" i="16"/>
  <c r="AB16" i="16"/>
  <c r="W17" i="16"/>
  <c r="W18" i="16"/>
  <c r="N18" i="16"/>
  <c r="M16" i="16"/>
  <c r="AG17" i="16"/>
  <c r="AG18" i="16"/>
  <c r="O16" i="16"/>
  <c r="AK17" i="16"/>
  <c r="O18" i="16"/>
  <c r="AJ16" i="16"/>
  <c r="N9" i="16"/>
  <c r="Z9" i="16"/>
  <c r="AG34" i="14"/>
  <c r="AI34" i="14"/>
  <c r="AE9" i="16"/>
  <c r="O35" i="14"/>
  <c r="I34" i="14"/>
  <c r="V33" i="14"/>
  <c r="L9" i="16"/>
  <c r="AF35" i="14"/>
  <c r="R7" i="16"/>
  <c r="AD33" i="14"/>
  <c r="S9" i="16"/>
  <c r="AC8" i="16"/>
  <c r="Y34" i="14"/>
  <c r="H9" i="16"/>
  <c r="AF8" i="16"/>
  <c r="Z35" i="14"/>
  <c r="V8" i="16"/>
  <c r="I8" i="16"/>
  <c r="Y7" i="16"/>
  <c r="M7" i="16"/>
  <c r="AJ34" i="14"/>
  <c r="T33" i="14"/>
  <c r="AH33" i="14"/>
  <c r="AF9" i="16"/>
  <c r="M35" i="14"/>
  <c r="Z8" i="16"/>
  <c r="W35" i="14"/>
  <c r="AC34" i="14"/>
  <c r="AK34" i="14"/>
  <c r="X7" i="16"/>
  <c r="R34" i="14"/>
  <c r="M33" i="14"/>
  <c r="R33" i="14"/>
  <c r="AC9" i="16"/>
  <c r="AC35" i="14"/>
  <c r="W8" i="16"/>
  <c r="X35" i="14"/>
  <c r="Z34" i="14"/>
  <c r="AD34" i="14"/>
  <c r="AD7" i="16"/>
  <c r="O34" i="14"/>
  <c r="O33" i="14"/>
</calcChain>
</file>

<file path=xl/comments1.xml><?xml version="1.0" encoding="utf-8"?>
<comments xmlns="http://schemas.openxmlformats.org/spreadsheetml/2006/main">
  <authors>
    <author>JoSoowoon</author>
  </authors>
  <commentList>
    <comment ref="V5" authorId="0" shapeId="0">
      <text>
        <r>
          <rPr>
            <b/>
            <sz val="9"/>
            <color indexed="8"/>
            <rFont val="Tahoma"/>
            <family val="3"/>
            <charset val="129"/>
          </rPr>
          <t>물리 공격력</t>
        </r>
      </text>
    </comment>
  </commentList>
</comments>
</file>

<file path=xl/comments2.xml><?xml version="1.0" encoding="utf-8"?>
<comments xmlns="http://schemas.openxmlformats.org/spreadsheetml/2006/main">
  <authors>
    <author>reddioxin1</author>
    <author>JoSoowoon</author>
  </authors>
  <commentList>
    <comment ref="C4" authorId="0" shapeId="0">
      <text>
        <r>
          <rPr>
            <b/>
            <sz val="9"/>
            <color indexed="8"/>
            <rFont val="Tahoma"/>
            <family val="3"/>
            <charset val="129"/>
          </rPr>
          <t>100</t>
        </r>
        <r>
          <rPr>
            <b/>
            <sz val="9"/>
            <color indexed="8"/>
            <rFont val="돋움"/>
            <family val="3"/>
            <charset val="129"/>
          </rPr>
          <t xml:space="preserve">공통
</t>
        </r>
        <r>
          <rPr>
            <b/>
            <sz val="9"/>
            <color indexed="8"/>
            <rFont val="Tahoma"/>
            <family val="3"/>
            <charset val="129"/>
          </rPr>
          <t>4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 xml:space="preserve"> = </t>
        </r>
        <r>
          <rPr>
            <b/>
            <sz val="9"/>
            <color indexed="8"/>
            <rFont val="돋움"/>
            <family val="3"/>
            <charset val="129"/>
          </rPr>
          <t>몬스터의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등급</t>
        </r>
        <r>
          <rPr>
            <b/>
            <sz val="9"/>
            <color indexed="8"/>
            <rFont val="Tahoma"/>
            <family val="3"/>
            <charset val="129"/>
          </rPr>
          <t xml:space="preserve"> 2=</t>
        </r>
        <r>
          <rPr>
            <b/>
            <sz val="9"/>
            <color indexed="8"/>
            <rFont val="돋움"/>
            <family val="3"/>
            <charset val="129"/>
          </rPr>
          <t>일반</t>
        </r>
        <r>
          <rPr>
            <b/>
            <sz val="9"/>
            <color indexed="8"/>
            <rFont val="Tahoma"/>
            <family val="3"/>
            <charset val="129"/>
          </rPr>
          <t xml:space="preserve"> 3=</t>
        </r>
        <r>
          <rPr>
            <b/>
            <sz val="9"/>
            <color indexed="8"/>
            <rFont val="돋움"/>
            <family val="3"/>
            <charset val="129"/>
          </rPr>
          <t>정예</t>
        </r>
        <r>
          <rPr>
            <b/>
            <sz val="9"/>
            <color indexed="8"/>
            <rFont val="Tahoma"/>
            <family val="3"/>
            <charset val="129"/>
          </rPr>
          <t xml:space="preserve"> 4=</t>
        </r>
        <r>
          <rPr>
            <b/>
            <sz val="9"/>
            <color indexed="8"/>
            <rFont val="돋움"/>
            <family val="3"/>
            <charset val="129"/>
          </rPr>
          <t>중보스</t>
        </r>
        <r>
          <rPr>
            <b/>
            <sz val="9"/>
            <color indexed="8"/>
            <rFont val="Tahoma"/>
            <family val="3"/>
            <charset val="129"/>
          </rPr>
          <t xml:space="preserve"> 5=</t>
        </r>
        <r>
          <rPr>
            <b/>
            <sz val="9"/>
            <color indexed="8"/>
            <rFont val="돋움"/>
            <family val="3"/>
            <charset val="129"/>
          </rPr>
          <t xml:space="preserve">보스
</t>
        </r>
        <r>
          <rPr>
            <b/>
            <sz val="9"/>
            <color indexed="8"/>
            <rFont val="Tahoma"/>
            <family val="3"/>
            <charset val="129"/>
          </rPr>
          <t xml:space="preserve">5,6 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 xml:space="preserve"> = </t>
        </r>
        <r>
          <rPr>
            <b/>
            <sz val="9"/>
            <color indexed="8"/>
            <rFont val="돋움"/>
            <family val="3"/>
            <charset val="129"/>
          </rPr>
          <t>액트구분</t>
        </r>
        <r>
          <rPr>
            <b/>
            <sz val="9"/>
            <color indexed="8"/>
            <rFont val="Tahoma"/>
            <family val="3"/>
            <charset val="129"/>
          </rPr>
          <t xml:space="preserve"> 01~99
7~9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 xml:space="preserve"> = </t>
        </r>
        <r>
          <rPr>
            <b/>
            <sz val="9"/>
            <color indexed="8"/>
            <rFont val="돋움"/>
            <family val="3"/>
            <charset val="129"/>
          </rPr>
          <t>순번</t>
        </r>
      </text>
    </comment>
    <comment ref="C5" authorId="0" shapeId="0">
      <text>
        <r>
          <rPr>
            <b/>
            <sz val="9"/>
            <color indexed="8"/>
            <rFont val="Tahoma"/>
            <family val="3"/>
            <charset val="129"/>
          </rPr>
          <t>reddioxin1:</t>
        </r>
        <r>
          <rPr>
            <sz val="9"/>
            <color indexed="8"/>
            <rFont val="Tahoma"/>
            <family val="3"/>
            <charset val="129"/>
          </rPr>
          <t xml:space="preserve">
100</t>
        </r>
        <r>
          <rPr>
            <sz val="9"/>
            <color indexed="8"/>
            <rFont val="돋움"/>
            <family val="3"/>
            <charset val="129"/>
          </rPr>
          <t xml:space="preserve">공통
</t>
        </r>
        <r>
          <rPr>
            <sz val="9"/>
            <color indexed="8"/>
            <rFont val="Tahoma"/>
            <family val="3"/>
            <charset val="129"/>
          </rPr>
          <t>4</t>
        </r>
        <r>
          <rPr>
            <sz val="9"/>
            <color indexed="8"/>
            <rFont val="돋움"/>
            <family val="3"/>
            <charset val="129"/>
          </rPr>
          <t>번째자리</t>
        </r>
        <r>
          <rPr>
            <sz val="9"/>
            <color indexed="8"/>
            <rFont val="Tahoma"/>
            <family val="3"/>
            <charset val="129"/>
          </rPr>
          <t xml:space="preserve"> = </t>
        </r>
        <r>
          <rPr>
            <sz val="9"/>
            <color indexed="8"/>
            <rFont val="돋움"/>
            <family val="3"/>
            <charset val="129"/>
          </rPr>
          <t>몬스터의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등급</t>
        </r>
        <r>
          <rPr>
            <sz val="9"/>
            <color indexed="8"/>
            <rFont val="Tahoma"/>
            <family val="3"/>
            <charset val="129"/>
          </rPr>
          <t xml:space="preserve"> 2=</t>
        </r>
        <r>
          <rPr>
            <sz val="9"/>
            <color indexed="8"/>
            <rFont val="돋움"/>
            <family val="3"/>
            <charset val="129"/>
          </rPr>
          <t>일반</t>
        </r>
        <r>
          <rPr>
            <sz val="9"/>
            <color indexed="8"/>
            <rFont val="Tahoma"/>
            <family val="3"/>
            <charset val="129"/>
          </rPr>
          <t xml:space="preserve"> 3=</t>
        </r>
        <r>
          <rPr>
            <sz val="9"/>
            <color indexed="8"/>
            <rFont val="돋움"/>
            <family val="3"/>
            <charset val="129"/>
          </rPr>
          <t>정예</t>
        </r>
        <r>
          <rPr>
            <sz val="9"/>
            <color indexed="8"/>
            <rFont val="Tahoma"/>
            <family val="3"/>
            <charset val="129"/>
          </rPr>
          <t xml:space="preserve"> 4=</t>
        </r>
        <r>
          <rPr>
            <sz val="9"/>
            <color indexed="8"/>
            <rFont val="돋움"/>
            <family val="3"/>
            <charset val="129"/>
          </rPr>
          <t>중보스</t>
        </r>
        <r>
          <rPr>
            <sz val="9"/>
            <color indexed="8"/>
            <rFont val="Tahoma"/>
            <family val="3"/>
            <charset val="129"/>
          </rPr>
          <t xml:space="preserve"> 5=</t>
        </r>
        <r>
          <rPr>
            <sz val="9"/>
            <color indexed="8"/>
            <rFont val="돋움"/>
            <family val="3"/>
            <charset val="129"/>
          </rPr>
          <t xml:space="preserve">보스
</t>
        </r>
        <r>
          <rPr>
            <sz val="9"/>
            <color indexed="8"/>
            <rFont val="Tahoma"/>
            <family val="3"/>
            <charset val="129"/>
          </rPr>
          <t xml:space="preserve">5,6 </t>
        </r>
        <r>
          <rPr>
            <sz val="9"/>
            <color indexed="8"/>
            <rFont val="돋움"/>
            <family val="3"/>
            <charset val="129"/>
          </rPr>
          <t>번째자리</t>
        </r>
        <r>
          <rPr>
            <sz val="9"/>
            <color indexed="8"/>
            <rFont val="Tahoma"/>
            <family val="3"/>
            <charset val="129"/>
          </rPr>
          <t xml:space="preserve"> = </t>
        </r>
        <r>
          <rPr>
            <sz val="9"/>
            <color indexed="8"/>
            <rFont val="돋움"/>
            <family val="3"/>
            <charset val="129"/>
          </rPr>
          <t>액트구분</t>
        </r>
        <r>
          <rPr>
            <sz val="9"/>
            <color indexed="8"/>
            <rFont val="Tahoma"/>
            <family val="3"/>
            <charset val="129"/>
          </rPr>
          <t xml:space="preserve"> 01~99
7~9</t>
        </r>
        <r>
          <rPr>
            <sz val="9"/>
            <color indexed="8"/>
            <rFont val="돋움"/>
            <family val="3"/>
            <charset val="129"/>
          </rPr>
          <t>번째자리</t>
        </r>
        <r>
          <rPr>
            <sz val="9"/>
            <color indexed="8"/>
            <rFont val="Tahoma"/>
            <family val="3"/>
            <charset val="129"/>
          </rPr>
          <t xml:space="preserve"> = </t>
        </r>
        <r>
          <rPr>
            <sz val="9"/>
            <color indexed="8"/>
            <rFont val="돋움"/>
            <family val="3"/>
            <charset val="129"/>
          </rPr>
          <t>순번</t>
        </r>
      </text>
    </comment>
    <comment ref="P5" authorId="1" shapeId="0">
      <text>
        <r>
          <rPr>
            <b/>
            <sz val="9"/>
            <color indexed="8"/>
            <rFont val="Tahoma"/>
            <family val="3"/>
            <charset val="129"/>
          </rPr>
          <t>기본 체력</t>
        </r>
      </text>
    </comment>
    <comment ref="Q5" authorId="1" shapeId="0">
      <text>
        <r>
          <rPr>
            <b/>
            <sz val="9"/>
            <color indexed="8"/>
            <rFont val="Tahoma"/>
            <family val="3"/>
            <charset val="129"/>
          </rPr>
          <t>초당 체력회복</t>
        </r>
      </text>
    </comment>
    <comment ref="R5" authorId="1" shapeId="0">
      <text>
        <r>
          <rPr>
            <b/>
            <sz val="9"/>
            <color indexed="8"/>
            <rFont val="Tahoma"/>
            <family val="3"/>
            <charset val="129"/>
          </rPr>
          <t>마력량</t>
        </r>
      </text>
    </comment>
    <comment ref="S5" authorId="1" shapeId="0">
      <text>
        <r>
          <rPr>
            <b/>
            <sz val="9"/>
            <color indexed="8"/>
            <rFont val="Tahoma"/>
            <family val="3"/>
            <charset val="129"/>
          </rPr>
          <t>초당 마력회복량</t>
        </r>
      </text>
    </comment>
    <comment ref="T5" authorId="1" shapeId="0">
      <text>
        <r>
          <rPr>
            <b/>
            <sz val="9"/>
            <color indexed="8"/>
            <rFont val="Tahoma"/>
            <family val="3"/>
            <charset val="129"/>
          </rPr>
          <t>물리 공격력</t>
        </r>
      </text>
    </comment>
    <comment ref="U5" authorId="1" shapeId="0">
      <text>
        <r>
          <rPr>
            <b/>
            <sz val="9"/>
            <color indexed="8"/>
            <rFont val="Tahoma"/>
            <family val="3"/>
            <charset val="129"/>
          </rPr>
          <t>마법 공격력</t>
        </r>
      </text>
    </comment>
    <comment ref="V5" authorId="1" shapeId="0">
      <text>
        <r>
          <rPr>
            <b/>
            <sz val="9"/>
            <color indexed="8"/>
            <rFont val="Tahoma"/>
            <family val="3"/>
            <charset val="129"/>
          </rPr>
          <t>방어력</t>
        </r>
      </text>
    </comment>
    <comment ref="W5" authorId="1" shapeId="0">
      <text>
        <r>
          <rPr>
            <b/>
            <sz val="9"/>
            <color indexed="8"/>
            <rFont val="Tahoma"/>
            <family val="3"/>
            <charset val="129"/>
          </rPr>
          <t>마법 방어력</t>
        </r>
      </text>
    </comment>
    <comment ref="X5" authorId="1" shapeId="0">
      <text>
        <r>
          <rPr>
            <b/>
            <sz val="9"/>
            <color indexed="8"/>
            <rFont val="Tahoma"/>
            <family val="3"/>
            <charset val="129"/>
          </rPr>
          <t>명중</t>
        </r>
      </text>
    </comment>
    <comment ref="Y5" authorId="1" shapeId="0">
      <text>
        <r>
          <rPr>
            <b/>
            <sz val="9"/>
            <color indexed="8"/>
            <rFont val="Tahoma"/>
            <family val="3"/>
            <charset val="129"/>
          </rPr>
          <t>회피률</t>
        </r>
      </text>
    </comment>
    <comment ref="Z5" authorId="1" shapeId="0">
      <text>
        <r>
          <rPr>
            <b/>
            <sz val="9"/>
            <color indexed="8"/>
            <rFont val="Tahoma"/>
            <family val="3"/>
            <charset val="129"/>
          </rPr>
          <t>치명 발생
(0.0 ~ 1.0)</t>
        </r>
      </text>
    </comment>
    <comment ref="AA5" authorId="1" shapeId="0">
      <text>
        <r>
          <rPr>
            <b/>
            <sz val="9"/>
            <color indexed="8"/>
            <rFont val="Tahoma"/>
            <family val="3"/>
            <charset val="129"/>
          </rPr>
          <t>치명저항</t>
        </r>
      </text>
    </comment>
    <comment ref="AB5" authorId="1" shapeId="0">
      <text>
        <r>
          <rPr>
            <b/>
            <sz val="9"/>
            <color indexed="8"/>
            <rFont val="Tahoma"/>
            <family val="3"/>
            <charset val="129"/>
          </rPr>
          <t>치명피해</t>
        </r>
      </text>
    </comment>
    <comment ref="AC5" authorId="1" shapeId="0">
      <text>
        <r>
          <rPr>
            <b/>
            <sz val="9"/>
            <color indexed="8"/>
            <rFont val="Tahoma"/>
            <family val="3"/>
            <charset val="129"/>
          </rPr>
          <t>치명피해 저항</t>
        </r>
      </text>
    </comment>
    <comment ref="AD5" authorId="1" shapeId="0">
      <text>
        <r>
          <rPr>
            <b/>
            <sz val="9"/>
            <color indexed="8"/>
            <rFont val="Tahoma"/>
            <family val="3"/>
            <charset val="129"/>
          </rPr>
          <t>관통</t>
        </r>
      </text>
    </comment>
  </commentList>
</comments>
</file>

<file path=xl/comments3.xml><?xml version="1.0" encoding="utf-8"?>
<comments xmlns="http://schemas.openxmlformats.org/spreadsheetml/2006/main">
  <authors>
    <author>reddioxin1</author>
    <author>JoSoowoon</author>
  </authors>
  <commentList>
    <comment ref="C4" authorId="0" shapeId="0">
      <text>
        <r>
          <rPr>
            <b/>
            <sz val="9"/>
            <color indexed="8"/>
            <rFont val="Tahoma"/>
            <family val="3"/>
            <charset val="129"/>
          </rPr>
          <t>100</t>
        </r>
        <r>
          <rPr>
            <b/>
            <sz val="9"/>
            <color indexed="8"/>
            <rFont val="돋움"/>
            <family val="3"/>
            <charset val="129"/>
          </rPr>
          <t xml:space="preserve">공통
</t>
        </r>
        <r>
          <rPr>
            <b/>
            <sz val="9"/>
            <color indexed="8"/>
            <rFont val="Tahoma"/>
            <family val="3"/>
            <charset val="129"/>
          </rPr>
          <t>4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 xml:space="preserve"> = </t>
        </r>
        <r>
          <rPr>
            <b/>
            <sz val="9"/>
            <color indexed="8"/>
            <rFont val="돋움"/>
            <family val="3"/>
            <charset val="129"/>
          </rPr>
          <t>몬스터의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등급</t>
        </r>
        <r>
          <rPr>
            <b/>
            <sz val="9"/>
            <color indexed="8"/>
            <rFont val="Tahoma"/>
            <family val="3"/>
            <charset val="129"/>
          </rPr>
          <t xml:space="preserve"> 2=</t>
        </r>
        <r>
          <rPr>
            <b/>
            <sz val="9"/>
            <color indexed="8"/>
            <rFont val="돋움"/>
            <family val="3"/>
            <charset val="129"/>
          </rPr>
          <t>일반</t>
        </r>
        <r>
          <rPr>
            <b/>
            <sz val="9"/>
            <color indexed="8"/>
            <rFont val="Tahoma"/>
            <family val="3"/>
            <charset val="129"/>
          </rPr>
          <t xml:space="preserve"> 3=</t>
        </r>
        <r>
          <rPr>
            <b/>
            <sz val="9"/>
            <color indexed="8"/>
            <rFont val="돋움"/>
            <family val="3"/>
            <charset val="129"/>
          </rPr>
          <t>정예</t>
        </r>
        <r>
          <rPr>
            <b/>
            <sz val="9"/>
            <color indexed="8"/>
            <rFont val="Tahoma"/>
            <family val="3"/>
            <charset val="129"/>
          </rPr>
          <t xml:space="preserve"> 4=</t>
        </r>
        <r>
          <rPr>
            <b/>
            <sz val="9"/>
            <color indexed="8"/>
            <rFont val="돋움"/>
            <family val="3"/>
            <charset val="129"/>
          </rPr>
          <t>중보스</t>
        </r>
        <r>
          <rPr>
            <b/>
            <sz val="9"/>
            <color indexed="8"/>
            <rFont val="Tahoma"/>
            <family val="3"/>
            <charset val="129"/>
          </rPr>
          <t xml:space="preserve"> 5=</t>
        </r>
        <r>
          <rPr>
            <b/>
            <sz val="9"/>
            <color indexed="8"/>
            <rFont val="돋움"/>
            <family val="3"/>
            <charset val="129"/>
          </rPr>
          <t xml:space="preserve">보스
</t>
        </r>
        <r>
          <rPr>
            <b/>
            <sz val="9"/>
            <color indexed="8"/>
            <rFont val="Tahoma"/>
            <family val="3"/>
            <charset val="129"/>
          </rPr>
          <t xml:space="preserve">5,6 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 xml:space="preserve"> = </t>
        </r>
        <r>
          <rPr>
            <b/>
            <sz val="9"/>
            <color indexed="8"/>
            <rFont val="돋움"/>
            <family val="3"/>
            <charset val="129"/>
          </rPr>
          <t>액트구분</t>
        </r>
        <r>
          <rPr>
            <b/>
            <sz val="9"/>
            <color indexed="8"/>
            <rFont val="Tahoma"/>
            <family val="3"/>
            <charset val="129"/>
          </rPr>
          <t xml:space="preserve"> 01~99
7~9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 xml:space="preserve"> = </t>
        </r>
        <r>
          <rPr>
            <b/>
            <sz val="9"/>
            <color indexed="8"/>
            <rFont val="돋움"/>
            <family val="3"/>
            <charset val="129"/>
          </rPr>
          <t>순번</t>
        </r>
      </text>
    </comment>
    <comment ref="C5" authorId="0" shapeId="0">
      <text>
        <r>
          <rPr>
            <b/>
            <sz val="9"/>
            <color indexed="8"/>
            <rFont val="Tahoma"/>
            <family val="3"/>
            <charset val="129"/>
          </rPr>
          <t>reddioxin1:</t>
        </r>
        <r>
          <rPr>
            <sz val="9"/>
            <color indexed="8"/>
            <rFont val="Tahoma"/>
            <family val="3"/>
            <charset val="129"/>
          </rPr>
          <t xml:space="preserve">
100</t>
        </r>
        <r>
          <rPr>
            <sz val="9"/>
            <color indexed="8"/>
            <rFont val="돋움"/>
            <family val="3"/>
            <charset val="129"/>
          </rPr>
          <t xml:space="preserve">공통
</t>
        </r>
        <r>
          <rPr>
            <sz val="9"/>
            <color indexed="8"/>
            <rFont val="Tahoma"/>
            <family val="3"/>
            <charset val="129"/>
          </rPr>
          <t>4</t>
        </r>
        <r>
          <rPr>
            <sz val="9"/>
            <color indexed="8"/>
            <rFont val="돋움"/>
            <family val="3"/>
            <charset val="129"/>
          </rPr>
          <t>번째자리</t>
        </r>
        <r>
          <rPr>
            <sz val="9"/>
            <color indexed="8"/>
            <rFont val="Tahoma"/>
            <family val="3"/>
            <charset val="129"/>
          </rPr>
          <t xml:space="preserve"> = </t>
        </r>
        <r>
          <rPr>
            <sz val="9"/>
            <color indexed="8"/>
            <rFont val="돋움"/>
            <family val="3"/>
            <charset val="129"/>
          </rPr>
          <t>몬스터의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등급</t>
        </r>
        <r>
          <rPr>
            <sz val="9"/>
            <color indexed="8"/>
            <rFont val="Tahoma"/>
            <family val="3"/>
            <charset val="129"/>
          </rPr>
          <t xml:space="preserve"> 2=</t>
        </r>
        <r>
          <rPr>
            <sz val="9"/>
            <color indexed="8"/>
            <rFont val="돋움"/>
            <family val="3"/>
            <charset val="129"/>
          </rPr>
          <t>일반</t>
        </r>
        <r>
          <rPr>
            <sz val="9"/>
            <color indexed="8"/>
            <rFont val="Tahoma"/>
            <family val="3"/>
            <charset val="129"/>
          </rPr>
          <t xml:space="preserve"> 3=</t>
        </r>
        <r>
          <rPr>
            <sz val="9"/>
            <color indexed="8"/>
            <rFont val="돋움"/>
            <family val="3"/>
            <charset val="129"/>
          </rPr>
          <t>정예</t>
        </r>
        <r>
          <rPr>
            <sz val="9"/>
            <color indexed="8"/>
            <rFont val="Tahoma"/>
            <family val="3"/>
            <charset val="129"/>
          </rPr>
          <t xml:space="preserve"> 4=</t>
        </r>
        <r>
          <rPr>
            <sz val="9"/>
            <color indexed="8"/>
            <rFont val="돋움"/>
            <family val="3"/>
            <charset val="129"/>
          </rPr>
          <t>중보스</t>
        </r>
        <r>
          <rPr>
            <sz val="9"/>
            <color indexed="8"/>
            <rFont val="Tahoma"/>
            <family val="3"/>
            <charset val="129"/>
          </rPr>
          <t xml:space="preserve"> 5=</t>
        </r>
        <r>
          <rPr>
            <sz val="9"/>
            <color indexed="8"/>
            <rFont val="돋움"/>
            <family val="3"/>
            <charset val="129"/>
          </rPr>
          <t xml:space="preserve">보스
</t>
        </r>
        <r>
          <rPr>
            <sz val="9"/>
            <color indexed="8"/>
            <rFont val="Tahoma"/>
            <family val="3"/>
            <charset val="129"/>
          </rPr>
          <t xml:space="preserve">5,6 </t>
        </r>
        <r>
          <rPr>
            <sz val="9"/>
            <color indexed="8"/>
            <rFont val="돋움"/>
            <family val="3"/>
            <charset val="129"/>
          </rPr>
          <t>번째자리</t>
        </r>
        <r>
          <rPr>
            <sz val="9"/>
            <color indexed="8"/>
            <rFont val="Tahoma"/>
            <family val="3"/>
            <charset val="129"/>
          </rPr>
          <t xml:space="preserve"> = </t>
        </r>
        <r>
          <rPr>
            <sz val="9"/>
            <color indexed="8"/>
            <rFont val="돋움"/>
            <family val="3"/>
            <charset val="129"/>
          </rPr>
          <t>액트구분</t>
        </r>
        <r>
          <rPr>
            <sz val="9"/>
            <color indexed="8"/>
            <rFont val="Tahoma"/>
            <family val="3"/>
            <charset val="129"/>
          </rPr>
          <t xml:space="preserve"> 01~99
7~9</t>
        </r>
        <r>
          <rPr>
            <sz val="9"/>
            <color indexed="8"/>
            <rFont val="돋움"/>
            <family val="3"/>
            <charset val="129"/>
          </rPr>
          <t>번째자리</t>
        </r>
        <r>
          <rPr>
            <sz val="9"/>
            <color indexed="8"/>
            <rFont val="Tahoma"/>
            <family val="3"/>
            <charset val="129"/>
          </rPr>
          <t xml:space="preserve"> = </t>
        </r>
        <r>
          <rPr>
            <sz val="9"/>
            <color indexed="8"/>
            <rFont val="돋움"/>
            <family val="3"/>
            <charset val="129"/>
          </rPr>
          <t>순번</t>
        </r>
      </text>
    </comment>
    <comment ref="D5" authorId="1" shapeId="0">
      <text>
        <r>
          <rPr>
            <b/>
            <sz val="9"/>
            <color indexed="8"/>
            <rFont val="Tahoma"/>
            <family val="3"/>
            <charset val="129"/>
          </rPr>
          <t>체력 배율 배율</t>
        </r>
      </text>
    </comment>
    <comment ref="E5" authorId="1" shapeId="0">
      <text>
        <r>
          <rPr>
            <b/>
            <sz val="9"/>
            <color indexed="8"/>
            <rFont val="Tahoma"/>
            <family val="3"/>
            <charset val="129"/>
          </rPr>
          <t>초당 체력회복</t>
        </r>
      </text>
    </comment>
    <comment ref="F5" authorId="1" shapeId="0">
      <text>
        <r>
          <rPr>
            <b/>
            <sz val="9"/>
            <color indexed="8"/>
            <rFont val="Tahoma"/>
            <family val="3"/>
            <charset val="129"/>
          </rPr>
          <t>마력량</t>
        </r>
      </text>
    </comment>
    <comment ref="G5" authorId="1" shapeId="0">
      <text>
        <r>
          <rPr>
            <b/>
            <sz val="9"/>
            <color indexed="8"/>
            <rFont val="Tahoma"/>
            <family val="3"/>
            <charset val="129"/>
          </rPr>
          <t>초당 마력회복</t>
        </r>
      </text>
    </comment>
    <comment ref="H5" authorId="1" shapeId="0">
      <text>
        <r>
          <rPr>
            <b/>
            <sz val="9"/>
            <color indexed="8"/>
            <rFont val="Tahoma"/>
            <family val="3"/>
            <charset val="129"/>
          </rPr>
          <t>물리 공격력</t>
        </r>
      </text>
    </comment>
    <comment ref="I5" authorId="1" shapeId="0">
      <text>
        <r>
          <rPr>
            <b/>
            <sz val="9"/>
            <color indexed="8"/>
            <rFont val="Tahoma"/>
            <family val="3"/>
            <charset val="129"/>
          </rPr>
          <t>마법 공격력 배율</t>
        </r>
      </text>
    </comment>
    <comment ref="J5" authorId="1" shapeId="0">
      <text>
        <r>
          <rPr>
            <b/>
            <sz val="9"/>
            <color indexed="8"/>
            <rFont val="Tahoma"/>
            <family val="3"/>
            <charset val="129"/>
          </rPr>
          <t>물리 방어력 배율</t>
        </r>
      </text>
    </comment>
    <comment ref="K5" authorId="1" shapeId="0">
      <text>
        <r>
          <rPr>
            <b/>
            <sz val="9"/>
            <color indexed="8"/>
            <rFont val="Tahoma"/>
            <family val="3"/>
            <charset val="129"/>
          </rPr>
          <t>마법 방어력 배율</t>
        </r>
      </text>
    </comment>
    <comment ref="L5" authorId="1" shapeId="0">
      <text>
        <r>
          <rPr>
            <b/>
            <sz val="9"/>
            <color indexed="8"/>
            <rFont val="Tahoma"/>
            <family val="3"/>
            <charset val="129"/>
          </rPr>
          <t>명중 배율</t>
        </r>
      </text>
    </comment>
    <comment ref="M5" authorId="1" shapeId="0">
      <text>
        <r>
          <rPr>
            <b/>
            <sz val="9"/>
            <color indexed="8"/>
            <rFont val="Tahoma"/>
            <family val="3"/>
            <charset val="129"/>
          </rPr>
          <t>회피율 배율
(0.0 ~ 1.0)</t>
        </r>
      </text>
    </comment>
    <comment ref="N5" authorId="1" shapeId="0">
      <text>
        <r>
          <rPr>
            <b/>
            <sz val="9"/>
            <color indexed="8"/>
            <rFont val="Tahoma"/>
            <family val="3"/>
            <charset val="129"/>
          </rPr>
          <t>치명 발생율 배율
(0.0 ~ 1.0)</t>
        </r>
      </text>
    </comment>
    <comment ref="O5" authorId="1" shapeId="0">
      <text>
        <r>
          <rPr>
            <b/>
            <sz val="9"/>
            <color indexed="8"/>
            <rFont val="Tahoma"/>
            <family val="3"/>
            <charset val="129"/>
          </rPr>
          <t>치명저항 배율</t>
        </r>
      </text>
    </comment>
    <comment ref="P5" authorId="1" shapeId="0">
      <text>
        <r>
          <rPr>
            <b/>
            <sz val="9"/>
            <color indexed="8"/>
            <rFont val="Tahoma"/>
            <family val="3"/>
            <charset val="129"/>
          </rPr>
          <t>치명피해 배율</t>
        </r>
      </text>
    </comment>
    <comment ref="Q5" authorId="1" shapeId="0">
      <text>
        <r>
          <rPr>
            <b/>
            <sz val="9"/>
            <color indexed="8"/>
            <rFont val="Tahoma"/>
            <family val="3"/>
            <charset val="129"/>
          </rPr>
          <t>치명피해 저항 배율</t>
        </r>
      </text>
    </comment>
    <comment ref="R5" authorId="1" shapeId="0">
      <text>
        <r>
          <rPr>
            <b/>
            <sz val="9"/>
            <color indexed="8"/>
            <rFont val="Tahoma"/>
            <family val="3"/>
            <charset val="129"/>
          </rPr>
          <t>관통 배율</t>
        </r>
      </text>
    </comment>
  </commentList>
</comments>
</file>

<file path=xl/comments4.xml><?xml version="1.0" encoding="utf-8"?>
<comments xmlns="http://schemas.openxmlformats.org/spreadsheetml/2006/main">
  <authors>
    <author>taekhoon</author>
  </authors>
  <commentList>
    <comment ref="E2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= (상품의 DropRate / 슬롯 그룹 내 DropRate 총 합) * 100
예) 1슬롯 그룹 내 총합은 455이며 1번 상품의 DropRate [50]에 대한 실제 당첨 확률은 10.98 이다. 
</t>
        </r>
      </text>
    </comment>
  </commentList>
</comments>
</file>

<file path=xl/sharedStrings.xml><?xml version="1.0" encoding="utf-8"?>
<sst xmlns="http://schemas.openxmlformats.org/spreadsheetml/2006/main" count="1970" uniqueCount="444">
  <si>
    <t>Tool 에서 읽어들이는 값에 대한 여부를 결정하는 필드</t>
  </si>
  <si>
    <t>조력자 네임</t>
  </si>
  <si>
    <t>조력자 종류 별 코드</t>
  </si>
  <si>
    <t>조력자 설명 텍스트 코드</t>
  </si>
  <si>
    <t>사용안함</t>
  </si>
  <si>
    <t>조력자 소환등급</t>
  </si>
  <si>
    <t>소환 시 조각 수량</t>
  </si>
  <si>
    <t>최대 승급단계</t>
  </si>
  <si>
    <t>조력자 체력증가비</t>
  </si>
  <si>
    <t>조력자 체력회복률</t>
  </si>
  <si>
    <t>활력충전도(조력자비사용)</t>
  </si>
  <si>
    <t>조력자 기본공격력</t>
  </si>
  <si>
    <t>조력자공격속도</t>
  </si>
  <si>
    <t>치명타 확률</t>
  </si>
  <si>
    <t>치명타 세기</t>
  </si>
  <si>
    <t>치명타저항</t>
  </si>
  <si>
    <t>피해감소</t>
  </si>
  <si>
    <t>방어력</t>
  </si>
  <si>
    <t>회피율</t>
  </si>
  <si>
    <t>적중도</t>
  </si>
  <si>
    <t>상태이상저항</t>
  </si>
  <si>
    <t>이동속도</t>
  </si>
  <si>
    <t>흑마력</t>
  </si>
  <si>
    <t>Tool</t>
  </si>
  <si>
    <t>Common</t>
  </si>
  <si>
    <t>bool</t>
  </si>
  <si>
    <t>string</t>
  </si>
  <si>
    <t>int</t>
  </si>
  <si>
    <t>float</t>
  </si>
  <si>
    <t>Read</t>
  </si>
  <si>
    <t>Description</t>
  </si>
  <si>
    <t>GeneralTypeCode</t>
  </si>
  <si>
    <t>NameTextKey</t>
  </si>
  <si>
    <t>SummonCount</t>
  </si>
  <si>
    <t>MaxGrade</t>
  </si>
  <si>
    <t>IconImageCode_Big</t>
  </si>
  <si>
    <t>IconImageCode_Normal</t>
  </si>
  <si>
    <t>IconImageCode_Ingame</t>
  </si>
  <si>
    <t>HP</t>
  </si>
  <si>
    <t>HpRegenerationPer5Sec</t>
  </si>
  <si>
    <t>StmChrg</t>
  </si>
  <si>
    <t>AttkPow</t>
  </si>
  <si>
    <t>AttkSpd</t>
  </si>
  <si>
    <t>CrtRt</t>
  </si>
  <si>
    <t>CtrPow</t>
  </si>
  <si>
    <t>CrtPowDecr</t>
  </si>
  <si>
    <t>DmgDecr</t>
  </si>
  <si>
    <t>DfsPow</t>
  </si>
  <si>
    <t>AvdRt</t>
  </si>
  <si>
    <t>Accr</t>
  </si>
  <si>
    <t>StReg</t>
  </si>
  <si>
    <t>MvSpd</t>
  </si>
  <si>
    <t>DkFrc</t>
  </si>
  <si>
    <t>서포터 네임</t>
  </si>
  <si>
    <t>서포터 종류 별 코드</t>
  </si>
  <si>
    <t>서포터 체력증가비</t>
  </si>
  <si>
    <t>서포터 체력회복률 증가비</t>
  </si>
  <si>
    <t>활력충전도(서포터비사용) 증가비</t>
  </si>
  <si>
    <t>서포터 기본공격력 증가비</t>
  </si>
  <si>
    <t>서포터공격속도 증가비</t>
  </si>
  <si>
    <t>치명타 확률 증가비</t>
  </si>
  <si>
    <t>치명타 세기 증가비</t>
  </si>
  <si>
    <t>치명타저항 증가비</t>
  </si>
  <si>
    <t>피해감소 증가비</t>
  </si>
  <si>
    <t>방어력 증가비</t>
  </si>
  <si>
    <t>회피율 증가비</t>
  </si>
  <si>
    <t>적중도 증가비</t>
  </si>
  <si>
    <t>상태이상저항 증가비</t>
  </si>
  <si>
    <t>이동속도 증가비</t>
  </si>
  <si>
    <t>흑마력 증가비</t>
  </si>
  <si>
    <t>Comment</t>
  </si>
  <si>
    <t>1레벨 경험치 정보</t>
  </si>
  <si>
    <t>2레벨 경험치 정보</t>
  </si>
  <si>
    <t>3레벨 경험치 정보</t>
  </si>
  <si>
    <t>4레벨 경험치 정보</t>
  </si>
  <si>
    <t>5레벨 경험치 정보</t>
  </si>
  <si>
    <t>6레벨 경험치 정보</t>
  </si>
  <si>
    <t>7레벨 경험치 정보</t>
  </si>
  <si>
    <t>8레벨 경험치 정보</t>
  </si>
  <si>
    <t>9레벨 경험치 정보</t>
  </si>
  <si>
    <t>10레벨 경험치 정보</t>
  </si>
  <si>
    <t>11레벨 경험치 정보</t>
  </si>
  <si>
    <t>12레벨 경험치 정보</t>
  </si>
  <si>
    <t>13레벨 경험치 정보</t>
  </si>
  <si>
    <t>14레벨 경험치 정보</t>
  </si>
  <si>
    <t>15레벨 경험치 정보</t>
  </si>
  <si>
    <t>16레벨 경험치 정보</t>
  </si>
  <si>
    <t>17레벨 경험치 정보</t>
  </si>
  <si>
    <t>18레벨 경험치 정보</t>
  </si>
  <si>
    <t>19레벨 경험치 정보</t>
  </si>
  <si>
    <t>20레벨 경험치 정보</t>
  </si>
  <si>
    <t>21레벨 경험치 정보</t>
  </si>
  <si>
    <t>22레벨 경험치 정보</t>
  </si>
  <si>
    <t>23레벨 경험치 정보</t>
  </si>
  <si>
    <t>24레벨 경험치 정보</t>
  </si>
  <si>
    <t>25레벨 경험치 정보</t>
  </si>
  <si>
    <t>26레벨 경험치 정보</t>
  </si>
  <si>
    <t>27레벨 경험치 정보</t>
  </si>
  <si>
    <t>28레벨 경험치 정보</t>
  </si>
  <si>
    <t>29레벨 경험치 정보</t>
  </si>
  <si>
    <t>30레벨 경험치 정보</t>
  </si>
  <si>
    <t>Int</t>
  </si>
  <si>
    <t>2성 조력자 소환</t>
  </si>
  <si>
    <t>3성 조력자 소환</t>
  </si>
  <si>
    <t>Gem</t>
  </si>
  <si>
    <t>160001001 - 골드
160001002 - 젬(보석)
160002001 - 일반뽑기권
160002002 - 고급뽑기권
160002003 - 입장권
160002004 - 트포피
160002005 - 균열석
160004001 - 아이템 증가권
160004002 - 경험치 증가권
160004003 - 골드 증가권
160004004 - 즉시완료권</t>
  </si>
  <si>
    <t>Grade
-1: Invalid(등급없음)
1: Common(일반,노멀)
2: Magic(마법,매직)
3: Rare(희귀,레어)
4: Unique(유일,유니크)
5: Hero(영웅,히어로)
6: Legendary(전설,레전드)
7: Immortal(불멸)</t>
  </si>
  <si>
    <t>enum : 
sbyte : 
eEquipType</t>
  </si>
  <si>
    <t>TextSupporterName</t>
  </si>
  <si>
    <t>TextSupporterDesc</t>
  </si>
  <si>
    <t>ItemCount</t>
  </si>
  <si>
    <t>DropRate</t>
  </si>
  <si>
    <t>155102002</t>
  </si>
  <si>
    <t>155102003</t>
  </si>
  <si>
    <t>155102004</t>
  </si>
  <si>
    <t>155102005</t>
  </si>
  <si>
    <t>155102006</t>
  </si>
  <si>
    <t>155103002</t>
  </si>
  <si>
    <t>155103003</t>
  </si>
  <si>
    <t>155103004</t>
  </si>
  <si>
    <t>155103005</t>
  </si>
  <si>
    <t>155103006</t>
  </si>
  <si>
    <t>155103007</t>
  </si>
  <si>
    <t>155103008</t>
  </si>
  <si>
    <t>155103009</t>
  </si>
  <si>
    <t>155103010</t>
  </si>
  <si>
    <t>155103011</t>
  </si>
  <si>
    <t>155103012</t>
  </si>
  <si>
    <t>Superior</t>
  </si>
  <si>
    <t>Servant</t>
  </si>
  <si>
    <t>155102001</t>
  </si>
  <si>
    <t>155103001</t>
  </si>
  <si>
    <t>조각 인덱스</t>
  </si>
  <si>
    <t>조각 획득경로</t>
  </si>
  <si>
    <t>ServantDescriptionKey</t>
  </si>
  <si>
    <t>PieceTypeCode</t>
  </si>
  <si>
    <t>PieceGainRoot</t>
  </si>
  <si>
    <t>SummonGrade</t>
  </si>
  <si>
    <t>NoData</t>
  </si>
  <si>
    <t>Rare</t>
  </si>
  <si>
    <t>ServantLevelUPStatus</t>
  </si>
  <si>
    <t>ServantLevelExperience</t>
  </si>
  <si>
    <t>Level</t>
  </si>
  <si>
    <t>NeedExperience</t>
  </si>
  <si>
    <t>NeedExperienceToNextLevel</t>
  </si>
  <si>
    <t>ServantAchievement</t>
  </si>
  <si>
    <t>2001 - 미션타입설정
2002 - 일일
2003 - 주간
2004 - 이벤트
2005 - 던전업적
2006 - 조력자업적</t>
  </si>
  <si>
    <t>DescriptionKey</t>
  </si>
  <si>
    <t>RewardTypeCode</t>
  </si>
  <si>
    <t>RewardCount</t>
  </si>
  <si>
    <t>EquipType</t>
  </si>
  <si>
    <t>ItemGrade</t>
  </si>
  <si>
    <t>1성 조력자 소환</t>
  </si>
  <si>
    <t>54201</t>
  </si>
  <si>
    <t>55201</t>
  </si>
  <si>
    <t>120401001, 120402003, 120403007, 120404010, 120405005, 120406002, 120407008, 120408006</t>
  </si>
  <si>
    <t>120401005, 120402007, 120403009, 120405002, 120406004, 120408003</t>
  </si>
  <si>
    <t>120401002, 120402004, 120403003, 120404007, 120405009, 120406006, 120407010, 120408008</t>
  </si>
  <si>
    <t>120401008, 120402002, 120403001, 120404002, 120407007, 120408005</t>
  </si>
  <si>
    <t>120401003, 120402001, 120403005, 120404004, 120405007, 120406009, 120407002, 120408010</t>
  </si>
  <si>
    <t>120401010, 120402005, 120404001, 120405008</t>
  </si>
  <si>
    <t>120401006, 120402008, 120403010, 120405001</t>
  </si>
  <si>
    <t>120403004, 120404008, 120405006, 120406001</t>
  </si>
  <si>
    <t>120401007, 120402009, 120403006, 120404009, 120405010, 120406003</t>
  </si>
  <si>
    <t>120404006, 120406005, 120407003, 120408004</t>
  </si>
  <si>
    <t>120401009, 120402010, 120403008, 120404005, 120405003, 120407001</t>
  </si>
  <si>
    <t>120405004, 120406010, 120407005, 120408002</t>
  </si>
  <si>
    <t>120406008, 120407006, 120408001</t>
  </si>
  <si>
    <t>120407004, 120408009</t>
  </si>
  <si>
    <t>CharLevel 1~25 상점</t>
    <phoneticPr fontId="31" type="noConversion"/>
  </si>
  <si>
    <t>CharLevel 26~40 상점</t>
    <phoneticPr fontId="31" type="noConversion"/>
  </si>
  <si>
    <t>CharLevel 41~50 상점</t>
    <phoneticPr fontId="31" type="noConversion"/>
  </si>
  <si>
    <t>ServantPieceStoreProduct</t>
  </si>
  <si>
    <t>상품 인덱스</t>
  </si>
  <si>
    <t>ServantPieceStore에
설정된 상품그룹 인덱스</t>
  </si>
  <si>
    <t>상점 슬롯
1Slot~6Slot</t>
  </si>
  <si>
    <t>ProductSlot에 구성된 아이템 중 하나가 뽑힐 때까지 반복하여 뽑음
DropRate의 확률설정은 100%을 기준으로 값을 입력하지만 그룹의 총 합이 100% 아닐 수 있다.</t>
  </si>
  <si>
    <t>조력자 조각
인덱스 설정</t>
  </si>
  <si>
    <t>판매 수량
1~3개</t>
  </si>
  <si>
    <t>조력자 조각
판매 타입</t>
  </si>
  <si>
    <t>조력자 조각
판매 수량</t>
  </si>
  <si>
    <t>ProductGroup</t>
  </si>
  <si>
    <t>ProductSlot</t>
  </si>
  <si>
    <t>ItemTypeCode</t>
  </si>
  <si>
    <t>BuyType</t>
  </si>
  <si>
    <t>Price</t>
  </si>
  <si>
    <t>CharLevel1~25 1st 슬롯 상품 구성</t>
  </si>
  <si>
    <t>CharLevel1~25 2nd 슬롯 상품 구성</t>
  </si>
  <si>
    <t>CharLevel1~25 3rd 슬롯 상품 구성</t>
  </si>
  <si>
    <t>CharLevel1~25 4th 슬롯 상품 구성</t>
  </si>
  <si>
    <t>CharLevel1~25 5th 슬롯 상품 구성</t>
  </si>
  <si>
    <t>CharLevel1~25 6th 슬롯 상품 구성</t>
  </si>
  <si>
    <t>CharLevel26~40 1st 슬롯 상품 구성</t>
  </si>
  <si>
    <t>CharLevel26~40 2nd 슬롯 상품 구성</t>
  </si>
  <si>
    <t>CharLevel26~40 3rd 슬롯 상품 구성</t>
  </si>
  <si>
    <t>CharLevel26~40 4th 슬롯 상품 구성</t>
  </si>
  <si>
    <t>CharLevel26~40 5th 슬롯 상품 구성</t>
  </si>
  <si>
    <t>CharLevel26~40 6th 슬롯 상품 구성</t>
  </si>
  <si>
    <t>CharLevel41~50 1st 슬롯 상품 구성</t>
  </si>
  <si>
    <t>CharLevel41~50 2nd 슬롯 상품 구성</t>
  </si>
  <si>
    <t>CharLevel41~50 3rd 슬롯 상품 구성</t>
  </si>
  <si>
    <t>CharLevel41~50 4th 슬롯 상품 구성</t>
  </si>
  <si>
    <t>CharLevel41~50 5th 슬롯 상품 구성</t>
  </si>
  <si>
    <t>CharLevel41~50 6th 슬롯 상품 구성</t>
  </si>
  <si>
    <t>list&lt;int&gt;</t>
  </si>
  <si>
    <t>enum : 
sbyte : 
TableEnum.eSummonGrade</t>
  </si>
  <si>
    <t>ServantPieceStore</t>
  </si>
  <si>
    <t>상점 인덱스</t>
  </si>
  <si>
    <t>캐릭터 최소 레벨</t>
  </si>
  <si>
    <t>캐릭터 최대 레벨</t>
  </si>
  <si>
    <t>상품 그룹 인덱스
DB &gt; SupporterPieceStoreProduct</t>
  </si>
  <si>
    <t>CharLevelPMin</t>
  </si>
  <si>
    <t>CharLevelPMiX</t>
  </si>
  <si>
    <t>PriductGroupCode</t>
  </si>
  <si>
    <t>재사용 쿨타임</t>
  </si>
  <si>
    <t>IconImageCode</t>
  </si>
  <si>
    <t>CoolTime</t>
  </si>
  <si>
    <t>조력자 피구르</t>
  </si>
  <si>
    <t>120401004, 120402006, 120403002, 120404003, 120406007, 120407009</t>
  </si>
  <si>
    <t>조력자 수페르모</t>
  </si>
  <si>
    <t>조력자 베아루스</t>
  </si>
  <si>
    <t>조력자 오넬로</t>
  </si>
  <si>
    <t>조력자 그리모크</t>
  </si>
  <si>
    <t>조력자 데스로크</t>
  </si>
  <si>
    <t>조력자 쿠르크</t>
  </si>
  <si>
    <t>조력자 쿠이안</t>
  </si>
  <si>
    <t>조력자 로켈토즈</t>
  </si>
  <si>
    <t>조력자 드레이크</t>
  </si>
  <si>
    <t>조력자 미아스튜터</t>
  </si>
  <si>
    <t>15</t>
  </si>
  <si>
    <t>조력자 루스트룸</t>
  </si>
  <si>
    <t>조력자 프리겔리두즈</t>
  </si>
  <si>
    <t>조력자 헤르케리움</t>
  </si>
  <si>
    <t>120408007</t>
  </si>
  <si>
    <t>Grade</t>
    <phoneticPr fontId="31" type="noConversion"/>
  </si>
  <si>
    <t>Level</t>
    <phoneticPr fontId="31" type="noConversion"/>
  </si>
  <si>
    <t>AddRate</t>
    <phoneticPr fontId="31" type="noConversion"/>
  </si>
  <si>
    <t>조력자 레글리스</t>
    <phoneticPr fontId="31" type="noConversion"/>
  </si>
  <si>
    <t>조력자 케라버그</t>
    <phoneticPr fontId="31" type="noConversion"/>
  </si>
  <si>
    <t>조력자 퀸투스</t>
    <phoneticPr fontId="31" type="noConversion"/>
  </si>
  <si>
    <t>조력자 레글리스</t>
    <phoneticPr fontId="31" type="noConversion"/>
  </si>
  <si>
    <t>조력자 케라버그</t>
    <phoneticPr fontId="31" type="noConversion"/>
  </si>
  <si>
    <t>조력자 퀸투스</t>
    <phoneticPr fontId="31" type="noConversion"/>
  </si>
  <si>
    <t>조력자 레글리스</t>
    <phoneticPr fontId="31" type="noConversion"/>
  </si>
  <si>
    <t>조력자 케라버그</t>
    <phoneticPr fontId="31" type="noConversion"/>
  </si>
  <si>
    <t>조력자 퀸투스</t>
    <phoneticPr fontId="31" type="noConversion"/>
  </si>
  <si>
    <t>CrtRt
치명타확률</t>
    <phoneticPr fontId="31" type="noConversion"/>
  </si>
  <si>
    <t>AttkPow
공격력</t>
    <phoneticPr fontId="31" type="noConversion"/>
  </si>
  <si>
    <t>HpRegen
체력회복
(5초)</t>
    <phoneticPr fontId="31" type="noConversion"/>
  </si>
  <si>
    <t>HP
체력</t>
    <phoneticPr fontId="31" type="noConversion"/>
  </si>
  <si>
    <t>CtrPow
치명타세기</t>
    <phoneticPr fontId="31" type="noConversion"/>
  </si>
  <si>
    <t>DmgDecr
피해감소</t>
    <phoneticPr fontId="31" type="noConversion"/>
  </si>
  <si>
    <t>DfsPow
방어력</t>
    <phoneticPr fontId="31" type="noConversion"/>
  </si>
  <si>
    <t>AvdRt
회피율</t>
    <phoneticPr fontId="31" type="noConversion"/>
  </si>
  <si>
    <t>Accr
적중도</t>
    <phoneticPr fontId="31" type="noConversion"/>
  </si>
  <si>
    <t>MvSpd
이동속도증가비</t>
    <phoneticPr fontId="31" type="noConversion"/>
  </si>
  <si>
    <t>DkFrc
흑마력증가비</t>
    <phoneticPr fontId="31" type="noConversion"/>
  </si>
  <si>
    <t>AddValue</t>
    <phoneticPr fontId="31" type="noConversion"/>
  </si>
  <si>
    <t>AttkSpd
공격속도</t>
    <phoneticPr fontId="31" type="noConversion"/>
  </si>
  <si>
    <t>Client</t>
  </si>
  <si>
    <t>조력자 레글리스</t>
  </si>
  <si>
    <t>조력자 케라버그</t>
  </si>
  <si>
    <t>14.56</t>
  </si>
  <si>
    <t>3.187</t>
  </si>
  <si>
    <t>5137</t>
  </si>
  <si>
    <t>15.59</t>
  </si>
  <si>
    <t>4.106</t>
  </si>
  <si>
    <t>0.3</t>
    <phoneticPr fontId="32" type="noConversion"/>
  </si>
  <si>
    <t>0.4</t>
    <phoneticPr fontId="32" type="noConversion"/>
  </si>
  <si>
    <t>7.565</t>
    <phoneticPr fontId="32" type="noConversion"/>
  </si>
  <si>
    <t>11.265</t>
    <phoneticPr fontId="32" type="noConversion"/>
  </si>
  <si>
    <t>CrtPowDecr
치명타저항</t>
    <phoneticPr fontId="31" type="noConversion"/>
  </si>
  <si>
    <t>StReg
상태이상저항</t>
    <phoneticPr fontId="31" type="noConversion"/>
  </si>
  <si>
    <t>조력자 피구르</t>
    <phoneticPr fontId="32" type="noConversion"/>
  </si>
  <si>
    <t>조력자 수페르모</t>
    <phoneticPr fontId="32" type="noConversion"/>
  </si>
  <si>
    <t>조력자 수페르모</t>
    <phoneticPr fontId="31" type="noConversion"/>
  </si>
  <si>
    <t>조력자 베아루스</t>
    <phoneticPr fontId="32" type="noConversion"/>
  </si>
  <si>
    <t>조력자 베아루스</t>
    <phoneticPr fontId="31" type="noConversion"/>
  </si>
  <si>
    <t>조력자 오넬로</t>
    <phoneticPr fontId="32" type="noConversion"/>
  </si>
  <si>
    <t>조력자 그리모크</t>
    <phoneticPr fontId="32" type="noConversion"/>
  </si>
  <si>
    <t>조력자 그리모크</t>
    <phoneticPr fontId="31" type="noConversion"/>
  </si>
  <si>
    <t>조력자 데스로크</t>
    <phoneticPr fontId="32" type="noConversion"/>
  </si>
  <si>
    <t>조력자 쿠르크</t>
    <phoneticPr fontId="31" type="noConversion"/>
  </si>
  <si>
    <t>조력자 쿠이안</t>
    <phoneticPr fontId="31" type="noConversion"/>
  </si>
  <si>
    <t>조력자 로켈토즈</t>
    <phoneticPr fontId="31" type="noConversion"/>
  </si>
  <si>
    <t>조력자 드레이크</t>
    <phoneticPr fontId="31" type="noConversion"/>
  </si>
  <si>
    <t>조력자 미아스튜터</t>
    <phoneticPr fontId="31" type="noConversion"/>
  </si>
  <si>
    <t>조력자 루스트룸</t>
    <phoneticPr fontId="31" type="noConversion"/>
  </si>
  <si>
    <t>조력자 프리겔리두즈</t>
    <phoneticPr fontId="31" type="noConversion"/>
  </si>
  <si>
    <t>조력자 헤르케리움</t>
    <phoneticPr fontId="31" type="noConversion"/>
  </si>
  <si>
    <t>조력자 퀸투스</t>
    <phoneticPr fontId="31" type="noConversion"/>
  </si>
  <si>
    <t>조력자 페르페투스</t>
    <phoneticPr fontId="31" type="noConversion"/>
  </si>
  <si>
    <t>조력자 황제-멜</t>
    <phoneticPr fontId="31" type="noConversion"/>
  </si>
  <si>
    <t>조력자 로난</t>
    <phoneticPr fontId="31" type="noConversion"/>
  </si>
  <si>
    <t>조력자 브란데움</t>
    <phoneticPr fontId="31" type="noConversion"/>
  </si>
  <si>
    <t>조력자 잉겔리아</t>
    <phoneticPr fontId="31" type="noConversion"/>
  </si>
  <si>
    <t>조력자 베르디우스</t>
    <phoneticPr fontId="31" type="noConversion"/>
  </si>
  <si>
    <t>조력자 보이드</t>
    <phoneticPr fontId="31" type="noConversion"/>
  </si>
  <si>
    <t>AttkPow</t>
    <phoneticPr fontId="32" type="noConversion"/>
  </si>
  <si>
    <t>조력자 오넬로</t>
    <phoneticPr fontId="31" type="noConversion"/>
  </si>
  <si>
    <t>조력자 데스로크</t>
    <phoneticPr fontId="31" type="noConversion"/>
  </si>
  <si>
    <t>Grade</t>
    <phoneticPr fontId="31" type="noConversion"/>
  </si>
  <si>
    <t>조력자 베아루스</t>
    <phoneticPr fontId="31" type="noConversion"/>
  </si>
  <si>
    <t>조력자 그리모크</t>
    <phoneticPr fontId="31" type="noConversion"/>
  </si>
  <si>
    <t>조력자 쿠르크</t>
    <phoneticPr fontId="31" type="noConversion"/>
  </si>
  <si>
    <t>조력자 쿠이안</t>
    <phoneticPr fontId="31" type="noConversion"/>
  </si>
  <si>
    <t>조력자 로켈토즈</t>
    <phoneticPr fontId="31" type="noConversion"/>
  </si>
  <si>
    <t>조력자 드레이크</t>
    <phoneticPr fontId="31" type="noConversion"/>
  </si>
  <si>
    <t>조력자 미아스튜터</t>
    <phoneticPr fontId="31" type="noConversion"/>
  </si>
  <si>
    <t>조력자 루스트룸</t>
    <phoneticPr fontId="31" type="noConversion"/>
  </si>
  <si>
    <t>조력자 프리겔리두즈</t>
    <phoneticPr fontId="31" type="noConversion"/>
  </si>
  <si>
    <t>조력자 헤르케리움</t>
    <phoneticPr fontId="31" type="noConversion"/>
  </si>
  <si>
    <t>조력자 페르페투스</t>
    <phoneticPr fontId="31" type="noConversion"/>
  </si>
  <si>
    <t>조력자 황제-멜</t>
    <phoneticPr fontId="31" type="noConversion"/>
  </si>
  <si>
    <t>조력자 로난</t>
    <phoneticPr fontId="31" type="noConversion"/>
  </si>
  <si>
    <t>조력자 브란데움</t>
    <phoneticPr fontId="31" type="noConversion"/>
  </si>
  <si>
    <t>조력자 잉겔리아</t>
    <phoneticPr fontId="31" type="noConversion"/>
  </si>
  <si>
    <t>조력자 베르디우스</t>
    <phoneticPr fontId="31" type="noConversion"/>
  </si>
  <si>
    <t>조력자 보이드</t>
    <phoneticPr fontId="31" type="noConversion"/>
  </si>
  <si>
    <t>AttkPow
공격력</t>
    <phoneticPr fontId="31" type="noConversion"/>
  </si>
  <si>
    <t>DfsPow</t>
    <phoneticPr fontId="31" type="noConversion"/>
  </si>
  <si>
    <t>DfsPow
방어력</t>
    <phoneticPr fontId="31" type="noConversion"/>
  </si>
  <si>
    <t>Servant List</t>
    <phoneticPr fontId="31" type="noConversion"/>
  </si>
  <si>
    <t>상품 인덱스
동일한 조력자 조각 인덱스가 서로 다른 젬/골드(재화)로 가격이 책정될 수 있기 때문에)</t>
  </si>
  <si>
    <t>상점 슬롯
1Slot~6Slot 그룹
(조력자 조각이 해당되는 슬롯을 설정해줌)</t>
  </si>
  <si>
    <t>ProductSlot에 구성된 아이템 중 하나가 뽑힐 때까지 반복하여 뽑음
DropRate의 확률설정은 동일한 슬롯 그룹 내 모든 상품구성의 DropRate(Point)의 총합을 100% 잡고, 각 구성 상품의 DropRate를 % 로 환산한다.</t>
  </si>
  <si>
    <t>조력자 조각
판매 가격</t>
  </si>
  <si>
    <t>Server</t>
  </si>
  <si>
    <t>1st 슬롯 상품 구성</t>
  </si>
  <si>
    <t>2nd 슬롯 상품 구성</t>
  </si>
  <si>
    <t>3rd 슬롯 상품 구성</t>
  </si>
  <si>
    <t>4th 슬롯 상품 구성</t>
  </si>
  <si>
    <t>5th 슬롯 상품 구성</t>
  </si>
  <si>
    <t>6th 슬롯 상품 구성</t>
  </si>
  <si>
    <t>Gold</t>
    <phoneticPr fontId="31" type="noConversion"/>
  </si>
  <si>
    <t>Gold</t>
    <phoneticPr fontId="31" type="noConversion"/>
  </si>
  <si>
    <t>Gold</t>
    <phoneticPr fontId="31" type="noConversion"/>
  </si>
  <si>
    <t>Gold</t>
    <phoneticPr fontId="31" type="noConversion"/>
  </si>
  <si>
    <t>Gold</t>
    <phoneticPr fontId="31" type="noConversion"/>
  </si>
  <si>
    <t>Gold</t>
    <phoneticPr fontId="31" type="noConversion"/>
  </si>
  <si>
    <t>Gold</t>
    <phoneticPr fontId="31" type="noConversion"/>
  </si>
  <si>
    <t>Gold</t>
    <phoneticPr fontId="31" type="noConversion"/>
  </si>
  <si>
    <t>조력자 작은 물약</t>
  </si>
  <si>
    <t>조력자 중형 물약</t>
  </si>
  <si>
    <t>조력자 대형 물약</t>
  </si>
  <si>
    <t>조력자 초대형 물약</t>
  </si>
  <si>
    <t>Act1</t>
    <phoneticPr fontId="32" type="noConversion"/>
  </si>
  <si>
    <t>Act2</t>
  </si>
  <si>
    <t>Act3</t>
  </si>
  <si>
    <t>Act4</t>
  </si>
  <si>
    <t>Act5</t>
  </si>
  <si>
    <t>Act6</t>
  </si>
  <si>
    <t>Act7</t>
  </si>
  <si>
    <t>Act8</t>
  </si>
  <si>
    <t>Min</t>
    <phoneticPr fontId="32" type="noConversion"/>
  </si>
  <si>
    <t>Max</t>
    <phoneticPr fontId="32" type="noConversion"/>
  </si>
  <si>
    <t>Exp</t>
    <phoneticPr fontId="32" type="noConversion"/>
  </si>
  <si>
    <t>Lv.30(개)</t>
    <phoneticPr fontId="32" type="noConversion"/>
  </si>
  <si>
    <t>Posion Exp</t>
    <phoneticPr fontId="32" type="noConversion"/>
  </si>
  <si>
    <t>Average</t>
    <phoneticPr fontId="32" type="noConversion"/>
  </si>
  <si>
    <t>Lv.30 플레이 횟수</t>
    <phoneticPr fontId="32" type="noConversion"/>
  </si>
  <si>
    <t>Character</t>
    <phoneticPr fontId="32" type="noConversion"/>
  </si>
  <si>
    <t>HP</t>
    <phoneticPr fontId="32" type="noConversion"/>
  </si>
  <si>
    <t>Atk</t>
    <phoneticPr fontId="32" type="noConversion"/>
  </si>
  <si>
    <t>Def</t>
    <phoneticPr fontId="32" type="noConversion"/>
  </si>
  <si>
    <t>Berserker</t>
    <phoneticPr fontId="32" type="noConversion"/>
  </si>
  <si>
    <t>Demonhunter</t>
    <phoneticPr fontId="32" type="noConversion"/>
  </si>
  <si>
    <t>Archon</t>
    <phoneticPr fontId="32" type="noConversion"/>
  </si>
  <si>
    <t>Knight</t>
    <phoneticPr fontId="32" type="noConversion"/>
  </si>
  <si>
    <t>Servant_5 Grage</t>
    <phoneticPr fontId="32" type="noConversion"/>
  </si>
  <si>
    <t>Lv.1</t>
    <phoneticPr fontId="32" type="noConversion"/>
  </si>
  <si>
    <t>Lv.50 &amp; GDLv.2000</t>
    <phoneticPr fontId="32" type="noConversion"/>
  </si>
  <si>
    <t>조력자 퀸투스</t>
  </si>
  <si>
    <t>조력자 페르페투스</t>
  </si>
  <si>
    <t>조력자 황제-멜</t>
  </si>
  <si>
    <t>조력자 로난</t>
  </si>
  <si>
    <t>조력자 브란데움</t>
  </si>
  <si>
    <t>조력자 잉겔리아</t>
  </si>
  <si>
    <t>조력자 베르디우스</t>
  </si>
  <si>
    <t>조력자 보이드</t>
  </si>
  <si>
    <t>List</t>
    <phoneticPr fontId="32" type="noConversion"/>
  </si>
  <si>
    <t>Atk Frame</t>
    <phoneticPr fontId="32" type="noConversion"/>
  </si>
  <si>
    <t>Atk Ratio</t>
    <phoneticPr fontId="32" type="noConversion"/>
  </si>
  <si>
    <t>Ori Atk Frame</t>
    <phoneticPr fontId="32" type="noConversion"/>
  </si>
  <si>
    <t>Atk Constants</t>
    <phoneticPr fontId="32" type="noConversion"/>
  </si>
  <si>
    <t>피그미 조력자 파워어택</t>
  </si>
  <si>
    <t>이오니아 헌터(정예) 스킬1 강력샷</t>
  </si>
  <si>
    <t>늑대인간 스킬1 라이트닝 창</t>
  </si>
  <si>
    <t>누크던 정예 스킬1 훨윈드</t>
  </si>
  <si>
    <t>액트3 이교도 전사(정예)  스킬 1</t>
  </si>
  <si>
    <t>액트3 이교도 사제(정예)  스킬 1</t>
  </si>
  <si>
    <t>액트1 나무 히드라 스킬1(비뢰)</t>
  </si>
  <si>
    <t>액트1 나무 히드라조력자 올가미</t>
  </si>
  <si>
    <t>액트2 중보스 쿠굴자 스킬1번</t>
  </si>
  <si>
    <t>액트2 중보스 쿠굴자 스킬2번</t>
  </si>
  <si>
    <t>액트3 중보 쿠이안 스킬1번 광역 방귀뿡뿡</t>
  </si>
  <si>
    <t>액트3 중보 쿠이안 스킬2번</t>
  </si>
  <si>
    <t>액트4 중급 어쌔신 몬스터 스킬1(점프어택) 정예</t>
  </si>
  <si>
    <t>액트4 중급 어쌔신 몬스터 스킬2(스턴스톤) 정예</t>
  </si>
  <si>
    <t>액트4 중간보스 스킬1 에너지파</t>
  </si>
  <si>
    <t>액트4 중간보스 스킬1 무차별 폭파</t>
  </si>
  <si>
    <t>액트5 용족 라쿠니 몬스터 스킬1(점프어택) 정예</t>
  </si>
  <si>
    <t>액트5 용족 라쿠니 몬스터 스킬2(스턴스톤) 정예</t>
  </si>
  <si>
    <t>액트5 용족 라쿠니 조력자 아군 힐</t>
  </si>
  <si>
    <t>액트5 중보스 스킬1(난동)</t>
  </si>
  <si>
    <t>액트5 중보스 스킬2(난투)</t>
  </si>
  <si>
    <t>액트5 중보스 조력자 아군 공격력 버프</t>
  </si>
  <si>
    <t>액트6중보스 몬스터 스킬1 가시바닥</t>
  </si>
  <si>
    <t>액트6중보스 몬스터 스킬2 대지충격파</t>
  </si>
  <si>
    <t>액트6중보스 몬스터 스킬3 파워봄버</t>
  </si>
  <si>
    <t>액트7중보스 스킬1번 입김</t>
  </si>
  <si>
    <t>액트7중보스 스킬2번 돌진</t>
  </si>
  <si>
    <t>액트7중보스 조력자 아군 방어력 버프</t>
  </si>
  <si>
    <t>액트8중보스 몬스터 스킬1번 후려치기</t>
  </si>
  <si>
    <t>액트8중보스 몬스터 스킬2번 훨윈드</t>
  </si>
  <si>
    <t>액트8중보스 조력자 데미지 반사</t>
  </si>
  <si>
    <t>5th 슬롯 상품 구성</t>
    <phoneticPr fontId="31" type="noConversion"/>
  </si>
  <si>
    <t>6th 슬롯 상품 구성</t>
    <phoneticPr fontId="31" type="noConversion"/>
  </si>
  <si>
    <t>7th 슬롯 상품 구성</t>
  </si>
  <si>
    <t>7th 슬롯 상품 구성</t>
    <phoneticPr fontId="31" type="noConversion"/>
  </si>
  <si>
    <t>8th 슬롯 상품 구성</t>
  </si>
  <si>
    <t>8th 슬롯 상품 구성</t>
    <phoneticPr fontId="31" type="noConversion"/>
  </si>
  <si>
    <t>Gold</t>
  </si>
  <si>
    <t>Gem Price</t>
    <phoneticPr fontId="32" type="noConversion"/>
  </si>
  <si>
    <t>Gold Price</t>
    <phoneticPr fontId="32" type="noConversion"/>
  </si>
  <si>
    <t>Store Count</t>
    <phoneticPr fontId="32" type="noConversion"/>
  </si>
  <si>
    <t>787</t>
    <phoneticPr fontId="32" type="noConversion"/>
  </si>
  <si>
    <t>Normal</t>
  </si>
  <si>
    <t>Unique</t>
  </si>
  <si>
    <t>Heroic</t>
  </si>
  <si>
    <t>Legendary</t>
  </si>
  <si>
    <t>Atk Speed Ratio</t>
    <phoneticPr fontId="32" type="noConversion"/>
  </si>
  <si>
    <t>7856</t>
  </si>
  <si>
    <t>1.2</t>
    <phoneticPr fontId="31" type="noConversion"/>
  </si>
  <si>
    <t>4</t>
    <phoneticPr fontId="31" type="noConversion"/>
  </si>
  <si>
    <t>Act9</t>
  </si>
  <si>
    <t>Act10</t>
  </si>
  <si>
    <t>Act11</t>
  </si>
  <si>
    <t>* 66% 획득확률이 적용됨</t>
    <phoneticPr fontId="32" type="noConversion"/>
  </si>
  <si>
    <t>790</t>
    <phoneticPr fontId="32" type="noConversion"/>
  </si>
  <si>
    <t>990</t>
    <phoneticPr fontId="32" type="noConversion"/>
  </si>
  <si>
    <t>1.8</t>
    <phoneticPr fontId="32" type="noConversion"/>
  </si>
  <si>
    <t>142</t>
    <phoneticPr fontId="31" type="noConversion"/>
  </si>
  <si>
    <t>1.5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</si>
</sst>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0_);[Red]\(0\)"/>
    <numFmt numFmtId="177" formatCode="0.000"/>
    <numFmt numFmtId="178" formatCode="0_ "/>
    <numFmt numFmtId="179" formatCode="0.0"/>
    <numFmt numFmtId="180" formatCode="0.000_ "/>
  </numFmts>
  <fonts count="37" x14ac:knownFonts="1">
    <font>
      <sz val="11"/>
      <color indexed="8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10"/>
      <color indexed="9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9"/>
      <name val="맑은 고딕"/>
      <family val="3"/>
      <charset val="129"/>
    </font>
    <font>
      <b/>
      <sz val="9"/>
      <color indexed="9"/>
      <name val="맑은 고딕"/>
      <family val="3"/>
      <charset val="129"/>
    </font>
    <font>
      <sz val="10"/>
      <name val="맑은 고딕"/>
      <family val="3"/>
      <charset val="129"/>
    </font>
    <font>
      <b/>
      <sz val="9"/>
      <color indexed="8"/>
      <name val="Tahoma"/>
      <family val="3"/>
      <charset val="129"/>
    </font>
    <font>
      <b/>
      <sz val="9"/>
      <color indexed="8"/>
      <name val="돋움"/>
      <family val="3"/>
      <charset val="129"/>
    </font>
    <font>
      <sz val="9"/>
      <color indexed="8"/>
      <name val="Tahoma"/>
      <family val="3"/>
      <charset val="129"/>
    </font>
    <font>
      <sz val="9"/>
      <color indexed="8"/>
      <name val="돋움"/>
      <family val="3"/>
      <charset val="129"/>
    </font>
    <font>
      <sz val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theme="0"/>
      <name val="맑은 고딕"/>
      <family val="3"/>
      <charset val="129"/>
    </font>
    <font>
      <sz val="10"/>
      <color theme="0"/>
      <name val="맑은 고딕"/>
      <family val="2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7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D966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9E1F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1" fillId="6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21" fillId="34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22" fillId="35" borderId="11" xfId="45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21" fillId="33" borderId="11" xfId="43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2" fillId="0" borderId="0" xfId="0" applyNumberFormat="1" applyFont="1" applyFill="1" applyBorder="1" applyAlignment="1" applyProtection="1">
      <alignment horizontal="center" vertical="center"/>
    </xf>
    <xf numFmtId="49" fontId="22" fillId="40" borderId="11" xfId="45" applyNumberFormat="1" applyFont="1" applyFill="1" applyBorder="1" applyAlignment="1">
      <alignment horizontal="center" vertical="center"/>
    </xf>
    <xf numFmtId="49" fontId="21" fillId="36" borderId="12" xfId="43" applyNumberFormat="1" applyFont="1" applyFill="1" applyBorder="1" applyAlignment="1">
      <alignment horizontal="center" vertical="center"/>
    </xf>
    <xf numFmtId="49" fontId="21" fillId="36" borderId="13" xfId="43" applyNumberFormat="1" applyFont="1" applyFill="1" applyBorder="1" applyAlignment="1">
      <alignment horizontal="center" vertical="center"/>
    </xf>
    <xf numFmtId="0" fontId="22" fillId="32" borderId="10" xfId="20" applyFont="1" applyBorder="1" applyAlignment="1">
      <alignment horizontal="center" vertical="center"/>
    </xf>
    <xf numFmtId="49" fontId="22" fillId="32" borderId="10" xfId="20" applyNumberFormat="1" applyFont="1" applyBorder="1" applyAlignment="1">
      <alignment horizontal="center" vertical="center"/>
    </xf>
    <xf numFmtId="49" fontId="22" fillId="40" borderId="11" xfId="45" applyNumberFormat="1" applyFont="1" applyFill="1" applyBorder="1" applyAlignment="1">
      <alignment horizontal="center" vertical="center" wrapText="1"/>
    </xf>
    <xf numFmtId="0" fontId="22" fillId="39" borderId="15" xfId="0" applyFont="1" applyFill="1" applyBorder="1" applyAlignment="1">
      <alignment horizontal="center" vertical="center"/>
    </xf>
    <xf numFmtId="0" fontId="22" fillId="32" borderId="10" xfId="20" applyNumberFormat="1" applyFont="1" applyBorder="1" applyAlignment="1">
      <alignment horizontal="center" vertical="center"/>
    </xf>
    <xf numFmtId="49" fontId="22" fillId="40" borderId="11" xfId="45" applyNumberFormat="1" applyFont="1" applyFill="1" applyBorder="1" applyAlignment="1">
      <alignment horizontal="left" vertical="center" wrapText="1"/>
    </xf>
    <xf numFmtId="0" fontId="22" fillId="40" borderId="11" xfId="45" applyNumberFormat="1" applyFont="1" applyFill="1" applyBorder="1" applyAlignment="1">
      <alignment horizontal="left" vertical="center" wrapText="1"/>
    </xf>
    <xf numFmtId="49" fontId="21" fillId="36" borderId="14" xfId="43" applyNumberFormat="1" applyFont="1" applyFill="1" applyBorder="1" applyAlignment="1">
      <alignment horizontal="center" vertical="center"/>
    </xf>
    <xf numFmtId="0" fontId="21" fillId="36" borderId="14" xfId="43" applyNumberFormat="1" applyFont="1" applyFill="1" applyBorder="1" applyAlignment="1">
      <alignment horizontal="center" vertical="center"/>
    </xf>
    <xf numFmtId="0" fontId="22" fillId="32" borderId="16" xfId="20" applyFont="1" applyBorder="1" applyAlignment="1">
      <alignment horizontal="center" vertical="center"/>
    </xf>
    <xf numFmtId="49" fontId="22" fillId="32" borderId="16" xfId="20" applyNumberFormat="1" applyFont="1" applyBorder="1" applyAlignment="1">
      <alignment horizontal="center" vertical="center"/>
    </xf>
    <xf numFmtId="176" fontId="22" fillId="42" borderId="16" xfId="1" applyNumberFormat="1" applyFont="1" applyFill="1" applyBorder="1" applyAlignment="1">
      <alignment vertical="center"/>
    </xf>
    <xf numFmtId="0" fontId="22" fillId="39" borderId="16" xfId="0" applyFont="1" applyFill="1" applyBorder="1" applyAlignment="1">
      <alignment horizontal="center" vertical="center"/>
    </xf>
    <xf numFmtId="49" fontId="22" fillId="39" borderId="16" xfId="20" applyNumberFormat="1" applyFont="1" applyFill="1" applyBorder="1" applyAlignment="1">
      <alignment horizontal="center" vertical="center"/>
    </xf>
    <xf numFmtId="0" fontId="22" fillId="32" borderId="16" xfId="20" applyNumberFormat="1" applyFont="1" applyBorder="1" applyAlignment="1">
      <alignment horizontal="center" vertical="center"/>
    </xf>
    <xf numFmtId="49" fontId="21" fillId="36" borderId="17" xfId="43" applyNumberFormat="1" applyFont="1" applyFill="1" applyBorder="1" applyAlignment="1">
      <alignment horizontal="center" vertical="center"/>
    </xf>
    <xf numFmtId="49" fontId="21" fillId="41" borderId="17" xfId="20" applyNumberFormat="1" applyFont="1" applyFill="1" applyBorder="1" applyAlignment="1">
      <alignment horizontal="center" vertical="center"/>
    </xf>
    <xf numFmtId="49" fontId="21" fillId="41" borderId="17" xfId="0" applyNumberFormat="1" applyFont="1" applyFill="1" applyBorder="1" applyAlignment="1">
      <alignment horizontal="center" vertical="center"/>
    </xf>
    <xf numFmtId="49" fontId="21" fillId="41" borderId="18" xfId="0" applyNumberFormat="1" applyFont="1" applyFill="1" applyBorder="1" applyAlignment="1">
      <alignment horizontal="center" vertical="center" wrapText="1"/>
    </xf>
    <xf numFmtId="0" fontId="21" fillId="41" borderId="18" xfId="0" applyNumberFormat="1" applyFont="1" applyFill="1" applyBorder="1" applyAlignment="1">
      <alignment horizontal="center" vertical="center" wrapText="1"/>
    </xf>
    <xf numFmtId="49" fontId="21" fillId="38" borderId="19" xfId="45" applyNumberFormat="1" applyFont="1" applyFill="1" applyBorder="1" applyAlignment="1">
      <alignment horizontal="center" vertical="center"/>
    </xf>
    <xf numFmtId="49" fontId="21" fillId="38" borderId="17" xfId="45" applyNumberFormat="1" applyFont="1" applyFill="1" applyBorder="1" applyAlignment="1">
      <alignment horizontal="center" vertical="center" wrapText="1"/>
    </xf>
    <xf numFmtId="49" fontId="21" fillId="38" borderId="17" xfId="0" applyNumberFormat="1" applyFont="1" applyFill="1" applyBorder="1" applyAlignment="1">
      <alignment horizontal="center" vertical="center"/>
    </xf>
    <xf numFmtId="0" fontId="21" fillId="38" borderId="19" xfId="45" applyNumberFormat="1" applyFont="1" applyFill="1" applyBorder="1" applyAlignment="1">
      <alignment horizontal="center" vertical="center"/>
    </xf>
    <xf numFmtId="49" fontId="25" fillId="38" borderId="19" xfId="45" applyNumberFormat="1" applyFont="1" applyFill="1" applyBorder="1" applyAlignment="1">
      <alignment horizontal="center" vertical="center"/>
    </xf>
    <xf numFmtId="0" fontId="22" fillId="32" borderId="17" xfId="20" applyFont="1" applyBorder="1" applyAlignment="1">
      <alignment horizontal="center" vertical="center"/>
    </xf>
    <xf numFmtId="49" fontId="22" fillId="32" borderId="17" xfId="20" applyNumberFormat="1" applyFont="1" applyBorder="1" applyAlignment="1">
      <alignment horizontal="center" vertical="center"/>
    </xf>
    <xf numFmtId="0" fontId="22" fillId="39" borderId="17" xfId="0" applyFont="1" applyFill="1" applyBorder="1" applyAlignment="1">
      <alignment horizontal="center" vertical="center"/>
    </xf>
    <xf numFmtId="0" fontId="22" fillId="32" borderId="17" xfId="20" applyNumberFormat="1" applyFont="1" applyBorder="1" applyAlignment="1">
      <alignment horizontal="center" vertical="center"/>
    </xf>
    <xf numFmtId="49" fontId="22" fillId="39" borderId="17" xfId="48" applyNumberFormat="1" applyFont="1" applyFill="1" applyBorder="1" applyAlignment="1">
      <alignment horizontal="center" vertical="center"/>
    </xf>
    <xf numFmtId="0" fontId="22" fillId="46" borderId="17" xfId="20" applyFont="1" applyFill="1" applyBorder="1" applyAlignment="1">
      <alignment horizontal="center" vertical="center"/>
    </xf>
    <xf numFmtId="49" fontId="22" fillId="46" borderId="17" xfId="20" applyNumberFormat="1" applyFont="1" applyFill="1" applyBorder="1" applyAlignment="1">
      <alignment horizontal="center" vertical="center"/>
    </xf>
    <xf numFmtId="0" fontId="22" fillId="46" borderId="17" xfId="20" applyNumberFormat="1" applyFont="1" applyFill="1" applyBorder="1" applyAlignment="1">
      <alignment horizontal="center" vertical="center"/>
    </xf>
    <xf numFmtId="0" fontId="22" fillId="39" borderId="17" xfId="20" applyFont="1" applyFill="1" applyBorder="1" applyAlignment="1">
      <alignment horizontal="center" vertical="center"/>
    </xf>
    <xf numFmtId="0" fontId="22" fillId="44" borderId="17" xfId="20" applyFont="1" applyFill="1" applyBorder="1" applyAlignment="1">
      <alignment horizontal="center" vertical="center"/>
    </xf>
    <xf numFmtId="49" fontId="22" fillId="44" borderId="17" xfId="20" applyNumberFormat="1" applyFont="1" applyFill="1" applyBorder="1" applyAlignment="1">
      <alignment horizontal="center" vertical="center"/>
    </xf>
    <xf numFmtId="0" fontId="22" fillId="44" borderId="17" xfId="20" applyNumberFormat="1" applyFont="1" applyFill="1" applyBorder="1" applyAlignment="1">
      <alignment horizontal="center" vertical="center"/>
    </xf>
    <xf numFmtId="49" fontId="21" fillId="38" borderId="17" xfId="45" applyNumberFormat="1" applyFont="1" applyFill="1" applyBorder="1" applyAlignment="1">
      <alignment horizontal="center" vertical="center"/>
    </xf>
    <xf numFmtId="0" fontId="0" fillId="47" borderId="0" xfId="0" applyFill="1">
      <alignment vertical="center"/>
    </xf>
    <xf numFmtId="0" fontId="33" fillId="48" borderId="21" xfId="48" applyFont="1" applyFill="1" applyBorder="1" applyAlignment="1">
      <alignment horizontal="center" vertical="center"/>
    </xf>
    <xf numFmtId="0" fontId="22" fillId="49" borderId="17" xfId="48" applyFont="1" applyFill="1" applyBorder="1" applyAlignment="1">
      <alignment horizontal="center" vertical="center"/>
    </xf>
    <xf numFmtId="0" fontId="22" fillId="49" borderId="17" xfId="0" applyFont="1" applyFill="1" applyBorder="1">
      <alignment vertical="center"/>
    </xf>
    <xf numFmtId="0" fontId="22" fillId="50" borderId="17" xfId="48" applyFont="1" applyFill="1" applyBorder="1" applyAlignment="1">
      <alignment horizontal="center" vertical="center"/>
    </xf>
    <xf numFmtId="0" fontId="22" fillId="50" borderId="17" xfId="0" applyFont="1" applyFill="1" applyBorder="1">
      <alignment vertical="center"/>
    </xf>
    <xf numFmtId="0" fontId="22" fillId="51" borderId="17" xfId="48" applyFont="1" applyFill="1" applyBorder="1" applyAlignment="1">
      <alignment horizontal="center" vertical="center"/>
    </xf>
    <xf numFmtId="0" fontId="22" fillId="51" borderId="17" xfId="0" applyFont="1" applyFill="1" applyBorder="1">
      <alignment vertical="center"/>
    </xf>
    <xf numFmtId="0" fontId="22" fillId="52" borderId="17" xfId="48" applyFont="1" applyFill="1" applyBorder="1" applyAlignment="1">
      <alignment horizontal="center" vertical="center"/>
    </xf>
    <xf numFmtId="0" fontId="22" fillId="52" borderId="17" xfId="0" applyFont="1" applyFill="1" applyBorder="1">
      <alignment vertical="center"/>
    </xf>
    <xf numFmtId="0" fontId="22" fillId="50" borderId="20" xfId="48" applyFont="1" applyFill="1" applyBorder="1" applyAlignment="1">
      <alignment horizontal="center" vertical="center"/>
    </xf>
    <xf numFmtId="49" fontId="21" fillId="33" borderId="24" xfId="43" applyNumberFormat="1" applyFont="1" applyFill="1" applyBorder="1" applyAlignment="1">
      <alignment horizontal="center" vertical="center"/>
    </xf>
    <xf numFmtId="49" fontId="22" fillId="0" borderId="24" xfId="0" applyNumberFormat="1" applyFont="1" applyFill="1" applyBorder="1" applyAlignment="1" applyProtection="1">
      <alignment horizontal="center" vertical="center"/>
    </xf>
    <xf numFmtId="49" fontId="22" fillId="0" borderId="24" xfId="0" applyNumberFormat="1" applyFont="1" applyBorder="1" applyAlignment="1">
      <alignment horizontal="center" vertical="center"/>
    </xf>
    <xf numFmtId="49" fontId="23" fillId="35" borderId="25" xfId="46" applyNumberFormat="1" applyFont="1" applyFill="1" applyBorder="1" applyAlignment="1">
      <alignment horizontal="left" vertical="center"/>
    </xf>
    <xf numFmtId="0" fontId="24" fillId="35" borderId="24" xfId="44" applyFont="1" applyFill="1" applyBorder="1" applyAlignment="1">
      <alignment horizontal="center" vertical="center"/>
    </xf>
    <xf numFmtId="49" fontId="21" fillId="36" borderId="24" xfId="43" applyNumberFormat="1" applyFont="1" applyFill="1" applyBorder="1" applyAlignment="1">
      <alignment horizontal="center" vertical="center"/>
    </xf>
    <xf numFmtId="49" fontId="21" fillId="37" borderId="24" xfId="0" applyNumberFormat="1" applyFont="1" applyFill="1" applyBorder="1" applyAlignment="1">
      <alignment horizontal="center" vertical="center"/>
    </xf>
    <xf numFmtId="49" fontId="21" fillId="37" borderId="24" xfId="0" applyNumberFormat="1" applyFont="1" applyFill="1" applyBorder="1" applyAlignment="1">
      <alignment horizontal="center" vertical="center" wrapText="1"/>
    </xf>
    <xf numFmtId="49" fontId="21" fillId="38" borderId="24" xfId="45" applyNumberFormat="1" applyFont="1" applyFill="1" applyBorder="1" applyAlignment="1">
      <alignment horizontal="center" vertical="center"/>
    </xf>
    <xf numFmtId="49" fontId="21" fillId="38" borderId="24" xfId="45" applyNumberFormat="1" applyFont="1" applyFill="1" applyBorder="1" applyAlignment="1">
      <alignment horizontal="center" vertical="center" wrapText="1"/>
    </xf>
    <xf numFmtId="49" fontId="21" fillId="38" borderId="26" xfId="45" applyNumberFormat="1" applyFont="1" applyFill="1" applyBorder="1" applyAlignment="1">
      <alignment horizontal="center" vertical="center" wrapText="1"/>
    </xf>
    <xf numFmtId="49" fontId="21" fillId="38" borderId="26" xfId="45" applyNumberFormat="1" applyFont="1" applyFill="1" applyBorder="1" applyAlignment="1">
      <alignment horizontal="center" vertical="center"/>
    </xf>
    <xf numFmtId="0" fontId="25" fillId="38" borderId="24" xfId="0" applyFont="1" applyFill="1" applyBorder="1" applyAlignment="1">
      <alignment horizontal="center" vertical="center"/>
    </xf>
    <xf numFmtId="0" fontId="22" fillId="0" borderId="24" xfId="48" applyFont="1" applyFill="1" applyBorder="1" applyAlignment="1">
      <alignment horizontal="center" vertical="center"/>
    </xf>
    <xf numFmtId="0" fontId="22" fillId="0" borderId="24" xfId="48" applyFont="1" applyFill="1" applyBorder="1" applyAlignment="1">
      <alignment horizontal="left" vertical="center"/>
    </xf>
    <xf numFmtId="0" fontId="22" fillId="39" borderId="24" xfId="20" applyFont="1" applyFill="1" applyBorder="1" applyAlignment="1">
      <alignment horizontal="center" vertical="center"/>
    </xf>
    <xf numFmtId="0" fontId="26" fillId="39" borderId="24" xfId="0" applyFont="1" applyFill="1" applyBorder="1" applyAlignment="1">
      <alignment horizontal="center" vertical="center"/>
    </xf>
    <xf numFmtId="177" fontId="22" fillId="0" borderId="24" xfId="48" applyNumberFormat="1" applyFont="1" applyFill="1" applyBorder="1" applyAlignment="1">
      <alignment horizontal="center" vertical="center"/>
    </xf>
    <xf numFmtId="0" fontId="22" fillId="0" borderId="24" xfId="2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2" fillId="44" borderId="24" xfId="48" applyFont="1" applyFill="1" applyBorder="1" applyAlignment="1">
      <alignment horizontal="center" vertical="center"/>
    </xf>
    <xf numFmtId="0" fontId="22" fillId="44" borderId="24" xfId="48" applyFont="1" applyFill="1" applyBorder="1" applyAlignment="1">
      <alignment horizontal="left" vertical="center"/>
    </xf>
    <xf numFmtId="177" fontId="22" fillId="44" borderId="24" xfId="48" applyNumberFormat="1" applyFont="1" applyFill="1" applyBorder="1" applyAlignment="1">
      <alignment horizontal="center" vertical="center"/>
    </xf>
    <xf numFmtId="49" fontId="22" fillId="0" borderId="24" xfId="48" applyNumberFormat="1" applyFont="1" applyFill="1" applyBorder="1" applyAlignment="1">
      <alignment horizontal="left" vertical="center"/>
    </xf>
    <xf numFmtId="49" fontId="22" fillId="0" borderId="24" xfId="48" applyNumberFormat="1" applyFont="1" applyFill="1" applyBorder="1" applyAlignment="1">
      <alignment horizontal="center" vertical="center"/>
    </xf>
    <xf numFmtId="0" fontId="22" fillId="45" borderId="24" xfId="48" applyFont="1" applyFill="1" applyBorder="1" applyAlignment="1">
      <alignment horizontal="center" vertical="center"/>
    </xf>
    <xf numFmtId="49" fontId="22" fillId="45" borderId="24" xfId="48" applyNumberFormat="1" applyFont="1" applyFill="1" applyBorder="1" applyAlignment="1">
      <alignment horizontal="left" vertical="center"/>
    </xf>
    <xf numFmtId="49" fontId="22" fillId="45" borderId="24" xfId="48" applyNumberFormat="1" applyFont="1" applyFill="1" applyBorder="1" applyAlignment="1">
      <alignment horizontal="center" vertical="center"/>
    </xf>
    <xf numFmtId="177" fontId="22" fillId="45" borderId="24" xfId="48" applyNumberFormat="1" applyFont="1" applyFill="1" applyBorder="1" applyAlignment="1">
      <alignment horizontal="center" vertical="center"/>
    </xf>
    <xf numFmtId="2" fontId="22" fillId="0" borderId="24" xfId="48" applyNumberFormat="1" applyFont="1" applyFill="1" applyBorder="1" applyAlignment="1">
      <alignment horizontal="center" vertical="center"/>
    </xf>
    <xf numFmtId="2" fontId="22" fillId="44" borderId="24" xfId="48" applyNumberFormat="1" applyFont="1" applyFill="1" applyBorder="1" applyAlignment="1">
      <alignment horizontal="center" vertical="center"/>
    </xf>
    <xf numFmtId="2" fontId="22" fillId="45" borderId="24" xfId="48" applyNumberFormat="1" applyFont="1" applyFill="1" applyBorder="1" applyAlignment="1">
      <alignment horizontal="center" vertical="center"/>
    </xf>
    <xf numFmtId="177" fontId="22" fillId="0" borderId="27" xfId="48" applyNumberFormat="1" applyFont="1" applyFill="1" applyBorder="1" applyAlignment="1">
      <alignment horizontal="center" vertical="center"/>
    </xf>
    <xf numFmtId="177" fontId="22" fillId="44" borderId="27" xfId="48" applyNumberFormat="1" applyFont="1" applyFill="1" applyBorder="1" applyAlignment="1">
      <alignment horizontal="center" vertical="center"/>
    </xf>
    <xf numFmtId="177" fontId="22" fillId="45" borderId="27" xfId="48" applyNumberFormat="1" applyFont="1" applyFill="1" applyBorder="1" applyAlignment="1">
      <alignment horizontal="center" vertical="center"/>
    </xf>
    <xf numFmtId="0" fontId="25" fillId="39" borderId="24" xfId="0" applyFont="1" applyFill="1" applyBorder="1" applyAlignment="1">
      <alignment horizontal="center" vertical="center"/>
    </xf>
    <xf numFmtId="49" fontId="21" fillId="39" borderId="24" xfId="45" applyNumberFormat="1" applyFont="1" applyFill="1" applyBorder="1" applyAlignment="1">
      <alignment horizontal="center" vertical="center" wrapText="1"/>
    </xf>
    <xf numFmtId="0" fontId="22" fillId="39" borderId="24" xfId="48" applyFont="1" applyFill="1" applyBorder="1" applyAlignment="1">
      <alignment horizontal="center" vertical="center"/>
    </xf>
    <xf numFmtId="49" fontId="21" fillId="39" borderId="26" xfId="45" applyNumberFormat="1" applyFont="1" applyFill="1" applyBorder="1" applyAlignment="1">
      <alignment horizontal="center" vertical="center" wrapText="1"/>
    </xf>
    <xf numFmtId="178" fontId="22" fillId="50" borderId="17" xfId="0" applyNumberFormat="1" applyFont="1" applyFill="1" applyBorder="1">
      <alignment vertical="center"/>
    </xf>
    <xf numFmtId="178" fontId="22" fillId="49" borderId="17" xfId="0" applyNumberFormat="1" applyFont="1" applyFill="1" applyBorder="1">
      <alignment vertical="center"/>
    </xf>
    <xf numFmtId="178" fontId="22" fillId="51" borderId="17" xfId="0" applyNumberFormat="1" applyFont="1" applyFill="1" applyBorder="1">
      <alignment vertical="center"/>
    </xf>
    <xf numFmtId="178" fontId="22" fillId="52" borderId="17" xfId="0" applyNumberFormat="1" applyFont="1" applyFill="1" applyBorder="1">
      <alignment vertical="center"/>
    </xf>
    <xf numFmtId="0" fontId="22" fillId="50" borderId="17" xfId="48" applyFont="1" applyFill="1" applyBorder="1" applyAlignment="1">
      <alignment horizontal="center" vertical="center"/>
    </xf>
    <xf numFmtId="0" fontId="33" fillId="48" borderId="21" xfId="48" applyFont="1" applyFill="1" applyBorder="1" applyAlignment="1">
      <alignment horizontal="center" vertical="center"/>
    </xf>
    <xf numFmtId="0" fontId="22" fillId="51" borderId="17" xfId="48" applyFont="1" applyFill="1" applyBorder="1" applyAlignment="1">
      <alignment horizontal="center" vertical="center"/>
    </xf>
    <xf numFmtId="0" fontId="22" fillId="52" borderId="17" xfId="48" applyFont="1" applyFill="1" applyBorder="1" applyAlignment="1">
      <alignment horizontal="center" vertical="center"/>
    </xf>
    <xf numFmtId="2" fontId="22" fillId="50" borderId="17" xfId="48" applyNumberFormat="1" applyFont="1" applyFill="1" applyBorder="1" applyAlignment="1">
      <alignment horizontal="center" vertical="center"/>
    </xf>
    <xf numFmtId="0" fontId="22" fillId="49" borderId="20" xfId="48" applyFont="1" applyFill="1" applyBorder="1" applyAlignment="1">
      <alignment horizontal="center" vertical="center"/>
    </xf>
    <xf numFmtId="0" fontId="22" fillId="51" borderId="20" xfId="48" applyFont="1" applyFill="1" applyBorder="1" applyAlignment="1">
      <alignment horizontal="center" vertical="center"/>
    </xf>
    <xf numFmtId="0" fontId="22" fillId="52" borderId="20" xfId="48" applyFont="1" applyFill="1" applyBorder="1" applyAlignment="1">
      <alignment horizontal="center" vertical="center"/>
    </xf>
    <xf numFmtId="1" fontId="22" fillId="50" borderId="17" xfId="0" applyNumberFormat="1" applyFont="1" applyFill="1" applyBorder="1">
      <alignment vertical="center"/>
    </xf>
    <xf numFmtId="1" fontId="22" fillId="49" borderId="17" xfId="0" applyNumberFormat="1" applyFont="1" applyFill="1" applyBorder="1">
      <alignment vertical="center"/>
    </xf>
    <xf numFmtId="1" fontId="22" fillId="51" borderId="17" xfId="0" applyNumberFormat="1" applyFont="1" applyFill="1" applyBorder="1">
      <alignment vertical="center"/>
    </xf>
    <xf numFmtId="1" fontId="22" fillId="52" borderId="17" xfId="0" applyNumberFormat="1" applyFont="1" applyFill="1" applyBorder="1">
      <alignment vertical="center"/>
    </xf>
    <xf numFmtId="179" fontId="0" fillId="47" borderId="0" xfId="0" applyNumberFormat="1" applyFill="1">
      <alignment vertical="center"/>
    </xf>
    <xf numFmtId="179" fontId="22" fillId="50" borderId="20" xfId="48" applyNumberFormat="1" applyFont="1" applyFill="1" applyBorder="1" applyAlignment="1">
      <alignment horizontal="center" vertical="center"/>
    </xf>
    <xf numFmtId="179" fontId="22" fillId="50" borderId="17" xfId="48" applyNumberFormat="1" applyFont="1" applyFill="1" applyBorder="1" applyAlignment="1">
      <alignment horizontal="center" vertical="center"/>
    </xf>
    <xf numFmtId="179" fontId="22" fillId="49" borderId="17" xfId="48" applyNumberFormat="1" applyFont="1" applyFill="1" applyBorder="1" applyAlignment="1">
      <alignment horizontal="center" vertical="center"/>
    </xf>
    <xf numFmtId="179" fontId="22" fillId="49" borderId="20" xfId="48" applyNumberFormat="1" applyFont="1" applyFill="1" applyBorder="1" applyAlignment="1">
      <alignment horizontal="center" vertical="center"/>
    </xf>
    <xf numFmtId="179" fontId="22" fillId="51" borderId="17" xfId="48" applyNumberFormat="1" applyFont="1" applyFill="1" applyBorder="1" applyAlignment="1">
      <alignment horizontal="center" vertical="center"/>
    </xf>
    <xf numFmtId="179" fontId="22" fillId="51" borderId="20" xfId="48" applyNumberFormat="1" applyFont="1" applyFill="1" applyBorder="1" applyAlignment="1">
      <alignment horizontal="center" vertical="center"/>
    </xf>
    <xf numFmtId="179" fontId="22" fillId="52" borderId="17" xfId="48" applyNumberFormat="1" applyFont="1" applyFill="1" applyBorder="1" applyAlignment="1">
      <alignment horizontal="center" vertical="center"/>
    </xf>
    <xf numFmtId="179" fontId="22" fillId="52" borderId="20" xfId="48" applyNumberFormat="1" applyFont="1" applyFill="1" applyBorder="1" applyAlignment="1">
      <alignment horizontal="center" vertical="center"/>
    </xf>
    <xf numFmtId="176" fontId="22" fillId="50" borderId="20" xfId="48" applyNumberFormat="1" applyFont="1" applyFill="1" applyBorder="1" applyAlignment="1">
      <alignment horizontal="center" vertical="center"/>
    </xf>
    <xf numFmtId="176" fontId="22" fillId="50" borderId="17" xfId="48" applyNumberFormat="1" applyFont="1" applyFill="1" applyBorder="1" applyAlignment="1">
      <alignment horizontal="center" vertical="center"/>
    </xf>
    <xf numFmtId="176" fontId="22" fillId="49" borderId="17" xfId="48" applyNumberFormat="1" applyFont="1" applyFill="1" applyBorder="1" applyAlignment="1">
      <alignment horizontal="center" vertical="center"/>
    </xf>
    <xf numFmtId="176" fontId="22" fillId="51" borderId="17" xfId="48" applyNumberFormat="1" applyFont="1" applyFill="1" applyBorder="1" applyAlignment="1">
      <alignment horizontal="center" vertical="center"/>
    </xf>
    <xf numFmtId="176" fontId="22" fillId="52" borderId="17" xfId="48" applyNumberFormat="1" applyFont="1" applyFill="1" applyBorder="1" applyAlignment="1">
      <alignment horizontal="center" vertical="center"/>
    </xf>
    <xf numFmtId="176" fontId="0" fillId="47" borderId="0" xfId="0" applyNumberFormat="1" applyFill="1">
      <alignment vertical="center"/>
    </xf>
    <xf numFmtId="176" fontId="22" fillId="55" borderId="20" xfId="48" applyNumberFormat="1" applyFont="1" applyFill="1" applyBorder="1" applyAlignment="1">
      <alignment horizontal="center" vertical="center"/>
    </xf>
    <xf numFmtId="179" fontId="22" fillId="55" borderId="20" xfId="48" applyNumberFormat="1" applyFont="1" applyFill="1" applyBorder="1" applyAlignment="1">
      <alignment horizontal="center" vertical="center"/>
    </xf>
    <xf numFmtId="1" fontId="22" fillId="55" borderId="17" xfId="0" applyNumberFormat="1" applyFont="1" applyFill="1" applyBorder="1">
      <alignment vertical="center"/>
    </xf>
    <xf numFmtId="176" fontId="22" fillId="55" borderId="17" xfId="48" applyNumberFormat="1" applyFont="1" applyFill="1" applyBorder="1" applyAlignment="1">
      <alignment horizontal="center" vertical="center"/>
    </xf>
    <xf numFmtId="179" fontId="22" fillId="55" borderId="17" xfId="48" applyNumberFormat="1" applyFont="1" applyFill="1" applyBorder="1" applyAlignment="1">
      <alignment horizontal="center" vertical="center"/>
    </xf>
    <xf numFmtId="176" fontId="22" fillId="56" borderId="17" xfId="48" applyNumberFormat="1" applyFont="1" applyFill="1" applyBorder="1" applyAlignment="1">
      <alignment horizontal="center" vertical="center"/>
    </xf>
    <xf numFmtId="179" fontId="22" fillId="56" borderId="20" xfId="48" applyNumberFormat="1" applyFont="1" applyFill="1" applyBorder="1" applyAlignment="1">
      <alignment horizontal="center" vertical="center"/>
    </xf>
    <xf numFmtId="1" fontId="22" fillId="56" borderId="17" xfId="0" applyNumberFormat="1" applyFont="1" applyFill="1" applyBorder="1">
      <alignment vertical="center"/>
    </xf>
    <xf numFmtId="179" fontId="22" fillId="56" borderId="17" xfId="48" applyNumberFormat="1" applyFont="1" applyFill="1" applyBorder="1" applyAlignment="1">
      <alignment horizontal="center" vertical="center"/>
    </xf>
    <xf numFmtId="176" fontId="22" fillId="54" borderId="17" xfId="48" applyNumberFormat="1" applyFont="1" applyFill="1" applyBorder="1" applyAlignment="1">
      <alignment horizontal="center" vertical="center"/>
    </xf>
    <xf numFmtId="179" fontId="22" fillId="54" borderId="20" xfId="48" applyNumberFormat="1" applyFont="1" applyFill="1" applyBorder="1" applyAlignment="1">
      <alignment horizontal="center" vertical="center"/>
    </xf>
    <xf numFmtId="1" fontId="22" fillId="54" borderId="17" xfId="0" applyNumberFormat="1" applyFont="1" applyFill="1" applyBorder="1">
      <alignment vertical="center"/>
    </xf>
    <xf numFmtId="179" fontId="22" fillId="54" borderId="17" xfId="48" applyNumberFormat="1" applyFont="1" applyFill="1" applyBorder="1" applyAlignment="1">
      <alignment horizontal="center" vertical="center"/>
    </xf>
    <xf numFmtId="176" fontId="22" fillId="53" borderId="17" xfId="48" applyNumberFormat="1" applyFont="1" applyFill="1" applyBorder="1" applyAlignment="1">
      <alignment horizontal="center" vertical="center"/>
    </xf>
    <xf numFmtId="179" fontId="22" fillId="53" borderId="20" xfId="48" applyNumberFormat="1" applyFont="1" applyFill="1" applyBorder="1" applyAlignment="1">
      <alignment horizontal="center" vertical="center"/>
    </xf>
    <xf numFmtId="1" fontId="22" fillId="53" borderId="17" xfId="0" applyNumberFormat="1" applyFont="1" applyFill="1" applyBorder="1">
      <alignment vertical="center"/>
    </xf>
    <xf numFmtId="179" fontId="22" fillId="53" borderId="17" xfId="48" applyNumberFormat="1" applyFont="1" applyFill="1" applyBorder="1" applyAlignment="1">
      <alignment horizontal="center" vertical="center"/>
    </xf>
    <xf numFmtId="180" fontId="22" fillId="45" borderId="27" xfId="48" applyNumberFormat="1" applyFont="1" applyFill="1" applyBorder="1" applyAlignment="1">
      <alignment horizontal="center" vertical="center"/>
    </xf>
    <xf numFmtId="49" fontId="22" fillId="57" borderId="11" xfId="45" applyNumberFormat="1" applyFont="1" applyFill="1" applyBorder="1" applyAlignment="1">
      <alignment horizontal="left" vertical="center" wrapText="1"/>
    </xf>
    <xf numFmtId="49" fontId="21" fillId="36" borderId="30" xfId="43" applyNumberFormat="1" applyFont="1" applyFill="1" applyBorder="1" applyAlignment="1">
      <alignment horizontal="center" vertical="center"/>
    </xf>
    <xf numFmtId="49" fontId="21" fillId="41" borderId="30" xfId="20" applyNumberFormat="1" applyFont="1" applyFill="1" applyBorder="1" applyAlignment="1">
      <alignment horizontal="center" vertical="center"/>
    </xf>
    <xf numFmtId="49" fontId="21" fillId="41" borderId="30" xfId="0" applyNumberFormat="1" applyFont="1" applyFill="1" applyBorder="1" applyAlignment="1">
      <alignment horizontal="center" vertical="center"/>
    </xf>
    <xf numFmtId="49" fontId="21" fillId="41" borderId="31" xfId="0" applyNumberFormat="1" applyFont="1" applyFill="1" applyBorder="1" applyAlignment="1">
      <alignment horizontal="center" vertical="center" wrapText="1"/>
    </xf>
    <xf numFmtId="0" fontId="21" fillId="41" borderId="31" xfId="0" applyNumberFormat="1" applyFont="1" applyFill="1" applyBorder="1" applyAlignment="1">
      <alignment horizontal="center" vertical="center" wrapText="1"/>
    </xf>
    <xf numFmtId="49" fontId="21" fillId="38" borderId="32" xfId="45" applyNumberFormat="1" applyFont="1" applyFill="1" applyBorder="1" applyAlignment="1">
      <alignment horizontal="center" vertical="center"/>
    </xf>
    <xf numFmtId="49" fontId="21" fillId="38" borderId="30" xfId="45" applyNumberFormat="1" applyFont="1" applyFill="1" applyBorder="1" applyAlignment="1">
      <alignment horizontal="center" vertical="center" wrapText="1"/>
    </xf>
    <xf numFmtId="49" fontId="21" fillId="38" borderId="30" xfId="0" applyNumberFormat="1" applyFont="1" applyFill="1" applyBorder="1" applyAlignment="1">
      <alignment horizontal="center" vertical="center"/>
    </xf>
    <xf numFmtId="0" fontId="21" fillId="38" borderId="32" xfId="45" applyNumberFormat="1" applyFont="1" applyFill="1" applyBorder="1" applyAlignment="1">
      <alignment horizontal="center" vertical="center"/>
    </xf>
    <xf numFmtId="49" fontId="25" fillId="38" borderId="32" xfId="45" applyNumberFormat="1" applyFont="1" applyFill="1" applyBorder="1" applyAlignment="1">
      <alignment horizontal="center" vertical="center"/>
    </xf>
    <xf numFmtId="0" fontId="22" fillId="39" borderId="30" xfId="20" applyFont="1" applyFill="1" applyBorder="1" applyAlignment="1">
      <alignment horizontal="center" vertical="center"/>
    </xf>
    <xf numFmtId="0" fontId="22" fillId="49" borderId="30" xfId="20" applyFont="1" applyFill="1" applyBorder="1" applyAlignment="1">
      <alignment horizontal="center" vertical="center"/>
    </xf>
    <xf numFmtId="49" fontId="22" fillId="49" borderId="30" xfId="20" applyNumberFormat="1" applyFont="1" applyFill="1" applyBorder="1" applyAlignment="1">
      <alignment horizontal="center" vertical="center"/>
    </xf>
    <xf numFmtId="0" fontId="22" fillId="49" borderId="30" xfId="20" applyNumberFormat="1" applyFont="1" applyFill="1" applyBorder="1" applyAlignment="1">
      <alignment horizontal="center" vertical="center"/>
    </xf>
    <xf numFmtId="0" fontId="22" fillId="49" borderId="30" xfId="48" applyFont="1" applyFill="1" applyBorder="1" applyAlignment="1">
      <alignment horizontal="center" vertical="center"/>
    </xf>
    <xf numFmtId="0" fontId="22" fillId="54" borderId="30" xfId="20" applyFont="1" applyFill="1" applyBorder="1" applyAlignment="1">
      <alignment horizontal="center" vertical="center"/>
    </xf>
    <xf numFmtId="49" fontId="22" fillId="54" borderId="30" xfId="20" applyNumberFormat="1" applyFont="1" applyFill="1" applyBorder="1" applyAlignment="1">
      <alignment horizontal="center" vertical="center"/>
    </xf>
    <xf numFmtId="0" fontId="22" fillId="54" borderId="30" xfId="20" applyNumberFormat="1" applyFont="1" applyFill="1" applyBorder="1" applyAlignment="1">
      <alignment horizontal="center" vertical="center"/>
    </xf>
    <xf numFmtId="0" fontId="22" fillId="54" borderId="30" xfId="48" applyFont="1" applyFill="1" applyBorder="1" applyAlignment="1">
      <alignment horizontal="center" vertical="center"/>
    </xf>
    <xf numFmtId="0" fontId="22" fillId="51" borderId="30" xfId="20" applyFont="1" applyFill="1" applyBorder="1" applyAlignment="1">
      <alignment horizontal="center" vertical="center"/>
    </xf>
    <xf numFmtId="49" fontId="22" fillId="51" borderId="30" xfId="20" applyNumberFormat="1" applyFont="1" applyFill="1" applyBorder="1" applyAlignment="1">
      <alignment horizontal="center" vertical="center"/>
    </xf>
    <xf numFmtId="0" fontId="22" fillId="51" borderId="30" xfId="20" applyNumberFormat="1" applyFont="1" applyFill="1" applyBorder="1" applyAlignment="1">
      <alignment horizontal="center" vertical="center"/>
    </xf>
    <xf numFmtId="0" fontId="22" fillId="51" borderId="30" xfId="48" applyFont="1" applyFill="1" applyBorder="1" applyAlignment="1">
      <alignment horizontal="center" vertical="center"/>
    </xf>
    <xf numFmtId="0" fontId="22" fillId="58" borderId="30" xfId="48" applyFont="1" applyFill="1" applyBorder="1" applyAlignment="1">
      <alignment horizontal="center" vertical="center"/>
    </xf>
    <xf numFmtId="49" fontId="22" fillId="58" borderId="30" xfId="20" applyNumberFormat="1" applyFont="1" applyFill="1" applyBorder="1" applyAlignment="1">
      <alignment horizontal="center" vertical="center"/>
    </xf>
    <xf numFmtId="0" fontId="22" fillId="58" borderId="30" xfId="20" applyNumberFormat="1" applyFont="1" applyFill="1" applyBorder="1" applyAlignment="1">
      <alignment horizontal="center" vertical="center"/>
    </xf>
    <xf numFmtId="0" fontId="22" fillId="59" borderId="30" xfId="48" applyFont="1" applyFill="1" applyBorder="1" applyAlignment="1">
      <alignment horizontal="center" vertical="center"/>
    </xf>
    <xf numFmtId="49" fontId="22" fillId="59" borderId="30" xfId="20" applyNumberFormat="1" applyFont="1" applyFill="1" applyBorder="1" applyAlignment="1">
      <alignment horizontal="center" vertical="center"/>
    </xf>
    <xf numFmtId="0" fontId="22" fillId="59" borderId="30" xfId="20" applyNumberFormat="1" applyFont="1" applyFill="1" applyBorder="1" applyAlignment="1">
      <alignment horizontal="center" vertical="center"/>
    </xf>
    <xf numFmtId="0" fontId="22" fillId="39" borderId="30" xfId="20" applyNumberFormat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2" fillId="59" borderId="30" xfId="20" applyFont="1" applyFill="1" applyBorder="1" applyAlignment="1">
      <alignment horizontal="center" vertical="center"/>
    </xf>
    <xf numFmtId="0" fontId="22" fillId="58" borderId="30" xfId="20" applyFont="1" applyFill="1" applyBorder="1" applyAlignment="1">
      <alignment horizontal="center" vertical="center"/>
    </xf>
    <xf numFmtId="49" fontId="22" fillId="54" borderId="30" xfId="48" applyNumberFormat="1" applyFont="1" applyFill="1" applyBorder="1" applyAlignment="1">
      <alignment horizontal="center" vertical="center"/>
    </xf>
    <xf numFmtId="0" fontId="22" fillId="54" borderId="30" xfId="48" applyNumberFormat="1" applyFont="1" applyFill="1" applyBorder="1" applyAlignment="1">
      <alignment horizontal="center" vertical="center"/>
    </xf>
    <xf numFmtId="0" fontId="22" fillId="39" borderId="30" xfId="48" applyNumberFormat="1" applyFont="1" applyFill="1" applyBorder="1" applyAlignment="1">
      <alignment horizontal="center" vertical="center"/>
    </xf>
    <xf numFmtId="0" fontId="22" fillId="39" borderId="30" xfId="48" applyFont="1" applyFill="1" applyBorder="1" applyAlignment="1">
      <alignment horizontal="center" vertical="center"/>
    </xf>
    <xf numFmtId="49" fontId="22" fillId="49" borderId="30" xfId="48" applyNumberFormat="1" applyFont="1" applyFill="1" applyBorder="1" applyAlignment="1">
      <alignment horizontal="center" vertical="center"/>
    </xf>
    <xf numFmtId="0" fontId="22" fillId="49" borderId="30" xfId="48" applyNumberFormat="1" applyFont="1" applyFill="1" applyBorder="1" applyAlignment="1">
      <alignment horizontal="center" vertical="center"/>
    </xf>
    <xf numFmtId="49" fontId="22" fillId="59" borderId="30" xfId="48" applyNumberFormat="1" applyFont="1" applyFill="1" applyBorder="1" applyAlignment="1">
      <alignment horizontal="center" vertical="center"/>
    </xf>
    <xf numFmtId="0" fontId="22" fillId="59" borderId="30" xfId="48" applyNumberFormat="1" applyFont="1" applyFill="1" applyBorder="1" applyAlignment="1">
      <alignment horizontal="center" vertical="center"/>
    </xf>
    <xf numFmtId="49" fontId="22" fillId="58" borderId="30" xfId="48" applyNumberFormat="1" applyFont="1" applyFill="1" applyBorder="1" applyAlignment="1">
      <alignment horizontal="center" vertical="center"/>
    </xf>
    <xf numFmtId="0" fontId="22" fillId="58" borderId="30" xfId="48" applyNumberFormat="1" applyFont="1" applyFill="1" applyBorder="1" applyAlignment="1">
      <alignment horizontal="center" vertical="center"/>
    </xf>
    <xf numFmtId="0" fontId="22" fillId="56" borderId="30" xfId="48" applyFont="1" applyFill="1" applyBorder="1" applyAlignment="1">
      <alignment horizontal="center" vertical="center"/>
    </xf>
    <xf numFmtId="0" fontId="22" fillId="56" borderId="30" xfId="48" applyNumberFormat="1" applyFont="1" applyFill="1" applyBorder="1" applyAlignment="1">
      <alignment horizontal="center" vertical="center"/>
    </xf>
    <xf numFmtId="49" fontId="22" fillId="56" borderId="30" xfId="48" applyNumberFormat="1" applyFont="1" applyFill="1" applyBorder="1" applyAlignment="1">
      <alignment horizontal="center" vertical="center"/>
    </xf>
    <xf numFmtId="0" fontId="22" fillId="51" borderId="30" xfId="48" applyNumberFormat="1" applyFont="1" applyFill="1" applyBorder="1" applyAlignment="1">
      <alignment horizontal="center" vertical="center"/>
    </xf>
    <xf numFmtId="49" fontId="22" fillId="51" borderId="30" xfId="48" applyNumberFormat="1" applyFont="1" applyFill="1" applyBorder="1" applyAlignment="1">
      <alignment horizontal="center" vertical="center"/>
    </xf>
    <xf numFmtId="176" fontId="21" fillId="36" borderId="30" xfId="43" applyNumberFormat="1" applyFont="1" applyFill="1" applyBorder="1" applyAlignment="1">
      <alignment horizontal="center" vertical="center"/>
    </xf>
    <xf numFmtId="176" fontId="21" fillId="41" borderId="31" xfId="0" applyNumberFormat="1" applyFont="1" applyFill="1" applyBorder="1" applyAlignment="1">
      <alignment horizontal="center" vertical="center" wrapText="1"/>
    </xf>
    <xf numFmtId="176" fontId="21" fillId="38" borderId="32" xfId="45" applyNumberFormat="1" applyFont="1" applyFill="1" applyBorder="1" applyAlignment="1">
      <alignment horizontal="center" vertical="center"/>
    </xf>
    <xf numFmtId="176" fontId="22" fillId="40" borderId="11" xfId="45" applyNumberFormat="1" applyFont="1" applyFill="1" applyBorder="1" applyAlignment="1">
      <alignment horizontal="center" vertical="center" wrapText="1"/>
    </xf>
    <xf numFmtId="176" fontId="22" fillId="0" borderId="0" xfId="0" applyNumberFormat="1" applyFont="1" applyAlignment="1">
      <alignment vertical="center"/>
    </xf>
    <xf numFmtId="176" fontId="22" fillId="54" borderId="30" xfId="1" applyNumberFormat="1" applyFont="1" applyFill="1" applyBorder="1" applyAlignment="1">
      <alignment vertical="center"/>
    </xf>
    <xf numFmtId="176" fontId="22" fillId="49" borderId="30" xfId="1" applyNumberFormat="1" applyFont="1" applyFill="1" applyBorder="1" applyAlignment="1">
      <alignment vertical="center"/>
    </xf>
    <xf numFmtId="176" fontId="22" fillId="59" borderId="30" xfId="1" applyNumberFormat="1" applyFont="1" applyFill="1" applyBorder="1" applyAlignment="1">
      <alignment vertical="center"/>
    </xf>
    <xf numFmtId="176" fontId="22" fillId="58" borderId="30" xfId="1" applyNumberFormat="1" applyFont="1" applyFill="1" applyBorder="1" applyAlignment="1">
      <alignment vertical="center"/>
    </xf>
    <xf numFmtId="176" fontId="22" fillId="51" borderId="30" xfId="1" applyNumberFormat="1" applyFont="1" applyFill="1" applyBorder="1" applyAlignment="1">
      <alignment vertical="center"/>
    </xf>
    <xf numFmtId="176" fontId="22" fillId="56" borderId="30" xfId="1" applyNumberFormat="1" applyFont="1" applyFill="1" applyBorder="1" applyAlignment="1">
      <alignment vertical="center"/>
    </xf>
    <xf numFmtId="176" fontId="0" fillId="0" borderId="0" xfId="0" applyNumberFormat="1" applyAlignment="1">
      <alignment vertical="center"/>
    </xf>
    <xf numFmtId="0" fontId="22" fillId="56" borderId="30" xfId="20" applyFont="1" applyFill="1" applyBorder="1" applyAlignment="1">
      <alignment horizontal="center" vertical="center"/>
    </xf>
    <xf numFmtId="49" fontId="22" fillId="56" borderId="30" xfId="20" applyNumberFormat="1" applyFont="1" applyFill="1" applyBorder="1" applyAlignment="1">
      <alignment horizontal="center" vertical="center"/>
    </xf>
    <xf numFmtId="0" fontId="22" fillId="56" borderId="30" xfId="20" applyNumberFormat="1" applyFont="1" applyFill="1" applyBorder="1" applyAlignment="1">
      <alignment horizontal="center" vertical="center"/>
    </xf>
    <xf numFmtId="49" fontId="22" fillId="44" borderId="30" xfId="20" applyNumberFormat="1" applyFont="1" applyFill="1" applyBorder="1" applyAlignment="1">
      <alignment horizontal="left" vertical="center"/>
    </xf>
    <xf numFmtId="0" fontId="22" fillId="0" borderId="30" xfId="0" applyFont="1" applyBorder="1">
      <alignment vertical="center"/>
    </xf>
    <xf numFmtId="41" fontId="22" fillId="0" borderId="30" xfId="1" applyNumberFormat="1" applyFont="1" applyBorder="1">
      <alignment vertical="center"/>
    </xf>
    <xf numFmtId="0" fontId="34" fillId="48" borderId="30" xfId="0" applyFont="1" applyFill="1" applyBorder="1" applyAlignment="1">
      <alignment horizontal="center" vertical="center"/>
    </xf>
    <xf numFmtId="0" fontId="35" fillId="48" borderId="30" xfId="0" applyFont="1" applyFill="1" applyBorder="1" applyAlignment="1">
      <alignment horizontal="center" vertical="center"/>
    </xf>
    <xf numFmtId="0" fontId="36" fillId="47" borderId="30" xfId="0" applyFont="1" applyFill="1" applyBorder="1" applyAlignment="1">
      <alignment horizontal="center" vertical="center"/>
    </xf>
    <xf numFmtId="0" fontId="36" fillId="47" borderId="30" xfId="0" applyFont="1" applyFill="1" applyBorder="1">
      <alignment vertical="center"/>
    </xf>
    <xf numFmtId="0" fontId="36" fillId="50" borderId="30" xfId="0" applyFont="1" applyFill="1" applyBorder="1" applyAlignment="1">
      <alignment horizontal="center" vertical="center"/>
    </xf>
    <xf numFmtId="0" fontId="36" fillId="60" borderId="30" xfId="0" applyFont="1" applyFill="1" applyBorder="1" applyAlignment="1">
      <alignment horizontal="center" vertical="center"/>
    </xf>
    <xf numFmtId="0" fontId="36" fillId="51" borderId="30" xfId="0" applyFont="1" applyFill="1" applyBorder="1" applyAlignment="1">
      <alignment horizontal="center" vertical="center"/>
    </xf>
    <xf numFmtId="41" fontId="36" fillId="47" borderId="30" xfId="1" applyFont="1" applyFill="1" applyBorder="1" applyAlignment="1">
      <alignment horizontal="center" vertical="center"/>
    </xf>
    <xf numFmtId="41" fontId="36" fillId="61" borderId="30" xfId="1" applyFont="1" applyFill="1" applyBorder="1" applyAlignment="1">
      <alignment horizontal="center" vertical="center"/>
    </xf>
    <xf numFmtId="41" fontId="36" fillId="51" borderId="30" xfId="1" applyFont="1" applyFill="1" applyBorder="1" applyAlignment="1">
      <alignment horizontal="center" vertical="center"/>
    </xf>
    <xf numFmtId="9" fontId="22" fillId="0" borderId="0" xfId="0" applyNumberFormat="1" applyFont="1">
      <alignment vertical="center"/>
    </xf>
    <xf numFmtId="41" fontId="36" fillId="50" borderId="30" xfId="1" applyFont="1" applyFill="1" applyBorder="1" applyAlignment="1">
      <alignment horizontal="center" vertical="center"/>
    </xf>
    <xf numFmtId="41" fontId="36" fillId="62" borderId="30" xfId="1" applyFont="1" applyFill="1" applyBorder="1" applyAlignment="1">
      <alignment horizontal="center" vertical="center"/>
    </xf>
    <xf numFmtId="0" fontId="22" fillId="45" borderId="35" xfId="48" applyFont="1" applyFill="1" applyBorder="1" applyAlignment="1">
      <alignment horizontal="left" vertical="center"/>
    </xf>
    <xf numFmtId="0" fontId="34" fillId="48" borderId="35" xfId="0" applyFont="1" applyFill="1" applyBorder="1" applyAlignment="1">
      <alignment horizontal="center" vertical="center"/>
    </xf>
    <xf numFmtId="0" fontId="22" fillId="0" borderId="35" xfId="48" applyFont="1" applyFill="1" applyBorder="1" applyAlignment="1">
      <alignment horizontal="left" vertical="center"/>
    </xf>
    <xf numFmtId="0" fontId="22" fillId="44" borderId="35" xfId="48" applyFont="1" applyFill="1" applyBorder="1" applyAlignment="1">
      <alignment horizontal="left" vertical="center"/>
    </xf>
    <xf numFmtId="0" fontId="22" fillId="0" borderId="35" xfId="0" applyFont="1" applyBorder="1">
      <alignment vertical="center"/>
    </xf>
    <xf numFmtId="2" fontId="22" fillId="0" borderId="35" xfId="0" applyNumberFormat="1" applyFont="1" applyBorder="1">
      <alignment vertical="center"/>
    </xf>
    <xf numFmtId="0" fontId="22" fillId="0" borderId="24" xfId="48" applyNumberFormat="1" applyFont="1" applyFill="1" applyBorder="1" applyAlignment="1">
      <alignment horizontal="center" vertical="center"/>
    </xf>
    <xf numFmtId="0" fontId="22" fillId="63" borderId="35" xfId="0" applyFont="1" applyFill="1" applyBorder="1">
      <alignment vertical="center"/>
    </xf>
    <xf numFmtId="2" fontId="22" fillId="63" borderId="35" xfId="0" applyNumberFormat="1" applyFont="1" applyFill="1" applyBorder="1">
      <alignment vertical="center"/>
    </xf>
    <xf numFmtId="0" fontId="22" fillId="49" borderId="35" xfId="0" applyFont="1" applyFill="1" applyBorder="1">
      <alignment vertical="center"/>
    </xf>
    <xf numFmtId="2" fontId="22" fillId="49" borderId="35" xfId="0" applyNumberFormat="1" applyFont="1" applyFill="1" applyBorder="1">
      <alignment vertical="center"/>
    </xf>
    <xf numFmtId="0" fontId="22" fillId="64" borderId="35" xfId="0" applyFont="1" applyFill="1" applyBorder="1">
      <alignment vertical="center"/>
    </xf>
    <xf numFmtId="0" fontId="22" fillId="61" borderId="35" xfId="0" applyFont="1" applyFill="1" applyBorder="1">
      <alignment vertical="center"/>
    </xf>
    <xf numFmtId="0" fontId="22" fillId="13" borderId="39" xfId="52" applyFont="1" applyBorder="1" applyAlignment="1">
      <alignment horizontal="center" vertical="center"/>
    </xf>
    <xf numFmtId="0" fontId="24" fillId="0" borderId="39" xfId="53" applyFont="1" applyBorder="1">
      <alignment vertical="center"/>
    </xf>
    <xf numFmtId="0" fontId="1" fillId="0" borderId="0" xfId="53">
      <alignment vertical="center"/>
    </xf>
    <xf numFmtId="49" fontId="22" fillId="44" borderId="39" xfId="51" applyNumberFormat="1" applyFont="1" applyFill="1" applyBorder="1" applyAlignment="1">
      <alignment horizontal="left" vertical="center"/>
    </xf>
    <xf numFmtId="0" fontId="22" fillId="65" borderId="39" xfId="51" applyFont="1" applyBorder="1" applyAlignment="1">
      <alignment horizontal="center" vertical="center"/>
    </xf>
    <xf numFmtId="0" fontId="24" fillId="35" borderId="39" xfId="53" applyFont="1" applyFill="1" applyBorder="1">
      <alignment vertical="center"/>
    </xf>
    <xf numFmtId="0" fontId="22" fillId="66" borderId="39" xfId="51" applyFont="1" applyFill="1" applyBorder="1" applyAlignment="1">
      <alignment horizontal="center" vertical="center"/>
    </xf>
    <xf numFmtId="49" fontId="22" fillId="44" borderId="39" xfId="48" applyNumberFormat="1" applyFont="1" applyFill="1" applyBorder="1" applyAlignment="1">
      <alignment horizontal="left" vertical="center"/>
    </xf>
    <xf numFmtId="0" fontId="22" fillId="32" borderId="39" xfId="48" applyFont="1" applyFill="1" applyBorder="1" applyAlignment="1">
      <alignment horizontal="center" vertical="center"/>
    </xf>
    <xf numFmtId="49" fontId="22" fillId="35" borderId="39" xfId="48" applyNumberFormat="1" applyFont="1" applyFill="1" applyBorder="1" applyAlignment="1">
      <alignment horizontal="left" vertical="center"/>
    </xf>
    <xf numFmtId="0" fontId="1" fillId="66" borderId="39" xfId="53" applyFill="1" applyBorder="1" applyAlignment="1">
      <alignment horizontal="center" vertical="center"/>
    </xf>
    <xf numFmtId="0" fontId="22" fillId="67" borderId="39" xfId="48" applyFont="1" applyFill="1" applyBorder="1" applyAlignment="1">
      <alignment horizontal="center" vertical="center"/>
    </xf>
    <xf numFmtId="0" fontId="22" fillId="68" borderId="39" xfId="48" applyFont="1" applyFill="1" applyBorder="1" applyAlignment="1">
      <alignment horizontal="center" vertical="center"/>
    </xf>
    <xf numFmtId="0" fontId="22" fillId="32" borderId="39" xfId="48" applyFont="1" applyBorder="1" applyAlignment="1">
      <alignment horizontal="center" vertical="center"/>
    </xf>
    <xf numFmtId="0" fontId="22" fillId="66" borderId="39" xfId="53" applyFont="1" applyFill="1" applyBorder="1" applyAlignment="1">
      <alignment horizontal="center" vertical="center"/>
    </xf>
    <xf numFmtId="49" fontId="22" fillId="44" borderId="35" xfId="48" applyNumberFormat="1" applyFont="1" applyFill="1" applyBorder="1" applyAlignment="1">
      <alignment horizontal="left" vertical="center"/>
    </xf>
    <xf numFmtId="0" fontId="22" fillId="69" borderId="35" xfId="48" applyFont="1" applyFill="1" applyBorder="1" applyAlignment="1">
      <alignment horizontal="center" vertical="center"/>
    </xf>
    <xf numFmtId="0" fontId="22" fillId="66" borderId="35" xfId="51" applyFont="1" applyFill="1" applyBorder="1" applyAlignment="1">
      <alignment horizontal="center" vertical="center"/>
    </xf>
    <xf numFmtId="0" fontId="24" fillId="0" borderId="35" xfId="53" applyFont="1" applyBorder="1">
      <alignment vertical="center"/>
    </xf>
    <xf numFmtId="0" fontId="1" fillId="0" borderId="35" xfId="53" applyBorder="1">
      <alignment vertical="center"/>
    </xf>
    <xf numFmtId="49" fontId="22" fillId="35" borderId="39" xfId="51" applyNumberFormat="1" applyFont="1" applyFill="1" applyBorder="1" applyAlignment="1">
      <alignment horizontal="left" vertical="center"/>
    </xf>
    <xf numFmtId="49" fontId="22" fillId="35" borderId="35" xfId="48" applyNumberFormat="1" applyFont="1" applyFill="1" applyBorder="1" applyAlignment="1">
      <alignment horizontal="left" vertical="center"/>
    </xf>
    <xf numFmtId="0" fontId="1" fillId="0" borderId="0" xfId="53" applyAlignment="1">
      <alignment horizontal="left" vertical="center"/>
    </xf>
    <xf numFmtId="41" fontId="22" fillId="0" borderId="0" xfId="0" applyNumberFormat="1" applyFont="1">
      <alignment vertical="center"/>
    </xf>
    <xf numFmtId="0" fontId="22" fillId="0" borderId="40" xfId="48" applyFont="1" applyFill="1" applyBorder="1" applyAlignment="1">
      <alignment horizontal="center" vertical="center"/>
    </xf>
    <xf numFmtId="49" fontId="22" fillId="0" borderId="40" xfId="48" applyNumberFormat="1" applyFont="1" applyFill="1" applyBorder="1" applyAlignment="1">
      <alignment horizontal="center" vertical="center"/>
    </xf>
    <xf numFmtId="0" fontId="22" fillId="44" borderId="40" xfId="48" applyFont="1" applyFill="1" applyBorder="1" applyAlignment="1">
      <alignment horizontal="center" vertical="center"/>
    </xf>
    <xf numFmtId="49" fontId="22" fillId="45" borderId="40" xfId="48" applyNumberFormat="1" applyFont="1" applyFill="1" applyBorder="1" applyAlignment="1">
      <alignment horizontal="center" vertical="center"/>
    </xf>
    <xf numFmtId="0" fontId="22" fillId="45" borderId="40" xfId="48" applyNumberFormat="1" applyFont="1" applyFill="1" applyBorder="1" applyAlignment="1">
      <alignment horizontal="center" vertical="center"/>
    </xf>
    <xf numFmtId="1" fontId="22" fillId="0" borderId="24" xfId="48" applyNumberFormat="1" applyFont="1" applyFill="1" applyBorder="1" applyAlignment="1">
      <alignment horizontal="center" vertical="center"/>
    </xf>
    <xf numFmtId="1" fontId="22" fillId="44" borderId="24" xfId="48" applyNumberFormat="1" applyFont="1" applyFill="1" applyBorder="1" applyAlignment="1">
      <alignment horizontal="center" vertical="center"/>
    </xf>
    <xf numFmtId="1" fontId="22" fillId="45" borderId="24" xfId="48" applyNumberFormat="1" applyFont="1" applyFill="1" applyBorder="1" applyAlignment="1">
      <alignment horizontal="center" vertical="center"/>
    </xf>
    <xf numFmtId="0" fontId="22" fillId="63" borderId="24" xfId="48" applyFont="1" applyFill="1" applyBorder="1" applyAlignment="1">
      <alignment horizontal="center" vertical="center"/>
    </xf>
    <xf numFmtId="0" fontId="22" fillId="49" borderId="24" xfId="48" applyFont="1" applyFill="1" applyBorder="1" applyAlignment="1">
      <alignment horizontal="center" vertical="center"/>
    </xf>
    <xf numFmtId="1" fontId="36" fillId="50" borderId="30" xfId="0" applyNumberFormat="1" applyFont="1" applyFill="1" applyBorder="1" applyAlignment="1">
      <alignment horizontal="right" vertical="center"/>
    </xf>
    <xf numFmtId="1" fontId="36" fillId="60" borderId="30" xfId="0" applyNumberFormat="1" applyFont="1" applyFill="1" applyBorder="1">
      <alignment vertical="center"/>
    </xf>
    <xf numFmtId="0" fontId="22" fillId="44" borderId="24" xfId="48" applyNumberFormat="1" applyFont="1" applyFill="1" applyBorder="1" applyAlignment="1">
      <alignment horizontal="center" vertical="center"/>
    </xf>
    <xf numFmtId="1" fontId="22" fillId="0" borderId="0" xfId="0" applyNumberFormat="1" applyFont="1">
      <alignment vertical="center"/>
    </xf>
    <xf numFmtId="0" fontId="22" fillId="47" borderId="27" xfId="0" applyFont="1" applyFill="1" applyBorder="1" applyAlignment="1">
      <alignment horizontal="center" vertical="center" wrapText="1"/>
    </xf>
    <xf numFmtId="0" fontId="22" fillId="50" borderId="28" xfId="48" applyFont="1" applyFill="1" applyBorder="1" applyAlignment="1">
      <alignment horizontal="center" vertical="center"/>
    </xf>
    <xf numFmtId="0" fontId="22" fillId="50" borderId="29" xfId="48" applyFont="1" applyFill="1" applyBorder="1" applyAlignment="1">
      <alignment horizontal="center" vertical="center"/>
    </xf>
    <xf numFmtId="0" fontId="22" fillId="50" borderId="20" xfId="48" applyFont="1" applyFill="1" applyBorder="1" applyAlignment="1">
      <alignment horizontal="center" vertical="center"/>
    </xf>
    <xf numFmtId="0" fontId="33" fillId="48" borderId="21" xfId="48" applyFont="1" applyFill="1" applyBorder="1" applyAlignment="1">
      <alignment horizontal="center" vertical="center"/>
    </xf>
    <xf numFmtId="0" fontId="33" fillId="48" borderId="21" xfId="0" applyFont="1" applyFill="1" applyBorder="1" applyAlignment="1">
      <alignment horizontal="center" vertical="center"/>
    </xf>
    <xf numFmtId="0" fontId="22" fillId="47" borderId="17" xfId="0" applyFont="1" applyFill="1" applyBorder="1" applyAlignment="1">
      <alignment horizontal="center" vertical="center" wrapText="1"/>
    </xf>
    <xf numFmtId="0" fontId="22" fillId="47" borderId="17" xfId="0" applyFont="1" applyFill="1" applyBorder="1" applyAlignment="1">
      <alignment horizontal="center" vertical="center"/>
    </xf>
    <xf numFmtId="0" fontId="22" fillId="47" borderId="27" xfId="0" applyFont="1" applyFill="1" applyBorder="1" applyAlignment="1">
      <alignment horizontal="center" vertical="center"/>
    </xf>
    <xf numFmtId="0" fontId="22" fillId="50" borderId="17" xfId="48" applyFont="1" applyFill="1" applyBorder="1" applyAlignment="1">
      <alignment horizontal="center" vertical="center"/>
    </xf>
    <xf numFmtId="0" fontId="22" fillId="49" borderId="17" xfId="48" applyFont="1" applyFill="1" applyBorder="1" applyAlignment="1">
      <alignment horizontal="center" vertical="center"/>
    </xf>
    <xf numFmtId="0" fontId="22" fillId="51" borderId="17" xfId="48" applyFont="1" applyFill="1" applyBorder="1" applyAlignment="1">
      <alignment horizontal="center" vertical="center"/>
    </xf>
    <xf numFmtId="0" fontId="22" fillId="52" borderId="17" xfId="48" applyFont="1" applyFill="1" applyBorder="1" applyAlignment="1">
      <alignment horizontal="center" vertical="center"/>
    </xf>
    <xf numFmtId="0" fontId="22" fillId="52" borderId="26" xfId="48" applyFont="1" applyFill="1" applyBorder="1" applyAlignment="1">
      <alignment horizontal="center" vertical="center"/>
    </xf>
    <xf numFmtId="0" fontId="22" fillId="52" borderId="29" xfId="48" applyFont="1" applyFill="1" applyBorder="1" applyAlignment="1">
      <alignment horizontal="center" vertical="center"/>
    </xf>
    <xf numFmtId="0" fontId="22" fillId="52" borderId="20" xfId="48" applyFont="1" applyFill="1" applyBorder="1" applyAlignment="1">
      <alignment horizontal="center" vertical="center"/>
    </xf>
    <xf numFmtId="0" fontId="22" fillId="49" borderId="23" xfId="48" applyFont="1" applyFill="1" applyBorder="1" applyAlignment="1">
      <alignment horizontal="center" vertical="center"/>
    </xf>
    <xf numFmtId="0" fontId="22" fillId="51" borderId="23" xfId="48" applyFont="1" applyFill="1" applyBorder="1" applyAlignment="1">
      <alignment horizontal="center" vertical="center"/>
    </xf>
    <xf numFmtId="0" fontId="22" fillId="50" borderId="22" xfId="48" applyFont="1" applyFill="1" applyBorder="1" applyAlignment="1">
      <alignment horizontal="center" vertical="center"/>
    </xf>
    <xf numFmtId="0" fontId="22" fillId="50" borderId="23" xfId="48" applyFont="1" applyFill="1" applyBorder="1" applyAlignment="1">
      <alignment horizontal="center" vertical="center"/>
    </xf>
    <xf numFmtId="179" fontId="22" fillId="51" borderId="23" xfId="48" applyNumberFormat="1" applyFont="1" applyFill="1" applyBorder="1" applyAlignment="1">
      <alignment horizontal="center" vertical="center"/>
    </xf>
    <xf numFmtId="179" fontId="22" fillId="52" borderId="26" xfId="48" applyNumberFormat="1" applyFont="1" applyFill="1" applyBorder="1" applyAlignment="1">
      <alignment horizontal="center" vertical="center"/>
    </xf>
    <xf numFmtId="179" fontId="22" fillId="52" borderId="29" xfId="48" applyNumberFormat="1" applyFont="1" applyFill="1" applyBorder="1" applyAlignment="1">
      <alignment horizontal="center" vertical="center"/>
    </xf>
    <xf numFmtId="179" fontId="22" fillId="52" borderId="20" xfId="48" applyNumberFormat="1" applyFont="1" applyFill="1" applyBorder="1" applyAlignment="1">
      <alignment horizontal="center" vertical="center"/>
    </xf>
    <xf numFmtId="179" fontId="22" fillId="53" borderId="26" xfId="48" applyNumberFormat="1" applyFont="1" applyFill="1" applyBorder="1" applyAlignment="1">
      <alignment horizontal="center" vertical="center"/>
    </xf>
    <xf numFmtId="179" fontId="22" fillId="53" borderId="29" xfId="48" applyNumberFormat="1" applyFont="1" applyFill="1" applyBorder="1" applyAlignment="1">
      <alignment horizontal="center" vertical="center"/>
    </xf>
    <xf numFmtId="179" fontId="22" fillId="53" borderId="20" xfId="48" applyNumberFormat="1" applyFont="1" applyFill="1" applyBorder="1" applyAlignment="1">
      <alignment horizontal="center" vertical="center"/>
    </xf>
    <xf numFmtId="176" fontId="33" fillId="48" borderId="21" xfId="48" applyNumberFormat="1" applyFont="1" applyFill="1" applyBorder="1" applyAlignment="1">
      <alignment horizontal="center" vertical="center"/>
    </xf>
    <xf numFmtId="179" fontId="33" fillId="48" borderId="21" xfId="48" applyNumberFormat="1" applyFont="1" applyFill="1" applyBorder="1" applyAlignment="1">
      <alignment horizontal="center" vertical="center"/>
    </xf>
    <xf numFmtId="179" fontId="22" fillId="47" borderId="27" xfId="0" applyNumberFormat="1" applyFont="1" applyFill="1" applyBorder="1" applyAlignment="1">
      <alignment horizontal="center" vertical="center" wrapText="1"/>
    </xf>
    <xf numFmtId="179" fontId="22" fillId="50" borderId="28" xfId="48" applyNumberFormat="1" applyFont="1" applyFill="1" applyBorder="1" applyAlignment="1">
      <alignment horizontal="center" vertical="center"/>
    </xf>
    <xf numFmtId="179" fontId="22" fillId="50" borderId="29" xfId="48" applyNumberFormat="1" applyFont="1" applyFill="1" applyBorder="1" applyAlignment="1">
      <alignment horizontal="center" vertical="center"/>
    </xf>
    <xf numFmtId="179" fontId="22" fillId="50" borderId="20" xfId="48" applyNumberFormat="1" applyFont="1" applyFill="1" applyBorder="1" applyAlignment="1">
      <alignment horizontal="center" vertical="center"/>
    </xf>
    <xf numFmtId="179" fontId="22" fillId="55" borderId="22" xfId="48" applyNumberFormat="1" applyFont="1" applyFill="1" applyBorder="1" applyAlignment="1">
      <alignment horizontal="center" vertical="center"/>
    </xf>
    <xf numFmtId="179" fontId="22" fillId="55" borderId="23" xfId="48" applyNumberFormat="1" applyFont="1" applyFill="1" applyBorder="1" applyAlignment="1">
      <alignment horizontal="center" vertical="center"/>
    </xf>
    <xf numFmtId="179" fontId="22" fillId="50" borderId="22" xfId="48" applyNumberFormat="1" applyFont="1" applyFill="1" applyBorder="1" applyAlignment="1">
      <alignment horizontal="center" vertical="center"/>
    </xf>
    <xf numFmtId="179" fontId="22" fillId="50" borderId="23" xfId="48" applyNumberFormat="1" applyFont="1" applyFill="1" applyBorder="1" applyAlignment="1">
      <alignment horizontal="center" vertical="center"/>
    </xf>
    <xf numFmtId="179" fontId="22" fillId="56" borderId="23" xfId="48" applyNumberFormat="1" applyFont="1" applyFill="1" applyBorder="1" applyAlignment="1">
      <alignment horizontal="center" vertical="center"/>
    </xf>
    <xf numFmtId="179" fontId="22" fillId="49" borderId="23" xfId="48" applyNumberFormat="1" applyFont="1" applyFill="1" applyBorder="1" applyAlignment="1">
      <alignment horizontal="center" vertical="center"/>
    </xf>
    <xf numFmtId="179" fontId="22" fillId="54" borderId="23" xfId="48" applyNumberFormat="1" applyFont="1" applyFill="1" applyBorder="1" applyAlignment="1">
      <alignment horizontal="center" vertical="center"/>
    </xf>
    <xf numFmtId="0" fontId="33" fillId="48" borderId="33" xfId="0" applyFont="1" applyFill="1" applyBorder="1" applyAlignment="1">
      <alignment horizontal="center" vertical="center"/>
    </xf>
    <xf numFmtId="0" fontId="33" fillId="48" borderId="34" xfId="0" applyFont="1" applyFill="1" applyBorder="1" applyAlignment="1">
      <alignment horizontal="center" vertical="center"/>
    </xf>
    <xf numFmtId="0" fontId="34" fillId="48" borderId="36" xfId="0" applyFont="1" applyFill="1" applyBorder="1" applyAlignment="1">
      <alignment horizontal="center" vertical="center"/>
    </xf>
    <xf numFmtId="0" fontId="34" fillId="48" borderId="37" xfId="0" applyFont="1" applyFill="1" applyBorder="1" applyAlignment="1">
      <alignment horizontal="center" vertical="center"/>
    </xf>
    <xf numFmtId="0" fontId="34" fillId="48" borderId="23" xfId="0" applyFont="1" applyFill="1" applyBorder="1" applyAlignment="1">
      <alignment horizontal="center" vertical="center"/>
    </xf>
    <xf numFmtId="0" fontId="34" fillId="48" borderId="38" xfId="0" applyFont="1" applyFill="1" applyBorder="1" applyAlignment="1">
      <alignment horizontal="center" vertical="center"/>
    </xf>
    <xf numFmtId="0" fontId="34" fillId="48" borderId="22" xfId="0" applyFont="1" applyFill="1" applyBorder="1" applyAlignment="1">
      <alignment horizontal="center" vertical="center"/>
    </xf>
  </cellXfs>
  <cellStyles count="54">
    <cellStyle name="20% - 강조색1" xfId="20" builtinId="30" customBuiltin="1"/>
    <cellStyle name="20% - 강조색1 2" xfId="48"/>
    <cellStyle name="20% - 강조색1 3" xfId="51"/>
    <cellStyle name="20% - 강조색2" xfId="24" builtinId="34" customBuiltin="1"/>
    <cellStyle name="20% - 강조색2 2" xfId="52"/>
    <cellStyle name="20% - 강조색2 9" xfId="50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Excel Built-in Normal 2" xfId="43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 customBuiltin="1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 customBuiltin="1"/>
    <cellStyle name="표준 10" xfId="44"/>
    <cellStyle name="표준 11" xfId="49"/>
    <cellStyle name="표준 2" xfId="45"/>
    <cellStyle name="표준 2 2" xfId="46"/>
    <cellStyle name="표준 3" xfId="47"/>
    <cellStyle name="표준 4" xfId="53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187"/>
  <sheetViews>
    <sheetView workbookViewId="0">
      <pane ySplit="3" topLeftCell="A43" activePane="bottomLeft" state="frozen"/>
      <selection pane="bottomLeft" activeCell="F167" sqref="F167"/>
    </sheetView>
  </sheetViews>
  <sheetFormatPr defaultRowHeight="16.5" x14ac:dyDescent="0.3"/>
  <cols>
    <col min="1" max="1" width="1.625" style="50" customWidth="1"/>
    <col min="2" max="2" width="13.125" style="50" bestFit="1" customWidth="1"/>
    <col min="3" max="3" width="17.5" style="50" bestFit="1" customWidth="1"/>
    <col min="4" max="4" width="6" style="50" bestFit="1" customWidth="1"/>
    <col min="5" max="5" width="7.875" style="50" customWidth="1"/>
    <col min="6" max="6" width="8.75" style="50" bestFit="1" customWidth="1"/>
    <col min="7" max="7" width="1.25" style="50" customWidth="1"/>
    <col min="8" max="8" width="7.625" style="50" bestFit="1" customWidth="1"/>
    <col min="9" max="34" width="5.625" style="50" customWidth="1"/>
    <col min="35" max="37" width="7" style="50" customWidth="1"/>
    <col min="38" max="16384" width="9" style="50"/>
  </cols>
  <sheetData>
    <row r="2" spans="2:37" x14ac:dyDescent="0.3">
      <c r="C2" s="285" t="s">
        <v>322</v>
      </c>
      <c r="D2" s="284" t="s">
        <v>234</v>
      </c>
      <c r="E2" s="284" t="s">
        <v>236</v>
      </c>
      <c r="F2" s="284" t="s">
        <v>257</v>
      </c>
      <c r="H2" s="284" t="s">
        <v>235</v>
      </c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</row>
    <row r="3" spans="2:37" x14ac:dyDescent="0.3">
      <c r="C3" s="285"/>
      <c r="D3" s="284"/>
      <c r="E3" s="284"/>
      <c r="F3" s="284"/>
      <c r="H3" s="51">
        <v>1</v>
      </c>
      <c r="I3" s="51">
        <v>2</v>
      </c>
      <c r="J3" s="51">
        <v>3</v>
      </c>
      <c r="K3" s="51">
        <v>4</v>
      </c>
      <c r="L3" s="51">
        <v>5</v>
      </c>
      <c r="M3" s="51">
        <v>6</v>
      </c>
      <c r="N3" s="51">
        <v>7</v>
      </c>
      <c r="O3" s="51">
        <v>8</v>
      </c>
      <c r="P3" s="51">
        <v>9</v>
      </c>
      <c r="Q3" s="51">
        <v>10</v>
      </c>
      <c r="R3" s="51">
        <v>11</v>
      </c>
      <c r="S3" s="51">
        <v>12</v>
      </c>
      <c r="T3" s="51">
        <v>13</v>
      </c>
      <c r="U3" s="51">
        <v>14</v>
      </c>
      <c r="V3" s="51">
        <v>15</v>
      </c>
      <c r="W3" s="51">
        <v>16</v>
      </c>
      <c r="X3" s="51">
        <v>17</v>
      </c>
      <c r="Y3" s="51">
        <v>18</v>
      </c>
      <c r="Z3" s="51">
        <v>19</v>
      </c>
      <c r="AA3" s="51">
        <v>20</v>
      </c>
      <c r="AB3" s="51">
        <v>21</v>
      </c>
      <c r="AC3" s="51">
        <v>22</v>
      </c>
      <c r="AD3" s="51">
        <v>23</v>
      </c>
      <c r="AE3" s="51">
        <v>24</v>
      </c>
      <c r="AF3" s="51">
        <v>25</v>
      </c>
      <c r="AG3" s="51">
        <v>26</v>
      </c>
      <c r="AH3" s="51">
        <v>27</v>
      </c>
      <c r="AI3" s="51">
        <v>28</v>
      </c>
      <c r="AJ3" s="51">
        <v>29</v>
      </c>
      <c r="AK3" s="51">
        <v>30</v>
      </c>
    </row>
    <row r="4" spans="2:37" ht="16.5" customHeight="1" x14ac:dyDescent="0.3">
      <c r="B4" s="280" t="s">
        <v>249</v>
      </c>
      <c r="C4" s="281" t="s">
        <v>217</v>
      </c>
      <c r="D4" s="60">
        <v>1</v>
      </c>
      <c r="E4" s="60">
        <f>VLOOKUP($C$4,ServantLevelUPdStatus!$B$5:$AD$29,3,FALSE)+(VLOOKUP($C$4,ServantLevelUPdStatus!$B$5:$AD$29,3,FALSE)*0.5*(Simulator_ALL!$D4-1))</f>
        <v>568</v>
      </c>
      <c r="F4" s="60">
        <f>VLOOKUP($C$4,ServantLevelUPdStatus!$B$5:$AD$29,3,FALSE)</f>
        <v>568</v>
      </c>
      <c r="H4" s="55">
        <f>VLOOKUP($C$4,Servant!$B$5:$AD$29,15,FALSE)+($F4+($F4*0.5*($D4-1)))*(H$3-1)</f>
        <v>1525</v>
      </c>
      <c r="I4" s="55">
        <f>VLOOKUP($C$4,Servant!$B$5:$AD$29,15,FALSE)+($F4+($F4*0.5*($D4-1)))*(I$3-1)</f>
        <v>2093</v>
      </c>
      <c r="J4" s="55">
        <f>VLOOKUP($C$4,Servant!$B$5:$AD$29,15,FALSE)+($F4+($F4*0.5*($D4-1)))*(J$3-1)</f>
        <v>2661</v>
      </c>
      <c r="K4" s="55">
        <f>VLOOKUP($C$4,Servant!$B$5:$AD$29,15,FALSE)+($F4+($F4*0.5*($D4-1)))*(K$3-1)</f>
        <v>3229</v>
      </c>
      <c r="L4" s="55">
        <f>VLOOKUP($C$4,Servant!$B$5:$AD$29,15,FALSE)+($F4+($F4*0.5*($D4-1)))*(L$3-1)</f>
        <v>3797</v>
      </c>
      <c r="M4" s="55">
        <f>VLOOKUP($C$4,Servant!$B$5:$AD$29,15,FALSE)+($F4+($F4*0.5*($D4-1)))*(M$3-1)</f>
        <v>4365</v>
      </c>
      <c r="N4" s="55">
        <f>VLOOKUP($C$4,Servant!$B$5:$AD$29,15,FALSE)+($F4+($F4*0.5*($D4-1)))*(N$3-1)</f>
        <v>4933</v>
      </c>
      <c r="O4" s="55">
        <f>VLOOKUP($C$4,Servant!$B$5:$AD$29,15,FALSE)+($F4+($F4*0.5*($D4-1)))*(O$3-1)</f>
        <v>5501</v>
      </c>
      <c r="P4" s="55">
        <f>VLOOKUP($C$4,Servant!$B$5:$AD$29,15,FALSE)+($F4+($F4*0.5*($D4-1)))*(P$3-1)</f>
        <v>6069</v>
      </c>
      <c r="Q4" s="55">
        <f>VLOOKUP($C$4,Servant!$B$5:$AD$29,15,FALSE)+($F4+($F4*0.5*($D4-1)))*(Q$3-1)</f>
        <v>6637</v>
      </c>
      <c r="R4" s="55">
        <f>VLOOKUP($C$4,Servant!$B$5:$AD$29,15,FALSE)+($F4+($F4*0.5*($D4-1)))*(R$3-1)</f>
        <v>7205</v>
      </c>
      <c r="S4" s="55">
        <f>VLOOKUP($C$4,Servant!$B$5:$AD$29,15,FALSE)+($F4+($F4*0.5*($D4-1)))*(S$3-1)</f>
        <v>7773</v>
      </c>
      <c r="T4" s="55">
        <f>VLOOKUP($C$4,Servant!$B$5:$AD$29,15,FALSE)+($F4+($F4*0.5*($D4-1)))*(T$3-1)</f>
        <v>8341</v>
      </c>
      <c r="U4" s="55">
        <f>VLOOKUP($C$4,Servant!$B$5:$AD$29,15,FALSE)+($F4+($F4*0.5*($D4-1)))*(U$3-1)</f>
        <v>8909</v>
      </c>
      <c r="V4" s="55">
        <f>VLOOKUP($C$4,Servant!$B$5:$AD$29,15,FALSE)+($F4+($F4*0.5*($D4-1)))*(V$3-1)</f>
        <v>9477</v>
      </c>
      <c r="W4" s="55">
        <f>VLOOKUP($C$4,Servant!$B$5:$AD$29,15,FALSE)+($F4+($F4*0.5*($D4-1)))*(W$3-1)</f>
        <v>10045</v>
      </c>
      <c r="X4" s="55">
        <f>VLOOKUP($C$4,Servant!$B$5:$AD$29,15,FALSE)+($F4+($F4*0.5*($D4-1)))*(X$3-1)</f>
        <v>10613</v>
      </c>
      <c r="Y4" s="55">
        <f>VLOOKUP($C$4,Servant!$B$5:$AD$29,15,FALSE)+($F4+($F4*0.5*($D4-1)))*(Y$3-1)</f>
        <v>11181</v>
      </c>
      <c r="Z4" s="55">
        <f>VLOOKUP($C$4,Servant!$B$5:$AD$29,15,FALSE)+($F4+($F4*0.5*($D4-1)))*(Z$3-1)</f>
        <v>11749</v>
      </c>
      <c r="AA4" s="55">
        <f>VLOOKUP($C$4,Servant!$B$5:$AD$29,15,FALSE)+($F4+($F4*0.5*($D4-1)))*(AA$3-1)</f>
        <v>12317</v>
      </c>
      <c r="AB4" s="55">
        <f>VLOOKUP($C$4,Servant!$B$5:$AD$29,15,FALSE)+($F4+($F4*0.5*($D4-1)))*(AB$3-1)</f>
        <v>12885</v>
      </c>
      <c r="AC4" s="55">
        <f>VLOOKUP($C$4,Servant!$B$5:$AD$29,15,FALSE)+($F4+($F4*0.5*($D4-1)))*(AC$3-1)</f>
        <v>13453</v>
      </c>
      <c r="AD4" s="55">
        <f>VLOOKUP($C$4,Servant!$B$5:$AD$29,15,FALSE)+($F4+($F4*0.5*($D4-1)))*(AD$3-1)</f>
        <v>14021</v>
      </c>
      <c r="AE4" s="55">
        <f>VLOOKUP($C$4,Servant!$B$5:$AD$29,15,FALSE)+($F4+($F4*0.5*($D4-1)))*(AE$3-1)</f>
        <v>14589</v>
      </c>
      <c r="AF4" s="55">
        <f>VLOOKUP($C$4,Servant!$B$5:$AD$29,15,FALSE)+($F4+($F4*0.5*($D4-1)))*(AF$3-1)</f>
        <v>15157</v>
      </c>
      <c r="AG4" s="55">
        <f>VLOOKUP($C$4,Servant!$B$5:$AD$29,15,FALSE)+($F4+($F4*0.5*($D4-1)))*(AG$3-1)</f>
        <v>15725</v>
      </c>
      <c r="AH4" s="55">
        <f>VLOOKUP($C$4,Servant!$B$5:$AD$29,15,FALSE)+($F4+($F4*0.5*($D4-1)))*(AH$3-1)</f>
        <v>16293</v>
      </c>
      <c r="AI4" s="55">
        <f>VLOOKUP($C$4,Servant!$B$5:$AD$29,15,FALSE)+($F4+($F4*0.5*($D4-1)))*(AI$3-1)</f>
        <v>16861</v>
      </c>
      <c r="AJ4" s="55">
        <f>VLOOKUP($C$4,Servant!$B$5:$AD$29,15,FALSE)+($F4+($F4*0.5*($D4-1)))*(AJ$3-1)</f>
        <v>17429</v>
      </c>
      <c r="AK4" s="55">
        <f>VLOOKUP($C$4,Servant!$B$5:$AD$29,15,FALSE)+($F4+($F4*0.5*($D4-1)))*(AK$3-1)</f>
        <v>17997</v>
      </c>
    </row>
    <row r="5" spans="2:37" x14ac:dyDescent="0.3">
      <c r="B5" s="280"/>
      <c r="C5" s="282"/>
      <c r="D5" s="54">
        <v>2</v>
      </c>
      <c r="E5" s="60">
        <f>VLOOKUP($C$4,ServantLevelUPdStatus!$B$5:$AD$29,3,FALSE)+(VLOOKUP($C$4,ServantLevelUPdStatus!$B$5:$AD$29,3,FALSE)*0.5*(Simulator_ALL!$D5-1))</f>
        <v>852</v>
      </c>
      <c r="F5" s="54">
        <f>F4</f>
        <v>568</v>
      </c>
      <c r="H5" s="55">
        <f>VLOOKUP($C$4,Servant!$B$5:$AD$29,15,FALSE)+($F5+($F5*0.5*($D5-1)))*(H$3-1)</f>
        <v>1525</v>
      </c>
      <c r="I5" s="55">
        <f>VLOOKUP($C$4,Servant!$B$5:$AD$29,15,FALSE)+($F5+($F5*0.5*($D5-1)))*(I$3-1)</f>
        <v>2377</v>
      </c>
      <c r="J5" s="55">
        <f>VLOOKUP($C$4,Servant!$B$5:$AD$29,15,FALSE)+($F5+($F5*0.5*($D5-1)))*(J$3-1)</f>
        <v>3229</v>
      </c>
      <c r="K5" s="55">
        <f>VLOOKUP($C$4,Servant!$B$5:$AD$29,15,FALSE)+($F5+($F5*0.5*($D5-1)))*(K$3-1)</f>
        <v>4081</v>
      </c>
      <c r="L5" s="55">
        <f>VLOOKUP($C$4,Servant!$B$5:$AD$29,15,FALSE)+($F5+($F5*0.5*($D5-1)))*(L$3-1)</f>
        <v>4933</v>
      </c>
      <c r="M5" s="55">
        <f>VLOOKUP($C$4,Servant!$B$5:$AD$29,15,FALSE)+($F5+($F5*0.5*($D5-1)))*(M$3-1)</f>
        <v>5785</v>
      </c>
      <c r="N5" s="55">
        <f>VLOOKUP($C$4,Servant!$B$5:$AD$29,15,FALSE)+($F5+($F5*0.5*($D5-1)))*(N$3-1)</f>
        <v>6637</v>
      </c>
      <c r="O5" s="55">
        <f>VLOOKUP($C$4,Servant!$B$5:$AD$29,15,FALSE)+($F5+($F5*0.5*($D5-1)))*(O$3-1)</f>
        <v>7489</v>
      </c>
      <c r="P5" s="55">
        <f>VLOOKUP($C$4,Servant!$B$5:$AD$29,15,FALSE)+($F5+($F5*0.5*($D5-1)))*(P$3-1)</f>
        <v>8341</v>
      </c>
      <c r="Q5" s="55">
        <f>VLOOKUP($C$4,Servant!$B$5:$AD$29,15,FALSE)+($F5+($F5*0.5*($D5-1)))*(Q$3-1)</f>
        <v>9193</v>
      </c>
      <c r="R5" s="55">
        <f>VLOOKUP($C$4,Servant!$B$5:$AD$29,15,FALSE)+($F5+($F5*0.5*($D5-1)))*(R$3-1)</f>
        <v>10045</v>
      </c>
      <c r="S5" s="55">
        <f>VLOOKUP($C$4,Servant!$B$5:$AD$29,15,FALSE)+($F5+($F5*0.5*($D5-1)))*(S$3-1)</f>
        <v>10897</v>
      </c>
      <c r="T5" s="55">
        <f>VLOOKUP($C$4,Servant!$B$5:$AD$29,15,FALSE)+($F5+($F5*0.5*($D5-1)))*(T$3-1)</f>
        <v>11749</v>
      </c>
      <c r="U5" s="55">
        <f>VLOOKUP($C$4,Servant!$B$5:$AD$29,15,FALSE)+($F5+($F5*0.5*($D5-1)))*(U$3-1)</f>
        <v>12601</v>
      </c>
      <c r="V5" s="55">
        <f>VLOOKUP($C$4,Servant!$B$5:$AD$29,15,FALSE)+($F5+($F5*0.5*($D5-1)))*(V$3-1)</f>
        <v>13453</v>
      </c>
      <c r="W5" s="55">
        <f>VLOOKUP($C$4,Servant!$B$5:$AD$29,15,FALSE)+($F5+($F5*0.5*($D5-1)))*(W$3-1)</f>
        <v>14305</v>
      </c>
      <c r="X5" s="55">
        <f>VLOOKUP($C$4,Servant!$B$5:$AD$29,15,FALSE)+($F5+($F5*0.5*($D5-1)))*(X$3-1)</f>
        <v>15157</v>
      </c>
      <c r="Y5" s="55">
        <f>VLOOKUP($C$4,Servant!$B$5:$AD$29,15,FALSE)+($F5+($F5*0.5*($D5-1)))*(Y$3-1)</f>
        <v>16009</v>
      </c>
      <c r="Z5" s="55">
        <f>VLOOKUP($C$4,Servant!$B$5:$AD$29,15,FALSE)+($F5+($F5*0.5*($D5-1)))*(Z$3-1)</f>
        <v>16861</v>
      </c>
      <c r="AA5" s="55">
        <f>VLOOKUP($C$4,Servant!$B$5:$AD$29,15,FALSE)+($F5+($F5*0.5*($D5-1)))*(AA$3-1)</f>
        <v>17713</v>
      </c>
      <c r="AB5" s="55">
        <f>VLOOKUP($C$4,Servant!$B$5:$AD$29,15,FALSE)+($F5+($F5*0.5*($D5-1)))*(AB$3-1)</f>
        <v>18565</v>
      </c>
      <c r="AC5" s="55">
        <f>VLOOKUP($C$4,Servant!$B$5:$AD$29,15,FALSE)+($F5+($F5*0.5*($D5-1)))*(AC$3-1)</f>
        <v>19417</v>
      </c>
      <c r="AD5" s="55">
        <f>VLOOKUP($C$4,Servant!$B$5:$AD$29,15,FALSE)+($F5+($F5*0.5*($D5-1)))*(AD$3-1)</f>
        <v>20269</v>
      </c>
      <c r="AE5" s="55">
        <f>VLOOKUP($C$4,Servant!$B$5:$AD$29,15,FALSE)+($F5+($F5*0.5*($D5-1)))*(AE$3-1)</f>
        <v>21121</v>
      </c>
      <c r="AF5" s="55">
        <f>VLOOKUP($C$4,Servant!$B$5:$AD$29,15,FALSE)+($F5+($F5*0.5*($D5-1)))*(AF$3-1)</f>
        <v>21973</v>
      </c>
      <c r="AG5" s="55">
        <f>VLOOKUP($C$4,Servant!$B$5:$AD$29,15,FALSE)+($F5+($F5*0.5*($D5-1)))*(AG$3-1)</f>
        <v>22825</v>
      </c>
      <c r="AH5" s="55">
        <f>VLOOKUP($C$4,Servant!$B$5:$AD$29,15,FALSE)+($F5+($F5*0.5*($D5-1)))*(AH$3-1)</f>
        <v>23677</v>
      </c>
      <c r="AI5" s="55">
        <f>VLOOKUP($C$4,Servant!$B$5:$AD$29,15,FALSE)+($F5+($F5*0.5*($D5-1)))*(AI$3-1)</f>
        <v>24529</v>
      </c>
      <c r="AJ5" s="55">
        <f>VLOOKUP($C$4,Servant!$B$5:$AD$29,15,FALSE)+($F5+($F5*0.5*($D5-1)))*(AJ$3-1)</f>
        <v>25381</v>
      </c>
      <c r="AK5" s="55">
        <f>VLOOKUP($C$4,Servant!$B$5:$AD$29,15,FALSE)+($F5+($F5*0.5*($D5-1)))*(AK$3-1)</f>
        <v>26233</v>
      </c>
    </row>
    <row r="6" spans="2:37" x14ac:dyDescent="0.3">
      <c r="B6" s="280"/>
      <c r="C6" s="283"/>
      <c r="D6" s="54">
        <v>3</v>
      </c>
      <c r="E6" s="60">
        <f>VLOOKUP($C$4,ServantLevelUPdStatus!$B$5:$AD$29,3,FALSE)+(VLOOKUP($C$4,ServantLevelUPdStatus!$B$5:$AD$29,3,FALSE)*0.5*(Simulator_ALL!$D6-1))</f>
        <v>1136</v>
      </c>
      <c r="F6" s="54">
        <f>F5</f>
        <v>568</v>
      </c>
      <c r="H6" s="55">
        <f>VLOOKUP($C$4,Servant!$B$5:$AD$29,15,FALSE)+($F6+($F6*0.5*($D6-1)))*(H$3-1)</f>
        <v>1525</v>
      </c>
      <c r="I6" s="55">
        <f>VLOOKUP($C$4,Servant!$B$5:$AD$29,15,FALSE)+($F6+($F6*0.5*($D6-1)))*(I$3-1)</f>
        <v>2661</v>
      </c>
      <c r="J6" s="55">
        <f>VLOOKUP($C$4,Servant!$B$5:$AD$29,15,FALSE)+($F6+($F6*0.5*($D6-1)))*(J$3-1)</f>
        <v>3797</v>
      </c>
      <c r="K6" s="55">
        <f>VLOOKUP($C$4,Servant!$B$5:$AD$29,15,FALSE)+($F6+($F6*0.5*($D6-1)))*(K$3-1)</f>
        <v>4933</v>
      </c>
      <c r="L6" s="55">
        <f>VLOOKUP($C$4,Servant!$B$5:$AD$29,15,FALSE)+($F6+($F6*0.5*($D6-1)))*(L$3-1)</f>
        <v>6069</v>
      </c>
      <c r="M6" s="55">
        <f>VLOOKUP($C$4,Servant!$B$5:$AD$29,15,FALSE)+($F6+($F6*0.5*($D6-1)))*(M$3-1)</f>
        <v>7205</v>
      </c>
      <c r="N6" s="55">
        <f>VLOOKUP($C$4,Servant!$B$5:$AD$29,15,FALSE)+($F6+($F6*0.5*($D6-1)))*(N$3-1)</f>
        <v>8341</v>
      </c>
      <c r="O6" s="55">
        <f>VLOOKUP($C$4,Servant!$B$5:$AD$29,15,FALSE)+($F6+($F6*0.5*($D6-1)))*(O$3-1)</f>
        <v>9477</v>
      </c>
      <c r="P6" s="55">
        <f>VLOOKUP($C$4,Servant!$B$5:$AD$29,15,FALSE)+($F6+($F6*0.5*($D6-1)))*(P$3-1)</f>
        <v>10613</v>
      </c>
      <c r="Q6" s="55">
        <f>VLOOKUP($C$4,Servant!$B$5:$AD$29,15,FALSE)+($F6+($F6*0.5*($D6-1)))*(Q$3-1)</f>
        <v>11749</v>
      </c>
      <c r="R6" s="55">
        <f>VLOOKUP($C$4,Servant!$B$5:$AD$29,15,FALSE)+($F6+($F6*0.5*($D6-1)))*(R$3-1)</f>
        <v>12885</v>
      </c>
      <c r="S6" s="55">
        <f>VLOOKUP($C$4,Servant!$B$5:$AD$29,15,FALSE)+($F6+($F6*0.5*($D6-1)))*(S$3-1)</f>
        <v>14021</v>
      </c>
      <c r="T6" s="55">
        <f>VLOOKUP($C$4,Servant!$B$5:$AD$29,15,FALSE)+($F6+($F6*0.5*($D6-1)))*(T$3-1)</f>
        <v>15157</v>
      </c>
      <c r="U6" s="55">
        <f>VLOOKUP($C$4,Servant!$B$5:$AD$29,15,FALSE)+($F6+($F6*0.5*($D6-1)))*(U$3-1)</f>
        <v>16293</v>
      </c>
      <c r="V6" s="55">
        <f>VLOOKUP($C$4,Servant!$B$5:$AD$29,15,FALSE)+($F6+($F6*0.5*($D6-1)))*(V$3-1)</f>
        <v>17429</v>
      </c>
      <c r="W6" s="55">
        <f>VLOOKUP($C$4,Servant!$B$5:$AD$29,15,FALSE)+($F6+($F6*0.5*($D6-1)))*(W$3-1)</f>
        <v>18565</v>
      </c>
      <c r="X6" s="55">
        <f>VLOOKUP($C$4,Servant!$B$5:$AD$29,15,FALSE)+($F6+($F6*0.5*($D6-1)))*(X$3-1)</f>
        <v>19701</v>
      </c>
      <c r="Y6" s="55">
        <f>VLOOKUP($C$4,Servant!$B$5:$AD$29,15,FALSE)+($F6+($F6*0.5*($D6-1)))*(Y$3-1)</f>
        <v>20837</v>
      </c>
      <c r="Z6" s="55">
        <f>VLOOKUP($C$4,Servant!$B$5:$AD$29,15,FALSE)+($F6+($F6*0.5*($D6-1)))*(Z$3-1)</f>
        <v>21973</v>
      </c>
      <c r="AA6" s="55">
        <f>VLOOKUP($C$4,Servant!$B$5:$AD$29,15,FALSE)+($F6+($F6*0.5*($D6-1)))*(AA$3-1)</f>
        <v>23109</v>
      </c>
      <c r="AB6" s="55">
        <f>VLOOKUP($C$4,Servant!$B$5:$AD$29,15,FALSE)+($F6+($F6*0.5*($D6-1)))*(AB$3-1)</f>
        <v>24245</v>
      </c>
      <c r="AC6" s="55">
        <f>VLOOKUP($C$4,Servant!$B$5:$AD$29,15,FALSE)+($F6+($F6*0.5*($D6-1)))*(AC$3-1)</f>
        <v>25381</v>
      </c>
      <c r="AD6" s="55">
        <f>VLOOKUP($C$4,Servant!$B$5:$AD$29,15,FALSE)+($F6+($F6*0.5*($D6-1)))*(AD$3-1)</f>
        <v>26517</v>
      </c>
      <c r="AE6" s="55">
        <f>VLOOKUP($C$4,Servant!$B$5:$AD$29,15,FALSE)+($F6+($F6*0.5*($D6-1)))*(AE$3-1)</f>
        <v>27653</v>
      </c>
      <c r="AF6" s="55">
        <f>VLOOKUP($C$4,Servant!$B$5:$AD$29,15,FALSE)+($F6+($F6*0.5*($D6-1)))*(AF$3-1)</f>
        <v>28789</v>
      </c>
      <c r="AG6" s="55">
        <f>VLOOKUP($C$4,Servant!$B$5:$AD$29,15,FALSE)+($F6+($F6*0.5*($D6-1)))*(AG$3-1)</f>
        <v>29925</v>
      </c>
      <c r="AH6" s="55">
        <f>VLOOKUP($C$4,Servant!$B$5:$AD$29,15,FALSE)+($F6+($F6*0.5*($D6-1)))*(AH$3-1)</f>
        <v>31061</v>
      </c>
      <c r="AI6" s="55">
        <f>VLOOKUP($C$4,Servant!$B$5:$AD$29,15,FALSE)+($F6+($F6*0.5*($D6-1)))*(AI$3-1)</f>
        <v>32197</v>
      </c>
      <c r="AJ6" s="55">
        <f>VLOOKUP($C$4,Servant!$B$5:$AD$29,15,FALSE)+($F6+($F6*0.5*($D6-1)))*(AJ$3-1)</f>
        <v>33333</v>
      </c>
      <c r="AK6" s="55">
        <f>VLOOKUP($C$4,Servant!$B$5:$AD$29,15,FALSE)+($F6+($F6*0.5*($D6-1)))*(AK$3-1)</f>
        <v>34469</v>
      </c>
    </row>
    <row r="7" spans="2:37" x14ac:dyDescent="0.3">
      <c r="B7" s="280"/>
      <c r="C7" s="296" t="s">
        <v>237</v>
      </c>
      <c r="D7" s="52">
        <v>2</v>
      </c>
      <c r="E7" s="109">
        <f>VLOOKUP($C$7,ServantLevelUPdStatus!$B$5:$AD$29,3,FALSE)+(VLOOKUP($C$7,ServantLevelUPdStatus!$B$5:$AD$29,3,FALSE)*0.5*(Simulator_ALL!$D7-1))</f>
        <v>1021.5</v>
      </c>
      <c r="F7" s="109">
        <f>VLOOKUP($C$7,ServantLevelUPdStatus!$B$5:$AD$29,3,FALSE)</f>
        <v>681</v>
      </c>
      <c r="H7" s="53">
        <f>VLOOKUP($C$7,Servant!$B$5:$AD$29,15,FALSE)+($F7+($F7*0.5*($D7-1)))*(H$3-1)</f>
        <v>2135</v>
      </c>
      <c r="I7" s="53">
        <f>VLOOKUP($C$7,Servant!$B$5:$AD$29,15,FALSE)+($F7+($F7*0.5*($D7-1)))*(I$3-1)</f>
        <v>3156.5</v>
      </c>
      <c r="J7" s="53">
        <f>VLOOKUP($C$7,Servant!$B$5:$AD$29,15,FALSE)+($F7+($F7*0.5*($D7-1)))*(J$3-1)</f>
        <v>4178</v>
      </c>
      <c r="K7" s="53">
        <f>VLOOKUP($C$7,Servant!$B$5:$AD$29,15,FALSE)+($F7+($F7*0.5*($D7-1)))*(K$3-1)</f>
        <v>5199.5</v>
      </c>
      <c r="L7" s="53">
        <f>VLOOKUP($C$7,Servant!$B$5:$AD$29,15,FALSE)+($F7+($F7*0.5*($D7-1)))*(L$3-1)</f>
        <v>6221</v>
      </c>
      <c r="M7" s="53">
        <f>VLOOKUP($C$7,Servant!$B$5:$AD$29,15,FALSE)+($F7+($F7*0.5*($D7-1)))*(M$3-1)</f>
        <v>7242.5</v>
      </c>
      <c r="N7" s="53">
        <f>VLOOKUP($C$7,Servant!$B$5:$AD$29,15,FALSE)+($F7+($F7*0.5*($D7-1)))*(N$3-1)</f>
        <v>8264</v>
      </c>
      <c r="O7" s="53">
        <f>VLOOKUP($C$7,Servant!$B$5:$AD$29,15,FALSE)+($F7+($F7*0.5*($D7-1)))*(O$3-1)</f>
        <v>9285.5</v>
      </c>
      <c r="P7" s="53">
        <f>VLOOKUP($C$7,Servant!$B$5:$AD$29,15,FALSE)+($F7+($F7*0.5*($D7-1)))*(P$3-1)</f>
        <v>10307</v>
      </c>
      <c r="Q7" s="53">
        <f>VLOOKUP($C$7,Servant!$B$5:$AD$29,15,FALSE)+($F7+($F7*0.5*($D7-1)))*(Q$3-1)</f>
        <v>11328.5</v>
      </c>
      <c r="R7" s="53">
        <f>VLOOKUP($C$7,Servant!$B$5:$AD$29,15,FALSE)+($F7+($F7*0.5*($D7-1)))*(R$3-1)</f>
        <v>12350</v>
      </c>
      <c r="S7" s="53">
        <f>VLOOKUP($C$7,Servant!$B$5:$AD$29,15,FALSE)+($F7+($F7*0.5*($D7-1)))*(S$3-1)</f>
        <v>13371.5</v>
      </c>
      <c r="T7" s="53">
        <f>VLOOKUP($C$7,Servant!$B$5:$AD$29,15,FALSE)+($F7+($F7*0.5*($D7-1)))*(T$3-1)</f>
        <v>14393</v>
      </c>
      <c r="U7" s="53">
        <f>VLOOKUP($C$7,Servant!$B$5:$AD$29,15,FALSE)+($F7+($F7*0.5*($D7-1)))*(U$3-1)</f>
        <v>15414.5</v>
      </c>
      <c r="V7" s="53">
        <f>VLOOKUP($C$7,Servant!$B$5:$AD$29,15,FALSE)+($F7+($F7*0.5*($D7-1)))*(V$3-1)</f>
        <v>16436</v>
      </c>
      <c r="W7" s="53">
        <f>VLOOKUP($C$7,Servant!$B$5:$AD$29,15,FALSE)+($F7+($F7*0.5*($D7-1)))*(W$3-1)</f>
        <v>17457.5</v>
      </c>
      <c r="X7" s="53">
        <f>VLOOKUP($C$7,Servant!$B$5:$AD$29,15,FALSE)+($F7+($F7*0.5*($D7-1)))*(X$3-1)</f>
        <v>18479</v>
      </c>
      <c r="Y7" s="53">
        <f>VLOOKUP($C$7,Servant!$B$5:$AD$29,15,FALSE)+($F7+($F7*0.5*($D7-1)))*(Y$3-1)</f>
        <v>19500.5</v>
      </c>
      <c r="Z7" s="53">
        <f>VLOOKUP($C$7,Servant!$B$5:$AD$29,15,FALSE)+($F7+($F7*0.5*($D7-1)))*(Z$3-1)</f>
        <v>20522</v>
      </c>
      <c r="AA7" s="53">
        <f>VLOOKUP($C$7,Servant!$B$5:$AD$29,15,FALSE)+($F7+($F7*0.5*($D7-1)))*(AA$3-1)</f>
        <v>21543.5</v>
      </c>
      <c r="AB7" s="53">
        <f>VLOOKUP($C$7,Servant!$B$5:$AD$29,15,FALSE)+($F7+($F7*0.5*($D7-1)))*(AB$3-1)</f>
        <v>22565</v>
      </c>
      <c r="AC7" s="53">
        <f>VLOOKUP($C$7,Servant!$B$5:$AD$29,15,FALSE)+($F7+($F7*0.5*($D7-1)))*(AC$3-1)</f>
        <v>23586.5</v>
      </c>
      <c r="AD7" s="53">
        <f>VLOOKUP($C$7,Servant!$B$5:$AD$29,15,FALSE)+($F7+($F7*0.5*($D7-1)))*(AD$3-1)</f>
        <v>24608</v>
      </c>
      <c r="AE7" s="53">
        <f>VLOOKUP($C$7,Servant!$B$5:$AD$29,15,FALSE)+($F7+($F7*0.5*($D7-1)))*(AE$3-1)</f>
        <v>25629.5</v>
      </c>
      <c r="AF7" s="53">
        <f>VLOOKUP($C$7,Servant!$B$5:$AD$29,15,FALSE)+($F7+($F7*0.5*($D7-1)))*(AF$3-1)</f>
        <v>26651</v>
      </c>
      <c r="AG7" s="53">
        <f>VLOOKUP($C$7,Servant!$B$5:$AD$29,15,FALSE)+($F7+($F7*0.5*($D7-1)))*(AG$3-1)</f>
        <v>27672.5</v>
      </c>
      <c r="AH7" s="53">
        <f>VLOOKUP($C$7,Servant!$B$5:$AD$29,15,FALSE)+($F7+($F7*0.5*($D7-1)))*(AH$3-1)</f>
        <v>28694</v>
      </c>
      <c r="AI7" s="53">
        <f>VLOOKUP($C$7,Servant!$B$5:$AD$29,15,FALSE)+($F7+($F7*0.5*($D7-1)))*(AI$3-1)</f>
        <v>29715.5</v>
      </c>
      <c r="AJ7" s="53">
        <f>VLOOKUP($C$7,Servant!$B$5:$AD$29,15,FALSE)+($F7+($F7*0.5*($D7-1)))*(AJ$3-1)</f>
        <v>30737</v>
      </c>
      <c r="AK7" s="53">
        <f>VLOOKUP($C$7,Servant!$B$5:$AD$29,15,FALSE)+($F7+($F7*0.5*($D7-1)))*(AK$3-1)</f>
        <v>31758.5</v>
      </c>
    </row>
    <row r="8" spans="2:37" x14ac:dyDescent="0.3">
      <c r="B8" s="280"/>
      <c r="C8" s="296"/>
      <c r="D8" s="52">
        <v>3</v>
      </c>
      <c r="E8" s="109">
        <f>VLOOKUP($C$7,ServantLevelUPdStatus!$B$5:$AD$29,3,FALSE)+(VLOOKUP($C$7,ServantLevelUPdStatus!$B$5:$AD$29,3,FALSE)*0.5*(Simulator_ALL!$D8-1))</f>
        <v>1362</v>
      </c>
      <c r="F8" s="52">
        <f>F7</f>
        <v>681</v>
      </c>
      <c r="H8" s="53">
        <f>VLOOKUP($C$7,Servant!$B$5:$AD$29,15,FALSE)+($F8+($F8*0.5*($D8-1)))*(H$3-1)</f>
        <v>2135</v>
      </c>
      <c r="I8" s="53">
        <f>VLOOKUP($C$7,Servant!$B$5:$AD$29,15,FALSE)+($F8+($F8*0.5*($D8-1)))*(I$3-1)</f>
        <v>3497</v>
      </c>
      <c r="J8" s="53">
        <f>VLOOKUP($C$7,Servant!$B$5:$AD$29,15,FALSE)+($F8+($F8*0.5*($D8-1)))*(J$3-1)</f>
        <v>4859</v>
      </c>
      <c r="K8" s="53">
        <f>VLOOKUP($C$7,Servant!$B$5:$AD$29,15,FALSE)+($F8+($F8*0.5*($D8-1)))*(K$3-1)</f>
        <v>6221</v>
      </c>
      <c r="L8" s="53">
        <f>VLOOKUP($C$7,Servant!$B$5:$AD$29,15,FALSE)+($F8+($F8*0.5*($D8-1)))*(L$3-1)</f>
        <v>7583</v>
      </c>
      <c r="M8" s="53">
        <f>VLOOKUP($C$7,Servant!$B$5:$AD$29,15,FALSE)+($F8+($F8*0.5*($D8-1)))*(M$3-1)</f>
        <v>8945</v>
      </c>
      <c r="N8" s="53">
        <f>VLOOKUP($C$7,Servant!$B$5:$AD$29,15,FALSE)+($F8+($F8*0.5*($D8-1)))*(N$3-1)</f>
        <v>10307</v>
      </c>
      <c r="O8" s="53">
        <f>VLOOKUP($C$7,Servant!$B$5:$AD$29,15,FALSE)+($F8+($F8*0.5*($D8-1)))*(O$3-1)</f>
        <v>11669</v>
      </c>
      <c r="P8" s="53">
        <f>VLOOKUP($C$7,Servant!$B$5:$AD$29,15,FALSE)+($F8+($F8*0.5*($D8-1)))*(P$3-1)</f>
        <v>13031</v>
      </c>
      <c r="Q8" s="53">
        <f>VLOOKUP($C$7,Servant!$B$5:$AD$29,15,FALSE)+($F8+($F8*0.5*($D8-1)))*(Q$3-1)</f>
        <v>14393</v>
      </c>
      <c r="R8" s="53">
        <f>VLOOKUP($C$7,Servant!$B$5:$AD$29,15,FALSE)+($F8+($F8*0.5*($D8-1)))*(R$3-1)</f>
        <v>15755</v>
      </c>
      <c r="S8" s="53">
        <f>VLOOKUP($C$7,Servant!$B$5:$AD$29,15,FALSE)+($F8+($F8*0.5*($D8-1)))*(S$3-1)</f>
        <v>17117</v>
      </c>
      <c r="T8" s="53">
        <f>VLOOKUP($C$7,Servant!$B$5:$AD$29,15,FALSE)+($F8+($F8*0.5*($D8-1)))*(T$3-1)</f>
        <v>18479</v>
      </c>
      <c r="U8" s="53">
        <f>VLOOKUP($C$7,Servant!$B$5:$AD$29,15,FALSE)+($F8+($F8*0.5*($D8-1)))*(U$3-1)</f>
        <v>19841</v>
      </c>
      <c r="V8" s="53">
        <f>VLOOKUP($C$7,Servant!$B$5:$AD$29,15,FALSE)+($F8+($F8*0.5*($D8-1)))*(V$3-1)</f>
        <v>21203</v>
      </c>
      <c r="W8" s="53">
        <f>VLOOKUP($C$7,Servant!$B$5:$AD$29,15,FALSE)+($F8+($F8*0.5*($D8-1)))*(W$3-1)</f>
        <v>22565</v>
      </c>
      <c r="X8" s="53">
        <f>VLOOKUP($C$7,Servant!$B$5:$AD$29,15,FALSE)+($F8+($F8*0.5*($D8-1)))*(X$3-1)</f>
        <v>23927</v>
      </c>
      <c r="Y8" s="53">
        <f>VLOOKUP($C$7,Servant!$B$5:$AD$29,15,FALSE)+($F8+($F8*0.5*($D8-1)))*(Y$3-1)</f>
        <v>25289</v>
      </c>
      <c r="Z8" s="53">
        <f>VLOOKUP($C$7,Servant!$B$5:$AD$29,15,FALSE)+($F8+($F8*0.5*($D8-1)))*(Z$3-1)</f>
        <v>26651</v>
      </c>
      <c r="AA8" s="53">
        <f>VLOOKUP($C$7,Servant!$B$5:$AD$29,15,FALSE)+($F8+($F8*0.5*($D8-1)))*(AA$3-1)</f>
        <v>28013</v>
      </c>
      <c r="AB8" s="53">
        <f>VLOOKUP($C$7,Servant!$B$5:$AD$29,15,FALSE)+($F8+($F8*0.5*($D8-1)))*(AB$3-1)</f>
        <v>29375</v>
      </c>
      <c r="AC8" s="53">
        <f>VLOOKUP($C$7,Servant!$B$5:$AD$29,15,FALSE)+($F8+($F8*0.5*($D8-1)))*(AC$3-1)</f>
        <v>30737</v>
      </c>
      <c r="AD8" s="53">
        <f>VLOOKUP($C$7,Servant!$B$5:$AD$29,15,FALSE)+($F8+($F8*0.5*($D8-1)))*(AD$3-1)</f>
        <v>32099</v>
      </c>
      <c r="AE8" s="53">
        <f>VLOOKUP($C$7,Servant!$B$5:$AD$29,15,FALSE)+($F8+($F8*0.5*($D8-1)))*(AE$3-1)</f>
        <v>33461</v>
      </c>
      <c r="AF8" s="53">
        <f>VLOOKUP($C$7,Servant!$B$5:$AD$29,15,FALSE)+($F8+($F8*0.5*($D8-1)))*(AF$3-1)</f>
        <v>34823</v>
      </c>
      <c r="AG8" s="53">
        <f>VLOOKUP($C$7,Servant!$B$5:$AD$29,15,FALSE)+($F8+($F8*0.5*($D8-1)))*(AG$3-1)</f>
        <v>36185</v>
      </c>
      <c r="AH8" s="53">
        <f>VLOOKUP($C$7,Servant!$B$5:$AD$29,15,FALSE)+($F8+($F8*0.5*($D8-1)))*(AH$3-1)</f>
        <v>37547</v>
      </c>
      <c r="AI8" s="53">
        <f>VLOOKUP($C$7,Servant!$B$5:$AD$29,15,FALSE)+($F8+($F8*0.5*($D8-1)))*(AI$3-1)</f>
        <v>38909</v>
      </c>
      <c r="AJ8" s="53">
        <f>VLOOKUP($C$7,Servant!$B$5:$AD$29,15,FALSE)+($F8+($F8*0.5*($D8-1)))*(AJ$3-1)</f>
        <v>40271</v>
      </c>
      <c r="AK8" s="53">
        <f>VLOOKUP($C$7,Servant!$B$5:$AD$29,15,FALSE)+($F8+($F8*0.5*($D8-1)))*(AK$3-1)</f>
        <v>41633</v>
      </c>
    </row>
    <row r="9" spans="2:37" x14ac:dyDescent="0.3">
      <c r="B9" s="280"/>
      <c r="C9" s="296"/>
      <c r="D9" s="52">
        <v>4</v>
      </c>
      <c r="E9" s="109">
        <f>VLOOKUP($C$7,ServantLevelUPdStatus!$B$5:$AD$29,3,FALSE)+(VLOOKUP($C$7,ServantLevelUPdStatus!$B$5:$AD$29,3,FALSE)*0.5*(Simulator_ALL!$D9-1))</f>
        <v>1702.5</v>
      </c>
      <c r="F9" s="52">
        <f>F8</f>
        <v>681</v>
      </c>
      <c r="H9" s="53">
        <f>VLOOKUP($C$7,Servant!$B$5:$AD$29,15,FALSE)+($F9+($F9*0.5*($D9-1)))*(H$3-1)</f>
        <v>2135</v>
      </c>
      <c r="I9" s="53">
        <f>VLOOKUP($C$7,Servant!$B$5:$AD$29,15,FALSE)+($F9+($F9*0.5*($D9-1)))*(I$3-1)</f>
        <v>3837.5</v>
      </c>
      <c r="J9" s="53">
        <f>VLOOKUP($C$7,Servant!$B$5:$AD$29,15,FALSE)+($F9+($F9*0.5*($D9-1)))*(J$3-1)</f>
        <v>5540</v>
      </c>
      <c r="K9" s="53">
        <f>VLOOKUP($C$7,Servant!$B$5:$AD$29,15,FALSE)+($F9+($F9*0.5*($D9-1)))*(K$3-1)</f>
        <v>7242.5</v>
      </c>
      <c r="L9" s="53">
        <f>VLOOKUP($C$7,Servant!$B$5:$AD$29,15,FALSE)+($F9+($F9*0.5*($D9-1)))*(L$3-1)</f>
        <v>8945</v>
      </c>
      <c r="M9" s="53">
        <f>VLOOKUP($C$7,Servant!$B$5:$AD$29,15,FALSE)+($F9+($F9*0.5*($D9-1)))*(M$3-1)</f>
        <v>10647.5</v>
      </c>
      <c r="N9" s="53">
        <f>VLOOKUP($C$7,Servant!$B$5:$AD$29,15,FALSE)+($F9+($F9*0.5*($D9-1)))*(N$3-1)</f>
        <v>12350</v>
      </c>
      <c r="O9" s="53">
        <f>VLOOKUP($C$7,Servant!$B$5:$AD$29,15,FALSE)+($F9+($F9*0.5*($D9-1)))*(O$3-1)</f>
        <v>14052.5</v>
      </c>
      <c r="P9" s="53">
        <f>VLOOKUP($C$7,Servant!$B$5:$AD$29,15,FALSE)+($F9+($F9*0.5*($D9-1)))*(P$3-1)</f>
        <v>15755</v>
      </c>
      <c r="Q9" s="53">
        <f>VLOOKUP($C$7,Servant!$B$5:$AD$29,15,FALSE)+($F9+($F9*0.5*($D9-1)))*(Q$3-1)</f>
        <v>17457.5</v>
      </c>
      <c r="R9" s="53">
        <f>VLOOKUP($C$7,Servant!$B$5:$AD$29,15,FALSE)+($F9+($F9*0.5*($D9-1)))*(R$3-1)</f>
        <v>19160</v>
      </c>
      <c r="S9" s="53">
        <f>VLOOKUP($C$7,Servant!$B$5:$AD$29,15,FALSE)+($F9+($F9*0.5*($D9-1)))*(S$3-1)</f>
        <v>20862.5</v>
      </c>
      <c r="T9" s="53">
        <f>VLOOKUP($C$7,Servant!$B$5:$AD$29,15,FALSE)+($F9+($F9*0.5*($D9-1)))*(T$3-1)</f>
        <v>22565</v>
      </c>
      <c r="U9" s="53">
        <f>VLOOKUP($C$7,Servant!$B$5:$AD$29,15,FALSE)+($F9+($F9*0.5*($D9-1)))*(U$3-1)</f>
        <v>24267.5</v>
      </c>
      <c r="V9" s="53">
        <f>VLOOKUP($C$7,Servant!$B$5:$AD$29,15,FALSE)+($F9+($F9*0.5*($D9-1)))*(V$3-1)</f>
        <v>25970</v>
      </c>
      <c r="W9" s="53">
        <f>VLOOKUP($C$7,Servant!$B$5:$AD$29,15,FALSE)+($F9+($F9*0.5*($D9-1)))*(W$3-1)</f>
        <v>27672.5</v>
      </c>
      <c r="X9" s="53">
        <f>VLOOKUP($C$7,Servant!$B$5:$AD$29,15,FALSE)+($F9+($F9*0.5*($D9-1)))*(X$3-1)</f>
        <v>29375</v>
      </c>
      <c r="Y9" s="53">
        <f>VLOOKUP($C$7,Servant!$B$5:$AD$29,15,FALSE)+($F9+($F9*0.5*($D9-1)))*(Y$3-1)</f>
        <v>31077.5</v>
      </c>
      <c r="Z9" s="53">
        <f>VLOOKUP($C$7,Servant!$B$5:$AD$29,15,FALSE)+($F9+($F9*0.5*($D9-1)))*(Z$3-1)</f>
        <v>32780</v>
      </c>
      <c r="AA9" s="53">
        <f>VLOOKUP($C$7,Servant!$B$5:$AD$29,15,FALSE)+($F9+($F9*0.5*($D9-1)))*(AA$3-1)</f>
        <v>34482.5</v>
      </c>
      <c r="AB9" s="53">
        <f>VLOOKUP($C$7,Servant!$B$5:$AD$29,15,FALSE)+($F9+($F9*0.5*($D9-1)))*(AB$3-1)</f>
        <v>36185</v>
      </c>
      <c r="AC9" s="53">
        <f>VLOOKUP($C$7,Servant!$B$5:$AD$29,15,FALSE)+($F9+($F9*0.5*($D9-1)))*(AC$3-1)</f>
        <v>37887.5</v>
      </c>
      <c r="AD9" s="53">
        <f>VLOOKUP($C$7,Servant!$B$5:$AD$29,15,FALSE)+($F9+($F9*0.5*($D9-1)))*(AD$3-1)</f>
        <v>39590</v>
      </c>
      <c r="AE9" s="53">
        <f>VLOOKUP($C$7,Servant!$B$5:$AD$29,15,FALSE)+($F9+($F9*0.5*($D9-1)))*(AE$3-1)</f>
        <v>41292.5</v>
      </c>
      <c r="AF9" s="53">
        <f>VLOOKUP($C$7,Servant!$B$5:$AD$29,15,FALSE)+($F9+($F9*0.5*($D9-1)))*(AF$3-1)</f>
        <v>42995</v>
      </c>
      <c r="AG9" s="53">
        <f>VLOOKUP($C$7,Servant!$B$5:$AD$29,15,FALSE)+($F9+($F9*0.5*($D9-1)))*(AG$3-1)</f>
        <v>44697.5</v>
      </c>
      <c r="AH9" s="53">
        <f>VLOOKUP($C$7,Servant!$B$5:$AD$29,15,FALSE)+($F9+($F9*0.5*($D9-1)))*(AH$3-1)</f>
        <v>46400</v>
      </c>
      <c r="AI9" s="53">
        <f>VLOOKUP($C$7,Servant!$B$5:$AD$29,15,FALSE)+($F9+($F9*0.5*($D9-1)))*(AI$3-1)</f>
        <v>48102.5</v>
      </c>
      <c r="AJ9" s="53">
        <f>VLOOKUP($C$7,Servant!$B$5:$AD$29,15,FALSE)+($F9+($F9*0.5*($D9-1)))*(AJ$3-1)</f>
        <v>49805</v>
      </c>
      <c r="AK9" s="53">
        <f>VLOOKUP($C$7,Servant!$B$5:$AD$29,15,FALSE)+($F9+($F9*0.5*($D9-1)))*(AK$3-1)</f>
        <v>51507.5</v>
      </c>
    </row>
    <row r="10" spans="2:37" x14ac:dyDescent="0.3">
      <c r="B10" s="280"/>
      <c r="C10" s="297" t="s">
        <v>238</v>
      </c>
      <c r="D10" s="106">
        <v>3</v>
      </c>
      <c r="E10" s="110">
        <f>VLOOKUP($C$10,ServantLevelUPdStatus!$B$5:$AD$29,3,FALSE)+(VLOOKUP($C$10,ServantLevelUPdStatus!$B$5:$AD$29,3,FALSE)*0.5*(Simulator_ALL!$D10-1))</f>
        <v>1634</v>
      </c>
      <c r="F10" s="110">
        <f>VLOOKUP($C$10,ServantLevelUPdStatus!$B$5:$AD$29,3,FALSE)</f>
        <v>817</v>
      </c>
      <c r="H10" s="57">
        <f>VLOOKUP($C$10,Servant!$B$5:$AD$29,15,FALSE)+($F10+($F10*0.5*($D10-1)))*(H$3-1)</f>
        <v>4270</v>
      </c>
      <c r="I10" s="57">
        <f>VLOOKUP($C$10,Servant!$B$5:$AD$29,15,FALSE)+($F10+($F10*0.5*($D10-1)))*(I$3-1)</f>
        <v>5904</v>
      </c>
      <c r="J10" s="57">
        <f>VLOOKUP($C$10,Servant!$B$5:$AD$29,15,FALSE)+($F10+($F10*0.5*($D10-1)))*(J$3-1)</f>
        <v>7538</v>
      </c>
      <c r="K10" s="57">
        <f>VLOOKUP($C$10,Servant!$B$5:$AD$29,15,FALSE)+($F10+($F10*0.5*($D10-1)))*(K$3-1)</f>
        <v>9172</v>
      </c>
      <c r="L10" s="57">
        <f>VLOOKUP($C$10,Servant!$B$5:$AD$29,15,FALSE)+($F10+($F10*0.5*($D10-1)))*(L$3-1)</f>
        <v>10806</v>
      </c>
      <c r="M10" s="57">
        <f>VLOOKUP($C$10,Servant!$B$5:$AD$29,15,FALSE)+($F10+($F10*0.5*($D10-1)))*(M$3-1)</f>
        <v>12440</v>
      </c>
      <c r="N10" s="57">
        <f>VLOOKUP($C$10,Servant!$B$5:$AD$29,15,FALSE)+($F10+($F10*0.5*($D10-1)))*(N$3-1)</f>
        <v>14074</v>
      </c>
      <c r="O10" s="57">
        <f>VLOOKUP($C$10,Servant!$B$5:$AD$29,15,FALSE)+($F10+($F10*0.5*($D10-1)))*(O$3-1)</f>
        <v>15708</v>
      </c>
      <c r="P10" s="57">
        <f>VLOOKUP($C$10,Servant!$B$5:$AD$29,15,FALSE)+($F10+($F10*0.5*($D10-1)))*(P$3-1)</f>
        <v>17342</v>
      </c>
      <c r="Q10" s="57">
        <f>VLOOKUP($C$10,Servant!$B$5:$AD$29,15,FALSE)+($F10+($F10*0.5*($D10-1)))*(Q$3-1)</f>
        <v>18976</v>
      </c>
      <c r="R10" s="57">
        <f>VLOOKUP($C$10,Servant!$B$5:$AD$29,15,FALSE)+($F10+($F10*0.5*($D10-1)))*(R$3-1)</f>
        <v>20610</v>
      </c>
      <c r="S10" s="57">
        <f>VLOOKUP($C$10,Servant!$B$5:$AD$29,15,FALSE)+($F10+($F10*0.5*($D10-1)))*(S$3-1)</f>
        <v>22244</v>
      </c>
      <c r="T10" s="57">
        <f>VLOOKUP($C$10,Servant!$B$5:$AD$29,15,FALSE)+($F10+($F10*0.5*($D10-1)))*(T$3-1)</f>
        <v>23878</v>
      </c>
      <c r="U10" s="57">
        <f>VLOOKUP($C$10,Servant!$B$5:$AD$29,15,FALSE)+($F10+($F10*0.5*($D10-1)))*(U$3-1)</f>
        <v>25512</v>
      </c>
      <c r="V10" s="57">
        <f>VLOOKUP($C$10,Servant!$B$5:$AD$29,15,FALSE)+($F10+($F10*0.5*($D10-1)))*(V$3-1)</f>
        <v>27146</v>
      </c>
      <c r="W10" s="57">
        <f>VLOOKUP($C$10,Servant!$B$5:$AD$29,15,FALSE)+($F10+($F10*0.5*($D10-1)))*(W$3-1)</f>
        <v>28780</v>
      </c>
      <c r="X10" s="57">
        <f>VLOOKUP($C$10,Servant!$B$5:$AD$29,15,FALSE)+($F10+($F10*0.5*($D10-1)))*(X$3-1)</f>
        <v>30414</v>
      </c>
      <c r="Y10" s="57">
        <f>VLOOKUP($C$10,Servant!$B$5:$AD$29,15,FALSE)+($F10+($F10*0.5*($D10-1)))*(Y$3-1)</f>
        <v>32048</v>
      </c>
      <c r="Z10" s="57">
        <f>VLOOKUP($C$10,Servant!$B$5:$AD$29,15,FALSE)+($F10+($F10*0.5*($D10-1)))*(Z$3-1)</f>
        <v>33682</v>
      </c>
      <c r="AA10" s="57">
        <f>VLOOKUP($C$10,Servant!$B$5:$AD$29,15,FALSE)+($F10+($F10*0.5*($D10-1)))*(AA$3-1)</f>
        <v>35316</v>
      </c>
      <c r="AB10" s="57">
        <f>VLOOKUP($C$10,Servant!$B$5:$AD$29,15,FALSE)+($F10+($F10*0.5*($D10-1)))*(AB$3-1)</f>
        <v>36950</v>
      </c>
      <c r="AC10" s="57">
        <f>VLOOKUP($C$10,Servant!$B$5:$AD$29,15,FALSE)+($F10+($F10*0.5*($D10-1)))*(AC$3-1)</f>
        <v>38584</v>
      </c>
      <c r="AD10" s="57">
        <f>VLOOKUP($C$10,Servant!$B$5:$AD$29,15,FALSE)+($F10+($F10*0.5*($D10-1)))*(AD$3-1)</f>
        <v>40218</v>
      </c>
      <c r="AE10" s="57">
        <f>VLOOKUP($C$10,Servant!$B$5:$AD$29,15,FALSE)+($F10+($F10*0.5*($D10-1)))*(AE$3-1)</f>
        <v>41852</v>
      </c>
      <c r="AF10" s="57">
        <f>VLOOKUP($C$10,Servant!$B$5:$AD$29,15,FALSE)+($F10+($F10*0.5*($D10-1)))*(AF$3-1)</f>
        <v>43486</v>
      </c>
      <c r="AG10" s="57">
        <f>VLOOKUP($C$10,Servant!$B$5:$AD$29,15,FALSE)+($F10+($F10*0.5*($D10-1)))*(AG$3-1)</f>
        <v>45120</v>
      </c>
      <c r="AH10" s="57">
        <f>VLOOKUP($C$10,Servant!$B$5:$AD$29,15,FALSE)+($F10+($F10*0.5*($D10-1)))*(AH$3-1)</f>
        <v>46754</v>
      </c>
      <c r="AI10" s="57">
        <f>VLOOKUP($C$10,Servant!$B$5:$AD$29,15,FALSE)+($F10+($F10*0.5*($D10-1)))*(AI$3-1)</f>
        <v>48388</v>
      </c>
      <c r="AJ10" s="57">
        <f>VLOOKUP($C$10,Servant!$B$5:$AD$29,15,FALSE)+($F10+($F10*0.5*($D10-1)))*(AJ$3-1)</f>
        <v>50022</v>
      </c>
      <c r="AK10" s="57">
        <f>VLOOKUP($C$10,Servant!$B$5:$AD$29,15,FALSE)+($F10+($F10*0.5*($D10-1)))*(AK$3-1)</f>
        <v>51656</v>
      </c>
    </row>
    <row r="11" spans="2:37" x14ac:dyDescent="0.3">
      <c r="B11" s="280"/>
      <c r="C11" s="297"/>
      <c r="D11" s="106">
        <v>4</v>
      </c>
      <c r="E11" s="110">
        <f>VLOOKUP($C$10,ServantLevelUPdStatus!$B$5:$AD$29,3,FALSE)+(VLOOKUP($C$10,ServantLevelUPdStatus!$B$5:$AD$29,3,FALSE)*0.5*(Simulator_ALL!$D11-1))</f>
        <v>2042.5</v>
      </c>
      <c r="F11" s="106">
        <f>F10</f>
        <v>817</v>
      </c>
      <c r="H11" s="57">
        <f>VLOOKUP($C$10,Servant!$B$5:$AD$29,15,FALSE)+($F11+($F11*0.5*($D11-1)))*(H$3-1)</f>
        <v>4270</v>
      </c>
      <c r="I11" s="57">
        <f>VLOOKUP($C$10,Servant!$B$5:$AD$29,15,FALSE)+($F11+($F11*0.5*($D11-1)))*(I$3-1)</f>
        <v>6312.5</v>
      </c>
      <c r="J11" s="57">
        <f>VLOOKUP($C$10,Servant!$B$5:$AD$29,15,FALSE)+($F11+($F11*0.5*($D11-1)))*(J$3-1)</f>
        <v>8355</v>
      </c>
      <c r="K11" s="57">
        <f>VLOOKUP($C$10,Servant!$B$5:$AD$29,15,FALSE)+($F11+($F11*0.5*($D11-1)))*(K$3-1)</f>
        <v>10397.5</v>
      </c>
      <c r="L11" s="57">
        <f>VLOOKUP($C$10,Servant!$B$5:$AD$29,15,FALSE)+($F11+($F11*0.5*($D11-1)))*(L$3-1)</f>
        <v>12440</v>
      </c>
      <c r="M11" s="57">
        <f>VLOOKUP($C$10,Servant!$B$5:$AD$29,15,FALSE)+($F11+($F11*0.5*($D11-1)))*(M$3-1)</f>
        <v>14482.5</v>
      </c>
      <c r="N11" s="57">
        <f>VLOOKUP($C$10,Servant!$B$5:$AD$29,15,FALSE)+($F11+($F11*0.5*($D11-1)))*(N$3-1)</f>
        <v>16525</v>
      </c>
      <c r="O11" s="57">
        <f>VLOOKUP($C$10,Servant!$B$5:$AD$29,15,FALSE)+($F11+($F11*0.5*($D11-1)))*(O$3-1)</f>
        <v>18567.5</v>
      </c>
      <c r="P11" s="57">
        <f>VLOOKUP($C$10,Servant!$B$5:$AD$29,15,FALSE)+($F11+($F11*0.5*($D11-1)))*(P$3-1)</f>
        <v>20610</v>
      </c>
      <c r="Q11" s="57">
        <f>VLOOKUP($C$10,Servant!$B$5:$AD$29,15,FALSE)+($F11+($F11*0.5*($D11-1)))*(Q$3-1)</f>
        <v>22652.5</v>
      </c>
      <c r="R11" s="57">
        <f>VLOOKUP($C$10,Servant!$B$5:$AD$29,15,FALSE)+($F11+($F11*0.5*($D11-1)))*(R$3-1)</f>
        <v>24695</v>
      </c>
      <c r="S11" s="57">
        <f>VLOOKUP($C$10,Servant!$B$5:$AD$29,15,FALSE)+($F11+($F11*0.5*($D11-1)))*(S$3-1)</f>
        <v>26737.5</v>
      </c>
      <c r="T11" s="57">
        <f>VLOOKUP($C$10,Servant!$B$5:$AD$29,15,FALSE)+($F11+($F11*0.5*($D11-1)))*(T$3-1)</f>
        <v>28780</v>
      </c>
      <c r="U11" s="57">
        <f>VLOOKUP($C$10,Servant!$B$5:$AD$29,15,FALSE)+($F11+($F11*0.5*($D11-1)))*(U$3-1)</f>
        <v>30822.5</v>
      </c>
      <c r="V11" s="57">
        <f>VLOOKUP($C$10,Servant!$B$5:$AD$29,15,FALSE)+($F11+($F11*0.5*($D11-1)))*(V$3-1)</f>
        <v>32865</v>
      </c>
      <c r="W11" s="57">
        <f>VLOOKUP($C$10,Servant!$B$5:$AD$29,15,FALSE)+($F11+($F11*0.5*($D11-1)))*(W$3-1)</f>
        <v>34907.5</v>
      </c>
      <c r="X11" s="57">
        <f>VLOOKUP($C$10,Servant!$B$5:$AD$29,15,FALSE)+($F11+($F11*0.5*($D11-1)))*(X$3-1)</f>
        <v>36950</v>
      </c>
      <c r="Y11" s="57">
        <f>VLOOKUP($C$10,Servant!$B$5:$AD$29,15,FALSE)+($F11+($F11*0.5*($D11-1)))*(Y$3-1)</f>
        <v>38992.5</v>
      </c>
      <c r="Z11" s="57">
        <f>VLOOKUP($C$10,Servant!$B$5:$AD$29,15,FALSE)+($F11+($F11*0.5*($D11-1)))*(Z$3-1)</f>
        <v>41035</v>
      </c>
      <c r="AA11" s="57">
        <f>VLOOKUP($C$10,Servant!$B$5:$AD$29,15,FALSE)+($F11+($F11*0.5*($D11-1)))*(AA$3-1)</f>
        <v>43077.5</v>
      </c>
      <c r="AB11" s="57">
        <f>VLOOKUP($C$10,Servant!$B$5:$AD$29,15,FALSE)+($F11+($F11*0.5*($D11-1)))*(AB$3-1)</f>
        <v>45120</v>
      </c>
      <c r="AC11" s="57">
        <f>VLOOKUP($C$10,Servant!$B$5:$AD$29,15,FALSE)+($F11+($F11*0.5*($D11-1)))*(AC$3-1)</f>
        <v>47162.5</v>
      </c>
      <c r="AD11" s="57">
        <f>VLOOKUP($C$10,Servant!$B$5:$AD$29,15,FALSE)+($F11+($F11*0.5*($D11-1)))*(AD$3-1)</f>
        <v>49205</v>
      </c>
      <c r="AE11" s="57">
        <f>VLOOKUP($C$10,Servant!$B$5:$AD$29,15,FALSE)+($F11+($F11*0.5*($D11-1)))*(AE$3-1)</f>
        <v>51247.5</v>
      </c>
      <c r="AF11" s="57">
        <f>VLOOKUP($C$10,Servant!$B$5:$AD$29,15,FALSE)+($F11+($F11*0.5*($D11-1)))*(AF$3-1)</f>
        <v>53290</v>
      </c>
      <c r="AG11" s="57">
        <f>VLOOKUP($C$10,Servant!$B$5:$AD$29,15,FALSE)+($F11+($F11*0.5*($D11-1)))*(AG$3-1)</f>
        <v>55332.5</v>
      </c>
      <c r="AH11" s="57">
        <f>VLOOKUP($C$10,Servant!$B$5:$AD$29,15,FALSE)+($F11+($F11*0.5*($D11-1)))*(AH$3-1)</f>
        <v>57375</v>
      </c>
      <c r="AI11" s="57">
        <f>VLOOKUP($C$10,Servant!$B$5:$AD$29,15,FALSE)+($F11+($F11*0.5*($D11-1)))*(AI$3-1)</f>
        <v>59417.5</v>
      </c>
      <c r="AJ11" s="57">
        <f>VLOOKUP($C$10,Servant!$B$5:$AD$29,15,FALSE)+($F11+($F11*0.5*($D11-1)))*(AJ$3-1)</f>
        <v>61460</v>
      </c>
      <c r="AK11" s="57">
        <f>VLOOKUP($C$10,Servant!$B$5:$AD$29,15,FALSE)+($F11+($F11*0.5*($D11-1)))*(AK$3-1)</f>
        <v>63502.5</v>
      </c>
    </row>
    <row r="12" spans="2:37" x14ac:dyDescent="0.3">
      <c r="B12" s="280"/>
      <c r="C12" s="297"/>
      <c r="D12" s="106">
        <v>5</v>
      </c>
      <c r="E12" s="110">
        <f>VLOOKUP($C$10,ServantLevelUPdStatus!$B$5:$AD$29,3,FALSE)+(VLOOKUP($C$10,ServantLevelUPdStatus!$B$5:$AD$29,3,FALSE)*0.5*(Simulator_ALL!$D12-1))</f>
        <v>2451</v>
      </c>
      <c r="F12" s="106">
        <f>F11</f>
        <v>817</v>
      </c>
      <c r="H12" s="57">
        <f>VLOOKUP($C$10,Servant!$B$5:$AD$29,15,FALSE)+($F12+($F12*0.5*($D12-1)))*(H$3-1)</f>
        <v>4270</v>
      </c>
      <c r="I12" s="57">
        <f>VLOOKUP($C$10,Servant!$B$5:$AD$29,15,FALSE)+($F12+($F12*0.5*($D12-1)))*(I$3-1)</f>
        <v>6721</v>
      </c>
      <c r="J12" s="57">
        <f>VLOOKUP($C$10,Servant!$B$5:$AD$29,15,FALSE)+($F12+($F12*0.5*($D12-1)))*(J$3-1)</f>
        <v>9172</v>
      </c>
      <c r="K12" s="57">
        <f>VLOOKUP($C$10,Servant!$B$5:$AD$29,15,FALSE)+($F12+($F12*0.5*($D12-1)))*(K$3-1)</f>
        <v>11623</v>
      </c>
      <c r="L12" s="57">
        <f>VLOOKUP($C$10,Servant!$B$5:$AD$29,15,FALSE)+($F12+($F12*0.5*($D12-1)))*(L$3-1)</f>
        <v>14074</v>
      </c>
      <c r="M12" s="57">
        <f>VLOOKUP($C$10,Servant!$B$5:$AD$29,15,FALSE)+($F12+($F12*0.5*($D12-1)))*(M$3-1)</f>
        <v>16525</v>
      </c>
      <c r="N12" s="57">
        <f>VLOOKUP($C$10,Servant!$B$5:$AD$29,15,FALSE)+($F12+($F12*0.5*($D12-1)))*(N$3-1)</f>
        <v>18976</v>
      </c>
      <c r="O12" s="57">
        <f>VLOOKUP($C$10,Servant!$B$5:$AD$29,15,FALSE)+($F12+($F12*0.5*($D12-1)))*(O$3-1)</f>
        <v>21427</v>
      </c>
      <c r="P12" s="57">
        <f>VLOOKUP($C$10,Servant!$B$5:$AD$29,15,FALSE)+($F12+($F12*0.5*($D12-1)))*(P$3-1)</f>
        <v>23878</v>
      </c>
      <c r="Q12" s="57">
        <f>VLOOKUP($C$10,Servant!$B$5:$AD$29,15,FALSE)+($F12+($F12*0.5*($D12-1)))*(Q$3-1)</f>
        <v>26329</v>
      </c>
      <c r="R12" s="57">
        <f>VLOOKUP($C$10,Servant!$B$5:$AD$29,15,FALSE)+($F12+($F12*0.5*($D12-1)))*(R$3-1)</f>
        <v>28780</v>
      </c>
      <c r="S12" s="57">
        <f>VLOOKUP($C$10,Servant!$B$5:$AD$29,15,FALSE)+($F12+($F12*0.5*($D12-1)))*(S$3-1)</f>
        <v>31231</v>
      </c>
      <c r="T12" s="57">
        <f>VLOOKUP($C$10,Servant!$B$5:$AD$29,15,FALSE)+($F12+($F12*0.5*($D12-1)))*(T$3-1)</f>
        <v>33682</v>
      </c>
      <c r="U12" s="57">
        <f>VLOOKUP($C$10,Servant!$B$5:$AD$29,15,FALSE)+($F12+($F12*0.5*($D12-1)))*(U$3-1)</f>
        <v>36133</v>
      </c>
      <c r="V12" s="57">
        <f>VLOOKUP($C$10,Servant!$B$5:$AD$29,15,FALSE)+($F12+($F12*0.5*($D12-1)))*(V$3-1)</f>
        <v>38584</v>
      </c>
      <c r="W12" s="57">
        <f>VLOOKUP($C$10,Servant!$B$5:$AD$29,15,FALSE)+($F12+($F12*0.5*($D12-1)))*(W$3-1)</f>
        <v>41035</v>
      </c>
      <c r="X12" s="57">
        <f>VLOOKUP($C$10,Servant!$B$5:$AD$29,15,FALSE)+($F12+($F12*0.5*($D12-1)))*(X$3-1)</f>
        <v>43486</v>
      </c>
      <c r="Y12" s="57">
        <f>VLOOKUP($C$10,Servant!$B$5:$AD$29,15,FALSE)+($F12+($F12*0.5*($D12-1)))*(Y$3-1)</f>
        <v>45937</v>
      </c>
      <c r="Z12" s="57">
        <f>VLOOKUP($C$10,Servant!$B$5:$AD$29,15,FALSE)+($F12+($F12*0.5*($D12-1)))*(Z$3-1)</f>
        <v>48388</v>
      </c>
      <c r="AA12" s="57">
        <f>VLOOKUP($C$10,Servant!$B$5:$AD$29,15,FALSE)+($F12+($F12*0.5*($D12-1)))*(AA$3-1)</f>
        <v>50839</v>
      </c>
      <c r="AB12" s="57">
        <f>VLOOKUP($C$10,Servant!$B$5:$AD$29,15,FALSE)+($F12+($F12*0.5*($D12-1)))*(AB$3-1)</f>
        <v>53290</v>
      </c>
      <c r="AC12" s="57">
        <f>VLOOKUP($C$10,Servant!$B$5:$AD$29,15,FALSE)+($F12+($F12*0.5*($D12-1)))*(AC$3-1)</f>
        <v>55741</v>
      </c>
      <c r="AD12" s="57">
        <f>VLOOKUP($C$10,Servant!$B$5:$AD$29,15,FALSE)+($F12+($F12*0.5*($D12-1)))*(AD$3-1)</f>
        <v>58192</v>
      </c>
      <c r="AE12" s="57">
        <f>VLOOKUP($C$10,Servant!$B$5:$AD$29,15,FALSE)+($F12+($F12*0.5*($D12-1)))*(AE$3-1)</f>
        <v>60643</v>
      </c>
      <c r="AF12" s="57">
        <f>VLOOKUP($C$10,Servant!$B$5:$AD$29,15,FALSE)+($F12+($F12*0.5*($D12-1)))*(AF$3-1)</f>
        <v>63094</v>
      </c>
      <c r="AG12" s="57">
        <f>VLOOKUP($C$10,Servant!$B$5:$AD$29,15,FALSE)+($F12+($F12*0.5*($D12-1)))*(AG$3-1)</f>
        <v>65545</v>
      </c>
      <c r="AH12" s="57">
        <f>VLOOKUP($C$10,Servant!$B$5:$AD$29,15,FALSE)+($F12+($F12*0.5*($D12-1)))*(AH$3-1)</f>
        <v>67996</v>
      </c>
      <c r="AI12" s="57">
        <f>VLOOKUP($C$10,Servant!$B$5:$AD$29,15,FALSE)+($F12+($F12*0.5*($D12-1)))*(AI$3-1)</f>
        <v>70447</v>
      </c>
      <c r="AJ12" s="57">
        <f>VLOOKUP($C$10,Servant!$B$5:$AD$29,15,FALSE)+($F12+($F12*0.5*($D12-1)))*(AJ$3-1)</f>
        <v>72898</v>
      </c>
      <c r="AK12" s="57">
        <f>VLOOKUP($C$10,Servant!$B$5:$AD$29,15,FALSE)+($F12+($F12*0.5*($D12-1)))*(AK$3-1)</f>
        <v>75349</v>
      </c>
    </row>
    <row r="13" spans="2:37" x14ac:dyDescent="0.3">
      <c r="B13" s="280"/>
      <c r="C13" s="293" t="s">
        <v>290</v>
      </c>
      <c r="D13" s="58">
        <v>4</v>
      </c>
      <c r="E13" s="111">
        <f>VLOOKUP($C$13,ServantLevelUPdStatus!$B$5:$AD$29,3,FALSE)+(VLOOKUP($C$13,ServantLevelUPdStatus!$B$5:$AD$29,3,FALSE)*0.5*(Simulator_ALL!$D13-1))</f>
        <v>855</v>
      </c>
      <c r="F13" s="111">
        <f>VLOOKUP($C$13,ServantLevelUPdStatus!$B$5:$AD$29,3,FALSE)</f>
        <v>342</v>
      </c>
      <c r="H13" s="59">
        <f>VLOOKUP($C$13,Servant!$B$5:$AD$29,15,FALSE)+($F13+($F13*0.5*($D13-1)))*(H$3-1)</f>
        <v>5137</v>
      </c>
      <c r="I13" s="59">
        <f>VLOOKUP($C$13,Servant!$B$5:$AD$29,15,FALSE)+($F13+($F13*0.5*($D13-1)))*(I$3-1)</f>
        <v>5992</v>
      </c>
      <c r="J13" s="59">
        <f>VLOOKUP($C$13,Servant!$B$5:$AD$29,15,FALSE)+($F13+($F13*0.5*($D13-1)))*(J$3-1)</f>
        <v>6847</v>
      </c>
      <c r="K13" s="59">
        <f>VLOOKUP($C$13,Servant!$B$5:$AD$29,15,FALSE)+($F13+($F13*0.5*($D13-1)))*(K$3-1)</f>
        <v>7702</v>
      </c>
      <c r="L13" s="59">
        <f>VLOOKUP($C$13,Servant!$B$5:$AD$29,15,FALSE)+($F13+($F13*0.5*($D13-1)))*(L$3-1)</f>
        <v>8557</v>
      </c>
      <c r="M13" s="59">
        <f>VLOOKUP($C$13,Servant!$B$5:$AD$29,15,FALSE)+($F13+($F13*0.5*($D13-1)))*(M$3-1)</f>
        <v>9412</v>
      </c>
      <c r="N13" s="59">
        <f>VLOOKUP($C$13,Servant!$B$5:$AD$29,15,FALSE)+($F13+($F13*0.5*($D13-1)))*(N$3-1)</f>
        <v>10267</v>
      </c>
      <c r="O13" s="59">
        <f>VLOOKUP($C$13,Servant!$B$5:$AD$29,15,FALSE)+($F13+($F13*0.5*($D13-1)))*(O$3-1)</f>
        <v>11122</v>
      </c>
      <c r="P13" s="59">
        <f>VLOOKUP($C$13,Servant!$B$5:$AD$29,15,FALSE)+($F13+($F13*0.5*($D13-1)))*(P$3-1)</f>
        <v>11977</v>
      </c>
      <c r="Q13" s="59">
        <f>VLOOKUP($C$13,Servant!$B$5:$AD$29,15,FALSE)+($F13+($F13*0.5*($D13-1)))*(Q$3-1)</f>
        <v>12832</v>
      </c>
      <c r="R13" s="59">
        <f>VLOOKUP($C$13,Servant!$B$5:$AD$29,15,FALSE)+($F13+($F13*0.5*($D13-1)))*(R$3-1)</f>
        <v>13687</v>
      </c>
      <c r="S13" s="59">
        <f>VLOOKUP($C$13,Servant!$B$5:$AD$29,15,FALSE)+($F13+($F13*0.5*($D13-1)))*(S$3-1)</f>
        <v>14542</v>
      </c>
      <c r="T13" s="59">
        <f>VLOOKUP($C$13,Servant!$B$5:$AD$29,15,FALSE)+($F13+($F13*0.5*($D13-1)))*(T$3-1)</f>
        <v>15397</v>
      </c>
      <c r="U13" s="59">
        <f>VLOOKUP($C$13,Servant!$B$5:$AD$29,15,FALSE)+($F13+($F13*0.5*($D13-1)))*(U$3-1)</f>
        <v>16252</v>
      </c>
      <c r="V13" s="59">
        <f>VLOOKUP($C$13,Servant!$B$5:$AD$29,15,FALSE)+($F13+($F13*0.5*($D13-1)))*(V$3-1)</f>
        <v>17107</v>
      </c>
      <c r="W13" s="59">
        <f>VLOOKUP($C$13,Servant!$B$5:$AD$29,15,FALSE)+($F13+($F13*0.5*($D13-1)))*(W$3-1)</f>
        <v>17962</v>
      </c>
      <c r="X13" s="59">
        <f>VLOOKUP($C$13,Servant!$B$5:$AD$29,15,FALSE)+($F13+($F13*0.5*($D13-1)))*(X$3-1)</f>
        <v>18817</v>
      </c>
      <c r="Y13" s="59">
        <f>VLOOKUP($C$13,Servant!$B$5:$AD$29,15,FALSE)+($F13+($F13*0.5*($D13-1)))*(Y$3-1)</f>
        <v>19672</v>
      </c>
      <c r="Z13" s="59">
        <f>VLOOKUP($C$13,Servant!$B$5:$AD$29,15,FALSE)+($F13+($F13*0.5*($D13-1)))*(Z$3-1)</f>
        <v>20527</v>
      </c>
      <c r="AA13" s="59">
        <f>VLOOKUP($C$13,Servant!$B$5:$AD$29,15,FALSE)+($F13+($F13*0.5*($D13-1)))*(AA$3-1)</f>
        <v>21382</v>
      </c>
      <c r="AB13" s="59">
        <f>VLOOKUP($C$13,Servant!$B$5:$AD$29,15,FALSE)+($F13+($F13*0.5*($D13-1)))*(AB$3-1)</f>
        <v>22237</v>
      </c>
      <c r="AC13" s="59">
        <f>VLOOKUP($C$13,Servant!$B$5:$AD$29,15,FALSE)+($F13+($F13*0.5*($D13-1)))*(AC$3-1)</f>
        <v>23092</v>
      </c>
      <c r="AD13" s="59">
        <f>VLOOKUP($C$13,Servant!$B$5:$AD$29,15,FALSE)+($F13+($F13*0.5*($D13-1)))*(AD$3-1)</f>
        <v>23947</v>
      </c>
      <c r="AE13" s="59">
        <f>VLOOKUP($C$13,Servant!$B$5:$AD$29,15,FALSE)+($F13+($F13*0.5*($D13-1)))*(AE$3-1)</f>
        <v>24802</v>
      </c>
      <c r="AF13" s="59">
        <f>VLOOKUP($C$13,Servant!$B$5:$AD$29,15,FALSE)+($F13+($F13*0.5*($D13-1)))*(AF$3-1)</f>
        <v>25657</v>
      </c>
      <c r="AG13" s="59">
        <f>VLOOKUP($C$13,Servant!$B$5:$AD$29,15,FALSE)+($F13+($F13*0.5*($D13-1)))*(AG$3-1)</f>
        <v>26512</v>
      </c>
      <c r="AH13" s="59">
        <f>VLOOKUP($C$13,Servant!$B$5:$AD$29,15,FALSE)+($F13+($F13*0.5*($D13-1)))*(AH$3-1)</f>
        <v>27367</v>
      </c>
      <c r="AI13" s="59">
        <f>VLOOKUP($C$13,Servant!$B$5:$AD$29,15,FALSE)+($F13+($F13*0.5*($D13-1)))*(AI$3-1)</f>
        <v>28222</v>
      </c>
      <c r="AJ13" s="59">
        <f>VLOOKUP($C$13,Servant!$B$5:$AD$29,15,FALSE)+($F13+($F13*0.5*($D13-1)))*(AJ$3-1)</f>
        <v>29077</v>
      </c>
      <c r="AK13" s="59">
        <f>VLOOKUP($C$13,Servant!$B$5:$AD$29,15,FALSE)+($F13+($F13*0.5*($D13-1)))*(AK$3-1)</f>
        <v>29932</v>
      </c>
    </row>
    <row r="14" spans="2:37" x14ac:dyDescent="0.3">
      <c r="B14" s="280"/>
      <c r="C14" s="294"/>
      <c r="D14" s="58">
        <v>5</v>
      </c>
      <c r="E14" s="111">
        <f>VLOOKUP($C$13,ServantLevelUPdStatus!$B$5:$AD$29,3,FALSE)+(VLOOKUP($C$13,ServantLevelUPdStatus!$B$5:$AD$29,3,FALSE)*0.5*(Simulator_ALL!$D14-1))</f>
        <v>1026</v>
      </c>
      <c r="F14" s="107">
        <f>F13</f>
        <v>342</v>
      </c>
      <c r="H14" s="59">
        <f>VLOOKUP($C$13,Servant!$B$5:$AD$29,15,FALSE)+($F14+($F14*0.5*($D14-1)))*(H$3-1)</f>
        <v>5137</v>
      </c>
      <c r="I14" s="59">
        <f>VLOOKUP($C$13,Servant!$B$5:$AD$29,15,FALSE)+($F14+($F14*0.5*($D14-1)))*(I$3-1)</f>
        <v>6163</v>
      </c>
      <c r="J14" s="59">
        <f>VLOOKUP($C$13,Servant!$B$5:$AD$29,15,FALSE)+($F14+($F14*0.5*($D14-1)))*(J$3-1)</f>
        <v>7189</v>
      </c>
      <c r="K14" s="59">
        <f>VLOOKUP($C$13,Servant!$B$5:$AD$29,15,FALSE)+($F14+($F14*0.5*($D14-1)))*(K$3-1)</f>
        <v>8215</v>
      </c>
      <c r="L14" s="59">
        <f>VLOOKUP($C$13,Servant!$B$5:$AD$29,15,FALSE)+($F14+($F14*0.5*($D14-1)))*(L$3-1)</f>
        <v>9241</v>
      </c>
      <c r="M14" s="59">
        <f>VLOOKUP($C$13,Servant!$B$5:$AD$29,15,FALSE)+($F14+($F14*0.5*($D14-1)))*(M$3-1)</f>
        <v>10267</v>
      </c>
      <c r="N14" s="59">
        <f>VLOOKUP($C$13,Servant!$B$5:$AD$29,15,FALSE)+($F14+($F14*0.5*($D14-1)))*(N$3-1)</f>
        <v>11293</v>
      </c>
      <c r="O14" s="59">
        <f>VLOOKUP($C$13,Servant!$B$5:$AD$29,15,FALSE)+($F14+($F14*0.5*($D14-1)))*(O$3-1)</f>
        <v>12319</v>
      </c>
      <c r="P14" s="59">
        <f>VLOOKUP($C$13,Servant!$B$5:$AD$29,15,FALSE)+($F14+($F14*0.5*($D14-1)))*(P$3-1)</f>
        <v>13345</v>
      </c>
      <c r="Q14" s="59">
        <f>VLOOKUP($C$13,Servant!$B$5:$AD$29,15,FALSE)+($F14+($F14*0.5*($D14-1)))*(Q$3-1)</f>
        <v>14371</v>
      </c>
      <c r="R14" s="59">
        <f>VLOOKUP($C$13,Servant!$B$5:$AD$29,15,FALSE)+($F14+($F14*0.5*($D14-1)))*(R$3-1)</f>
        <v>15397</v>
      </c>
      <c r="S14" s="59">
        <f>VLOOKUP($C$13,Servant!$B$5:$AD$29,15,FALSE)+($F14+($F14*0.5*($D14-1)))*(S$3-1)</f>
        <v>16423</v>
      </c>
      <c r="T14" s="59">
        <f>VLOOKUP($C$13,Servant!$B$5:$AD$29,15,FALSE)+($F14+($F14*0.5*($D14-1)))*(T$3-1)</f>
        <v>17449</v>
      </c>
      <c r="U14" s="59">
        <f>VLOOKUP($C$13,Servant!$B$5:$AD$29,15,FALSE)+($F14+($F14*0.5*($D14-1)))*(U$3-1)</f>
        <v>18475</v>
      </c>
      <c r="V14" s="59">
        <f>VLOOKUP($C$13,Servant!$B$5:$AD$29,15,FALSE)+($F14+($F14*0.5*($D14-1)))*(V$3-1)</f>
        <v>19501</v>
      </c>
      <c r="W14" s="59">
        <f>VLOOKUP($C$13,Servant!$B$5:$AD$29,15,FALSE)+($F14+($F14*0.5*($D14-1)))*(W$3-1)</f>
        <v>20527</v>
      </c>
      <c r="X14" s="59">
        <f>VLOOKUP($C$13,Servant!$B$5:$AD$29,15,FALSE)+($F14+($F14*0.5*($D14-1)))*(X$3-1)</f>
        <v>21553</v>
      </c>
      <c r="Y14" s="59">
        <f>VLOOKUP($C$13,Servant!$B$5:$AD$29,15,FALSE)+($F14+($F14*0.5*($D14-1)))*(Y$3-1)</f>
        <v>22579</v>
      </c>
      <c r="Z14" s="59">
        <f>VLOOKUP($C$13,Servant!$B$5:$AD$29,15,FALSE)+($F14+($F14*0.5*($D14-1)))*(Z$3-1)</f>
        <v>23605</v>
      </c>
      <c r="AA14" s="59">
        <f>VLOOKUP($C$13,Servant!$B$5:$AD$29,15,FALSE)+($F14+($F14*0.5*($D14-1)))*(AA$3-1)</f>
        <v>24631</v>
      </c>
      <c r="AB14" s="59">
        <f>VLOOKUP($C$13,Servant!$B$5:$AD$29,15,FALSE)+($F14+($F14*0.5*($D14-1)))*(AB$3-1)</f>
        <v>25657</v>
      </c>
      <c r="AC14" s="59">
        <f>VLOOKUP($C$13,Servant!$B$5:$AD$29,15,FALSE)+($F14+($F14*0.5*($D14-1)))*(AC$3-1)</f>
        <v>26683</v>
      </c>
      <c r="AD14" s="59">
        <f>VLOOKUP($C$13,Servant!$B$5:$AD$29,15,FALSE)+($F14+($F14*0.5*($D14-1)))*(AD$3-1)</f>
        <v>27709</v>
      </c>
      <c r="AE14" s="59">
        <f>VLOOKUP($C$13,Servant!$B$5:$AD$29,15,FALSE)+($F14+($F14*0.5*($D14-1)))*(AE$3-1)</f>
        <v>28735</v>
      </c>
      <c r="AF14" s="59">
        <f>VLOOKUP($C$13,Servant!$B$5:$AD$29,15,FALSE)+($F14+($F14*0.5*($D14-1)))*(AF$3-1)</f>
        <v>29761</v>
      </c>
      <c r="AG14" s="59">
        <f>VLOOKUP($C$13,Servant!$B$5:$AD$29,15,FALSE)+($F14+($F14*0.5*($D14-1)))*(AG$3-1)</f>
        <v>30787</v>
      </c>
      <c r="AH14" s="59">
        <f>VLOOKUP($C$13,Servant!$B$5:$AD$29,15,FALSE)+($F14+($F14*0.5*($D14-1)))*(AH$3-1)</f>
        <v>31813</v>
      </c>
      <c r="AI14" s="59">
        <f>VLOOKUP($C$13,Servant!$B$5:$AD$29,15,FALSE)+($F14+($F14*0.5*($D14-1)))*(AI$3-1)</f>
        <v>32839</v>
      </c>
      <c r="AJ14" s="59">
        <f>VLOOKUP($C$13,Servant!$B$5:$AD$29,15,FALSE)+($F14+($F14*0.5*($D14-1)))*(AJ$3-1)</f>
        <v>33865</v>
      </c>
      <c r="AK14" s="59">
        <f>VLOOKUP($C$13,Servant!$B$5:$AD$29,15,FALSE)+($F14+($F14*0.5*($D14-1)))*(AK$3-1)</f>
        <v>34891</v>
      </c>
    </row>
    <row r="15" spans="2:37" x14ac:dyDescent="0.3">
      <c r="B15" s="280"/>
      <c r="C15" s="295"/>
      <c r="D15" s="58">
        <v>6</v>
      </c>
      <c r="E15" s="111">
        <f>VLOOKUP($C$13,ServantLevelUPdStatus!$B$5:$AD$29,3,FALSE)+(VLOOKUP($C$13,ServantLevelUPdStatus!$B$5:$AD$29,3,FALSE)*0.5*(Simulator_ALL!$D15-1))</f>
        <v>1197</v>
      </c>
      <c r="F15" s="107">
        <f>F14</f>
        <v>342</v>
      </c>
      <c r="H15" s="59">
        <f>VLOOKUP($C$13,Servant!$B$5:$AD$29,15,FALSE)+($F15+($F15*0.5*($D15-1)))*(H$3-1)</f>
        <v>5137</v>
      </c>
      <c r="I15" s="59">
        <f>VLOOKUP($C$13,Servant!$B$5:$AD$29,15,FALSE)+($F15+($F15*0.5*($D15-1)))*(I$3-1)</f>
        <v>6334</v>
      </c>
      <c r="J15" s="59">
        <f>VLOOKUP($C$13,Servant!$B$5:$AD$29,15,FALSE)+($F15+($F15*0.5*($D15-1)))*(J$3-1)</f>
        <v>7531</v>
      </c>
      <c r="K15" s="59">
        <f>VLOOKUP($C$13,Servant!$B$5:$AD$29,15,FALSE)+($F15+($F15*0.5*($D15-1)))*(K$3-1)</f>
        <v>8728</v>
      </c>
      <c r="L15" s="59">
        <f>VLOOKUP($C$13,Servant!$B$5:$AD$29,15,FALSE)+($F15+($F15*0.5*($D15-1)))*(L$3-1)</f>
        <v>9925</v>
      </c>
      <c r="M15" s="59">
        <f>VLOOKUP($C$13,Servant!$B$5:$AD$29,15,FALSE)+($F15+($F15*0.5*($D15-1)))*(M$3-1)</f>
        <v>11122</v>
      </c>
      <c r="N15" s="59">
        <f>VLOOKUP($C$13,Servant!$B$5:$AD$29,15,FALSE)+($F15+($F15*0.5*($D15-1)))*(N$3-1)</f>
        <v>12319</v>
      </c>
      <c r="O15" s="59">
        <f>VLOOKUP($C$13,Servant!$B$5:$AD$29,15,FALSE)+($F15+($F15*0.5*($D15-1)))*(O$3-1)</f>
        <v>13516</v>
      </c>
      <c r="P15" s="59">
        <f>VLOOKUP($C$13,Servant!$B$5:$AD$29,15,FALSE)+($F15+($F15*0.5*($D15-1)))*(P$3-1)</f>
        <v>14713</v>
      </c>
      <c r="Q15" s="59">
        <f>VLOOKUP($C$13,Servant!$B$5:$AD$29,15,FALSE)+($F15+($F15*0.5*($D15-1)))*(Q$3-1)</f>
        <v>15910</v>
      </c>
      <c r="R15" s="59">
        <f>VLOOKUP($C$13,Servant!$B$5:$AD$29,15,FALSE)+($F15+($F15*0.5*($D15-1)))*(R$3-1)</f>
        <v>17107</v>
      </c>
      <c r="S15" s="59">
        <f>VLOOKUP($C$13,Servant!$B$5:$AD$29,15,FALSE)+($F15+($F15*0.5*($D15-1)))*(S$3-1)</f>
        <v>18304</v>
      </c>
      <c r="T15" s="59">
        <f>VLOOKUP($C$13,Servant!$B$5:$AD$29,15,FALSE)+($F15+($F15*0.5*($D15-1)))*(T$3-1)</f>
        <v>19501</v>
      </c>
      <c r="U15" s="59">
        <f>VLOOKUP($C$13,Servant!$B$5:$AD$29,15,FALSE)+($F15+($F15*0.5*($D15-1)))*(U$3-1)</f>
        <v>20698</v>
      </c>
      <c r="V15" s="59">
        <f>VLOOKUP($C$13,Servant!$B$5:$AD$29,15,FALSE)+($F15+($F15*0.5*($D15-1)))*(V$3-1)</f>
        <v>21895</v>
      </c>
      <c r="W15" s="59">
        <f>VLOOKUP($C$13,Servant!$B$5:$AD$29,15,FALSE)+($F15+($F15*0.5*($D15-1)))*(W$3-1)</f>
        <v>23092</v>
      </c>
      <c r="X15" s="59">
        <f>VLOOKUP($C$13,Servant!$B$5:$AD$29,15,FALSE)+($F15+($F15*0.5*($D15-1)))*(X$3-1)</f>
        <v>24289</v>
      </c>
      <c r="Y15" s="59">
        <f>VLOOKUP($C$13,Servant!$B$5:$AD$29,15,FALSE)+($F15+($F15*0.5*($D15-1)))*(Y$3-1)</f>
        <v>25486</v>
      </c>
      <c r="Z15" s="59">
        <f>VLOOKUP($C$13,Servant!$B$5:$AD$29,15,FALSE)+($F15+($F15*0.5*($D15-1)))*(Z$3-1)</f>
        <v>26683</v>
      </c>
      <c r="AA15" s="59">
        <f>VLOOKUP($C$13,Servant!$B$5:$AD$29,15,FALSE)+($F15+($F15*0.5*($D15-1)))*(AA$3-1)</f>
        <v>27880</v>
      </c>
      <c r="AB15" s="59">
        <f>VLOOKUP($C$13,Servant!$B$5:$AD$29,15,FALSE)+($F15+($F15*0.5*($D15-1)))*(AB$3-1)</f>
        <v>29077</v>
      </c>
      <c r="AC15" s="59">
        <f>VLOOKUP($C$13,Servant!$B$5:$AD$29,15,FALSE)+($F15+($F15*0.5*($D15-1)))*(AC$3-1)</f>
        <v>30274</v>
      </c>
      <c r="AD15" s="59">
        <f>VLOOKUP($C$13,Servant!$B$5:$AD$29,15,FALSE)+($F15+($F15*0.5*($D15-1)))*(AD$3-1)</f>
        <v>31471</v>
      </c>
      <c r="AE15" s="59">
        <f>VLOOKUP($C$13,Servant!$B$5:$AD$29,15,FALSE)+($F15+($F15*0.5*($D15-1)))*(AE$3-1)</f>
        <v>32668</v>
      </c>
      <c r="AF15" s="59">
        <f>VLOOKUP($C$13,Servant!$B$5:$AD$29,15,FALSE)+($F15+($F15*0.5*($D15-1)))*(AF$3-1)</f>
        <v>33865</v>
      </c>
      <c r="AG15" s="59">
        <f>VLOOKUP($C$13,Servant!$B$5:$AD$29,15,FALSE)+($F15+($F15*0.5*($D15-1)))*(AG$3-1)</f>
        <v>35062</v>
      </c>
      <c r="AH15" s="59">
        <f>VLOOKUP($C$13,Servant!$B$5:$AD$29,15,FALSE)+($F15+($F15*0.5*($D15-1)))*(AH$3-1)</f>
        <v>36259</v>
      </c>
      <c r="AI15" s="59">
        <f>VLOOKUP($C$13,Servant!$B$5:$AD$29,15,FALSE)+($F15+($F15*0.5*($D15-1)))*(AI$3-1)</f>
        <v>37456</v>
      </c>
      <c r="AJ15" s="59">
        <f>VLOOKUP($C$13,Servant!$B$5:$AD$29,15,FALSE)+($F15+($F15*0.5*($D15-1)))*(AJ$3-1)</f>
        <v>38653</v>
      </c>
      <c r="AK15" s="59">
        <f>VLOOKUP($C$13,Servant!$B$5:$AD$29,15,FALSE)+($F15+($F15*0.5*($D15-1)))*(AK$3-1)</f>
        <v>39850</v>
      </c>
    </row>
    <row r="17" spans="2:37" x14ac:dyDescent="0.3">
      <c r="B17" s="286" t="s">
        <v>248</v>
      </c>
      <c r="C17" s="289" t="s">
        <v>217</v>
      </c>
      <c r="D17" s="54">
        <v>1</v>
      </c>
      <c r="E17" s="54">
        <f>ServantLevelUPdStatus!$E$6+(ServantLevelUPdStatus!$E$6*0.5*($D17-1))</f>
        <v>11.034000000000001</v>
      </c>
      <c r="F17" s="54">
        <f>ServantLevelUPdStatus!E$6</f>
        <v>11.034000000000001</v>
      </c>
      <c r="H17" s="55">
        <f>Servant!$Q$6+($F17+($F17*0.5*($D17-1)))*(H$3-1)</f>
        <v>410</v>
      </c>
      <c r="I17" s="55">
        <f>Servant!$Q$6+($F17+($F17*0.5*($D17-1)))*(I$3-1)</f>
        <v>421.03399999999999</v>
      </c>
      <c r="J17" s="55">
        <f>Servant!$Q$6+($F17+($F17*0.5*($D17-1)))*(J$3-1)</f>
        <v>432.06799999999998</v>
      </c>
      <c r="K17" s="55">
        <f>Servant!$Q$6+($F17+($F17*0.5*($D17-1)))*(K$3-1)</f>
        <v>443.10199999999998</v>
      </c>
      <c r="L17" s="55">
        <f>Servant!$Q$6+($F17+($F17*0.5*($D17-1)))*(L$3-1)</f>
        <v>454.13600000000002</v>
      </c>
      <c r="M17" s="55">
        <f>Servant!$Q$6+($F17+($F17*0.5*($D17-1)))*(M$3-1)</f>
        <v>465.17</v>
      </c>
      <c r="N17" s="55">
        <f>Servant!$Q$6+($F17+($F17*0.5*($D17-1)))*(N$3-1)</f>
        <v>476.20400000000001</v>
      </c>
      <c r="O17" s="55">
        <f>Servant!$Q$6+($F17+($F17*0.5*($D17-1)))*(O$3-1)</f>
        <v>487.238</v>
      </c>
      <c r="P17" s="55">
        <f>Servant!$Q$6+($F17+($F17*0.5*($D17-1)))*(P$3-1)</f>
        <v>498.27199999999999</v>
      </c>
      <c r="Q17" s="55">
        <f>Servant!$Q$6+($F17+($F17*0.5*($D17-1)))*(Q$3-1)</f>
        <v>509.30600000000004</v>
      </c>
      <c r="R17" s="55">
        <f>Servant!$Q$6+($F17+($F17*0.5*($D17-1)))*(R$3-1)</f>
        <v>520.34</v>
      </c>
      <c r="S17" s="55">
        <f>Servant!$Q$6+($F17+($F17*0.5*($D17-1)))*(S$3-1)</f>
        <v>531.37400000000002</v>
      </c>
      <c r="T17" s="55">
        <f>Servant!$Q$6+($F17+($F17*0.5*($D17-1)))*(T$3-1)</f>
        <v>542.40800000000002</v>
      </c>
      <c r="U17" s="55">
        <f>Servant!$Q$6+($F17+($F17*0.5*($D17-1)))*(U$3-1)</f>
        <v>553.44200000000001</v>
      </c>
      <c r="V17" s="55">
        <f>Servant!$Q$6+($F17+($F17*0.5*($D17-1)))*(V$3-1)</f>
        <v>564.476</v>
      </c>
      <c r="W17" s="55">
        <f>Servant!$Q$6+($F17+($F17*0.5*($D17-1)))*(W$3-1)</f>
        <v>575.51</v>
      </c>
      <c r="X17" s="55">
        <f>Servant!$Q$6+($F17+($F17*0.5*($D17-1)))*(X$3-1)</f>
        <v>586.54399999999998</v>
      </c>
      <c r="Y17" s="55">
        <f>Servant!$Q$6+($F17+($F17*0.5*($D17-1)))*(Y$3-1)</f>
        <v>597.57799999999997</v>
      </c>
      <c r="Z17" s="55">
        <f>Servant!$Q$6+($F17+($F17*0.5*($D17-1)))*(Z$3-1)</f>
        <v>608.61200000000008</v>
      </c>
      <c r="AA17" s="55">
        <f>Servant!$Q$6+($F17+($F17*0.5*($D17-1)))*(AA$3-1)</f>
        <v>619.64599999999996</v>
      </c>
      <c r="AB17" s="55">
        <f>Servant!$Q$6+($F17+($F17*0.5*($D17-1)))*(AB$3-1)</f>
        <v>630.68000000000006</v>
      </c>
      <c r="AC17" s="55">
        <f>Servant!$Q$6+($F17+($F17*0.5*($D17-1)))*(AC$3-1)</f>
        <v>641.71400000000006</v>
      </c>
      <c r="AD17" s="55">
        <f>Servant!$Q$6+($F17+($F17*0.5*($D17-1)))*(AD$3-1)</f>
        <v>652.74800000000005</v>
      </c>
      <c r="AE17" s="55">
        <f>Servant!$Q$6+($F17+($F17*0.5*($D17-1)))*(AE$3-1)</f>
        <v>663.78200000000004</v>
      </c>
      <c r="AF17" s="55">
        <f>Servant!$Q$6+($F17+($F17*0.5*($D17-1)))*(AF$3-1)</f>
        <v>674.81600000000003</v>
      </c>
      <c r="AG17" s="55">
        <f>Servant!$Q$6+($F17+($F17*0.5*($D17-1)))*(AG$3-1)</f>
        <v>685.85</v>
      </c>
      <c r="AH17" s="55">
        <f>Servant!$Q$6+($F17+($F17*0.5*($D17-1)))*(AH$3-1)</f>
        <v>696.88400000000001</v>
      </c>
      <c r="AI17" s="55">
        <f>Servant!$Q$6+($F17+($F17*0.5*($D17-1)))*(AI$3-1)</f>
        <v>707.91800000000001</v>
      </c>
      <c r="AJ17" s="55">
        <f>Servant!$Q$6+($F17+($F17*0.5*($D17-1)))*(AJ$3-1)</f>
        <v>718.952</v>
      </c>
      <c r="AK17" s="55">
        <f>Servant!$Q$6+($F17+($F17*0.5*($D17-1)))*(AK$3-1)</f>
        <v>729.9860000000001</v>
      </c>
    </row>
    <row r="18" spans="2:37" x14ac:dyDescent="0.3">
      <c r="B18" s="287"/>
      <c r="C18" s="289"/>
      <c r="D18" s="54">
        <v>2</v>
      </c>
      <c r="E18" s="54">
        <f>ServantLevelUPdStatus!$E$6+(ServantLevelUPdStatus!$E$6*0.5*($D18-1))</f>
        <v>16.551000000000002</v>
      </c>
      <c r="F18" s="54">
        <f>F17</f>
        <v>11.034000000000001</v>
      </c>
      <c r="H18" s="55">
        <f>Servant!$Q$6+($F18+($F18*0.5*($D18-1)))*(H$3-1)</f>
        <v>410</v>
      </c>
      <c r="I18" s="55">
        <f>Servant!$Q$6+($F18+($F18*0.5*($D18-1)))*(I$3-1)</f>
        <v>426.55099999999999</v>
      </c>
      <c r="J18" s="55">
        <f>Servant!$Q$6+($F18+($F18*0.5*($D18-1)))*(J$3-1)</f>
        <v>443.10199999999998</v>
      </c>
      <c r="K18" s="55">
        <f>Servant!$Q$6+($F18+($F18*0.5*($D18-1)))*(K$3-1)</f>
        <v>459.65300000000002</v>
      </c>
      <c r="L18" s="55">
        <f>Servant!$Q$6+($F18+($F18*0.5*($D18-1)))*(L$3-1)</f>
        <v>476.20400000000001</v>
      </c>
      <c r="M18" s="55">
        <f>Servant!$Q$6+($F18+($F18*0.5*($D18-1)))*(M$3-1)</f>
        <v>492.755</v>
      </c>
      <c r="N18" s="55">
        <f>Servant!$Q$6+($F18+($F18*0.5*($D18-1)))*(N$3-1)</f>
        <v>509.30600000000004</v>
      </c>
      <c r="O18" s="55">
        <f>Servant!$Q$6+($F18+($F18*0.5*($D18-1)))*(O$3-1)</f>
        <v>525.85699999999997</v>
      </c>
      <c r="P18" s="55">
        <f>Servant!$Q$6+($F18+($F18*0.5*($D18-1)))*(P$3-1)</f>
        <v>542.40800000000002</v>
      </c>
      <c r="Q18" s="55">
        <f>Servant!$Q$6+($F18+($F18*0.5*($D18-1)))*(Q$3-1)</f>
        <v>558.95900000000006</v>
      </c>
      <c r="R18" s="55">
        <f>Servant!$Q$6+($F18+($F18*0.5*($D18-1)))*(R$3-1)</f>
        <v>575.51</v>
      </c>
      <c r="S18" s="55">
        <f>Servant!$Q$6+($F18+($F18*0.5*($D18-1)))*(S$3-1)</f>
        <v>592.06100000000004</v>
      </c>
      <c r="T18" s="55">
        <f>Servant!$Q$6+($F18+($F18*0.5*($D18-1)))*(T$3-1)</f>
        <v>608.61200000000008</v>
      </c>
      <c r="U18" s="55">
        <f>Servant!$Q$6+($F18+($F18*0.5*($D18-1)))*(U$3-1)</f>
        <v>625.16300000000001</v>
      </c>
      <c r="V18" s="55">
        <f>Servant!$Q$6+($F18+($F18*0.5*($D18-1)))*(V$3-1)</f>
        <v>641.71400000000006</v>
      </c>
      <c r="W18" s="55">
        <f>Servant!$Q$6+($F18+($F18*0.5*($D18-1)))*(W$3-1)</f>
        <v>658.2650000000001</v>
      </c>
      <c r="X18" s="55">
        <f>Servant!$Q$6+($F18+($F18*0.5*($D18-1)))*(X$3-1)</f>
        <v>674.81600000000003</v>
      </c>
      <c r="Y18" s="55">
        <f>Servant!$Q$6+($F18+($F18*0.5*($D18-1)))*(Y$3-1)</f>
        <v>691.36699999999996</v>
      </c>
      <c r="Z18" s="55">
        <f>Servant!$Q$6+($F18+($F18*0.5*($D18-1)))*(Z$3-1)</f>
        <v>707.91800000000001</v>
      </c>
      <c r="AA18" s="55">
        <f>Servant!$Q$6+($F18+($F18*0.5*($D18-1)))*(AA$3-1)</f>
        <v>724.46900000000005</v>
      </c>
      <c r="AB18" s="55">
        <f>Servant!$Q$6+($F18+($F18*0.5*($D18-1)))*(AB$3-1)</f>
        <v>741.02</v>
      </c>
      <c r="AC18" s="55">
        <f>Servant!$Q$6+($F18+($F18*0.5*($D18-1)))*(AC$3-1)</f>
        <v>757.57100000000003</v>
      </c>
      <c r="AD18" s="55">
        <f>Servant!$Q$6+($F18+($F18*0.5*($D18-1)))*(AD$3-1)</f>
        <v>774.12200000000007</v>
      </c>
      <c r="AE18" s="55">
        <f>Servant!$Q$6+($F18+($F18*0.5*($D18-1)))*(AE$3-1)</f>
        <v>790.673</v>
      </c>
      <c r="AF18" s="55">
        <f>Servant!$Q$6+($F18+($F18*0.5*($D18-1)))*(AF$3-1)</f>
        <v>807.22400000000005</v>
      </c>
      <c r="AG18" s="55">
        <f>Servant!$Q$6+($F18+($F18*0.5*($D18-1)))*(AG$3-1)</f>
        <v>823.77500000000009</v>
      </c>
      <c r="AH18" s="55">
        <f>Servant!$Q$6+($F18+($F18*0.5*($D18-1)))*(AH$3-1)</f>
        <v>840.32600000000002</v>
      </c>
      <c r="AI18" s="55">
        <f>Servant!$Q$6+($F18+($F18*0.5*($D18-1)))*(AI$3-1)</f>
        <v>856.87700000000007</v>
      </c>
      <c r="AJ18" s="55">
        <f>Servant!$Q$6+($F18+($F18*0.5*($D18-1)))*(AJ$3-1)</f>
        <v>873.42800000000011</v>
      </c>
      <c r="AK18" s="55">
        <f>Servant!$Q$6+($F18+($F18*0.5*($D18-1)))*(AK$3-1)</f>
        <v>889.97900000000004</v>
      </c>
    </row>
    <row r="19" spans="2:37" x14ac:dyDescent="0.3">
      <c r="B19" s="287"/>
      <c r="C19" s="289"/>
      <c r="D19" s="54">
        <v>3</v>
      </c>
      <c r="E19" s="54">
        <f>ServantLevelUPdStatus!$E$6+(ServantLevelUPdStatus!$E$6*0.5*($D19-1))</f>
        <v>22.068000000000001</v>
      </c>
      <c r="F19" s="54">
        <f>F18</f>
        <v>11.034000000000001</v>
      </c>
      <c r="H19" s="55">
        <f>Servant!$Q$6+($F19+($F19*0.5*($D19-1)))*(H$3-1)</f>
        <v>410</v>
      </c>
      <c r="I19" s="55">
        <f>Servant!$Q$6+($F19+($F19*0.5*($D19-1)))*(I$3-1)</f>
        <v>432.06799999999998</v>
      </c>
      <c r="J19" s="55">
        <f>Servant!$Q$6+($F19+($F19*0.5*($D19-1)))*(J$3-1)</f>
        <v>454.13600000000002</v>
      </c>
      <c r="K19" s="55">
        <f>Servant!$Q$6+($F19+($F19*0.5*($D19-1)))*(K$3-1)</f>
        <v>476.20400000000001</v>
      </c>
      <c r="L19" s="55">
        <f>Servant!$Q$6+($F19+($F19*0.5*($D19-1)))*(L$3-1)</f>
        <v>498.27199999999999</v>
      </c>
      <c r="M19" s="55">
        <f>Servant!$Q$6+($F19+($F19*0.5*($D19-1)))*(M$3-1)</f>
        <v>520.34</v>
      </c>
      <c r="N19" s="55">
        <f>Servant!$Q$6+($F19+($F19*0.5*($D19-1)))*(N$3-1)</f>
        <v>542.40800000000002</v>
      </c>
      <c r="O19" s="55">
        <f>Servant!$Q$6+($F19+($F19*0.5*($D19-1)))*(O$3-1)</f>
        <v>564.476</v>
      </c>
      <c r="P19" s="55">
        <f>Servant!$Q$6+($F19+($F19*0.5*($D19-1)))*(P$3-1)</f>
        <v>586.54399999999998</v>
      </c>
      <c r="Q19" s="55">
        <f>Servant!$Q$6+($F19+($F19*0.5*($D19-1)))*(Q$3-1)</f>
        <v>608.61200000000008</v>
      </c>
      <c r="R19" s="55">
        <f>Servant!$Q$6+($F19+($F19*0.5*($D19-1)))*(R$3-1)</f>
        <v>630.68000000000006</v>
      </c>
      <c r="S19" s="55">
        <f>Servant!$Q$6+($F19+($F19*0.5*($D19-1)))*(S$3-1)</f>
        <v>652.74800000000005</v>
      </c>
      <c r="T19" s="55">
        <f>Servant!$Q$6+($F19+($F19*0.5*($D19-1)))*(T$3-1)</f>
        <v>674.81600000000003</v>
      </c>
      <c r="U19" s="55">
        <f>Servant!$Q$6+($F19+($F19*0.5*($D19-1)))*(U$3-1)</f>
        <v>696.88400000000001</v>
      </c>
      <c r="V19" s="55">
        <f>Servant!$Q$6+($F19+($F19*0.5*($D19-1)))*(V$3-1)</f>
        <v>718.952</v>
      </c>
      <c r="W19" s="55">
        <f>Servant!$Q$6+($F19+($F19*0.5*($D19-1)))*(W$3-1)</f>
        <v>741.02</v>
      </c>
      <c r="X19" s="55">
        <f>Servant!$Q$6+($F19+($F19*0.5*($D19-1)))*(X$3-1)</f>
        <v>763.08799999999997</v>
      </c>
      <c r="Y19" s="55">
        <f>Servant!$Q$6+($F19+($F19*0.5*($D19-1)))*(Y$3-1)</f>
        <v>785.15599999999995</v>
      </c>
      <c r="Z19" s="55">
        <f>Servant!$Q$6+($F19+($F19*0.5*($D19-1)))*(Z$3-1)</f>
        <v>807.22400000000005</v>
      </c>
      <c r="AA19" s="55">
        <f>Servant!$Q$6+($F19+($F19*0.5*($D19-1)))*(AA$3-1)</f>
        <v>829.29200000000003</v>
      </c>
      <c r="AB19" s="55">
        <f>Servant!$Q$6+($F19+($F19*0.5*($D19-1)))*(AB$3-1)</f>
        <v>851.36</v>
      </c>
      <c r="AC19" s="55">
        <f>Servant!$Q$6+($F19+($F19*0.5*($D19-1)))*(AC$3-1)</f>
        <v>873.42800000000011</v>
      </c>
      <c r="AD19" s="55">
        <f>Servant!$Q$6+($F19+($F19*0.5*($D19-1)))*(AD$3-1)</f>
        <v>895.49600000000009</v>
      </c>
      <c r="AE19" s="55">
        <f>Servant!$Q$6+($F19+($F19*0.5*($D19-1)))*(AE$3-1)</f>
        <v>917.56400000000008</v>
      </c>
      <c r="AF19" s="55">
        <f>Servant!$Q$6+($F19+($F19*0.5*($D19-1)))*(AF$3-1)</f>
        <v>939.63200000000006</v>
      </c>
      <c r="AG19" s="55">
        <f>Servant!$Q$6+($F19+($F19*0.5*($D19-1)))*(AG$3-1)</f>
        <v>961.7</v>
      </c>
      <c r="AH19" s="55">
        <f>Servant!$Q$6+($F19+($F19*0.5*($D19-1)))*(AH$3-1)</f>
        <v>983.76800000000003</v>
      </c>
      <c r="AI19" s="55">
        <f>Servant!$Q$6+($F19+($F19*0.5*($D19-1)))*(AI$3-1)</f>
        <v>1005.836</v>
      </c>
      <c r="AJ19" s="55">
        <f>Servant!$Q$6+($F19+($F19*0.5*($D19-1)))*(AJ$3-1)</f>
        <v>1027.904</v>
      </c>
      <c r="AK19" s="55">
        <f>Servant!$Q$6+($F19+($F19*0.5*($D19-1)))*(AK$3-1)</f>
        <v>1049.9720000000002</v>
      </c>
    </row>
    <row r="20" spans="2:37" x14ac:dyDescent="0.3">
      <c r="B20" s="287"/>
      <c r="C20" s="290" t="s">
        <v>240</v>
      </c>
      <c r="D20" s="52">
        <v>2</v>
      </c>
      <c r="E20" s="52">
        <f>ServantLevelUPdStatus!$E$12+(ServantLevelUPdStatus!$E$12*0.5*(D20-1))</f>
        <v>31.981500000000004</v>
      </c>
      <c r="F20" s="52">
        <f>ServantLevelUPdStatus!E$12</f>
        <v>21.321000000000002</v>
      </c>
      <c r="H20" s="53">
        <f>Servant!$Q$12+($F20+($F20*0.5*($D20-1)))*(H$3-1)</f>
        <v>620</v>
      </c>
      <c r="I20" s="53">
        <f>Servant!$Q$12+($F20+($F20*0.5*($D20-1)))*(I$3-1)</f>
        <v>651.98149999999998</v>
      </c>
      <c r="J20" s="53">
        <f>Servant!$Q$12+($F20+($F20*0.5*($D20-1)))*(J$3-1)</f>
        <v>683.96299999999997</v>
      </c>
      <c r="K20" s="53">
        <f>Servant!$Q$12+($F20+($F20*0.5*($D20-1)))*(K$3-1)</f>
        <v>715.94450000000006</v>
      </c>
      <c r="L20" s="53">
        <f>Servant!$Q$12+($F20+($F20*0.5*($D20-1)))*(L$3-1)</f>
        <v>747.92600000000004</v>
      </c>
      <c r="M20" s="53">
        <f>Servant!$Q$12+($F20+($F20*0.5*($D20-1)))*(M$3-1)</f>
        <v>779.90750000000003</v>
      </c>
      <c r="N20" s="53">
        <f>Servant!$Q$12+($F20+($F20*0.5*($D20-1)))*(N$3-1)</f>
        <v>811.88900000000001</v>
      </c>
      <c r="O20" s="53">
        <f>Servant!$Q$12+($F20+($F20*0.5*($D20-1)))*(O$3-1)</f>
        <v>843.87049999999999</v>
      </c>
      <c r="P20" s="53">
        <f>Servant!$Q$12+($F20+($F20*0.5*($D20-1)))*(P$3-1)</f>
        <v>875.85200000000009</v>
      </c>
      <c r="Q20" s="53">
        <f>Servant!$Q$12+($F20+($F20*0.5*($D20-1)))*(Q$3-1)</f>
        <v>907.83349999999996</v>
      </c>
      <c r="R20" s="53">
        <f>Servant!$Q$12+($F20+($F20*0.5*($D20-1)))*(R$3-1)</f>
        <v>939.81500000000005</v>
      </c>
      <c r="S20" s="53">
        <f>Servant!$Q$12+($F20+($F20*0.5*($D20-1)))*(S$3-1)</f>
        <v>971.79650000000004</v>
      </c>
      <c r="T20" s="53">
        <f>Servant!$Q$12+($F20+($F20*0.5*($D20-1)))*(T$3-1)</f>
        <v>1003.778</v>
      </c>
      <c r="U20" s="53">
        <f>Servant!$Q$12+($F20+($F20*0.5*($D20-1)))*(U$3-1)</f>
        <v>1035.7595000000001</v>
      </c>
      <c r="V20" s="53">
        <f>Servant!$Q$12+($F20+($F20*0.5*($D20-1)))*(V$3-1)</f>
        <v>1067.741</v>
      </c>
      <c r="W20" s="53">
        <f>Servant!$Q$12+($F20+($F20*0.5*($D20-1)))*(W$3-1)</f>
        <v>1099.7225000000001</v>
      </c>
      <c r="X20" s="53">
        <f>Servant!$Q$12+($F20+($F20*0.5*($D20-1)))*(X$3-1)</f>
        <v>1131.7040000000002</v>
      </c>
      <c r="Y20" s="53">
        <f>Servant!$Q$12+($F20+($F20*0.5*($D20-1)))*(Y$3-1)</f>
        <v>1163.6855</v>
      </c>
      <c r="Z20" s="53">
        <f>Servant!$Q$12+($F20+($F20*0.5*($D20-1)))*(Z$3-1)</f>
        <v>1195.6669999999999</v>
      </c>
      <c r="AA20" s="53">
        <f>Servant!$Q$12+($F20+($F20*0.5*($D20-1)))*(AA$3-1)</f>
        <v>1227.6485000000002</v>
      </c>
      <c r="AB20" s="53">
        <f>Servant!$Q$12+($F20+($F20*0.5*($D20-1)))*(AB$3-1)</f>
        <v>1259.6300000000001</v>
      </c>
      <c r="AC20" s="53">
        <f>Servant!$Q$12+($F20+($F20*0.5*($D20-1)))*(AC$3-1)</f>
        <v>1291.6115</v>
      </c>
      <c r="AD20" s="53">
        <f>Servant!$Q$12+($F20+($F20*0.5*($D20-1)))*(AD$3-1)</f>
        <v>1323.5930000000001</v>
      </c>
      <c r="AE20" s="53">
        <f>Servant!$Q$12+($F20+($F20*0.5*($D20-1)))*(AE$3-1)</f>
        <v>1355.5745000000002</v>
      </c>
      <c r="AF20" s="53">
        <f>Servant!$Q$12+($F20+($F20*0.5*($D20-1)))*(AF$3-1)</f>
        <v>1387.556</v>
      </c>
      <c r="AG20" s="53">
        <f>Servant!$Q$12+($F20+($F20*0.5*($D20-1)))*(AG$3-1)</f>
        <v>1419.5375000000001</v>
      </c>
      <c r="AH20" s="53">
        <f>Servant!$Q$12+($F20+($F20*0.5*($D20-1)))*(AH$3-1)</f>
        <v>1451.5190000000002</v>
      </c>
      <c r="AI20" s="53">
        <f>Servant!$Q$12+($F20+($F20*0.5*($D20-1)))*(AI$3-1)</f>
        <v>1483.5005000000001</v>
      </c>
      <c r="AJ20" s="53">
        <f>Servant!$Q$12+($F20+($F20*0.5*($D20-1)))*(AJ$3-1)</f>
        <v>1515.482</v>
      </c>
      <c r="AK20" s="53">
        <f>Servant!$Q$12+($F20+($F20*0.5*($D20-1)))*(AK$3-1)</f>
        <v>1547.4635000000001</v>
      </c>
    </row>
    <row r="21" spans="2:37" x14ac:dyDescent="0.3">
      <c r="B21" s="287"/>
      <c r="C21" s="290"/>
      <c r="D21" s="52">
        <v>3</v>
      </c>
      <c r="E21" s="52">
        <f>ServantLevelUPdStatus!$E$12+(ServantLevelUPdStatus!$E$12*0.5*(D21-1))</f>
        <v>42.642000000000003</v>
      </c>
      <c r="F21" s="52">
        <f>F20</f>
        <v>21.321000000000002</v>
      </c>
      <c r="H21" s="53">
        <f>Servant!$Q$12+($F21+($F21*0.5*($D21-1)))*(H$3-1)</f>
        <v>620</v>
      </c>
      <c r="I21" s="53">
        <f>Servant!$Q$12+($F21+($F21*0.5*($D21-1)))*(I$3-1)</f>
        <v>662.64200000000005</v>
      </c>
      <c r="J21" s="53">
        <f>Servant!$Q$12+($F21+($F21*0.5*($D21-1)))*(J$3-1)</f>
        <v>705.28399999999999</v>
      </c>
      <c r="K21" s="53">
        <f>Servant!$Q$12+($F21+($F21*0.5*($D21-1)))*(K$3-1)</f>
        <v>747.92600000000004</v>
      </c>
      <c r="L21" s="53">
        <f>Servant!$Q$12+($F21+($F21*0.5*($D21-1)))*(L$3-1)</f>
        <v>790.56799999999998</v>
      </c>
      <c r="M21" s="53">
        <f>Servant!$Q$12+($F21+($F21*0.5*($D21-1)))*(M$3-1)</f>
        <v>833.21</v>
      </c>
      <c r="N21" s="53">
        <f>Servant!$Q$12+($F21+($F21*0.5*($D21-1)))*(N$3-1)</f>
        <v>875.85200000000009</v>
      </c>
      <c r="O21" s="53">
        <f>Servant!$Q$12+($F21+($F21*0.5*($D21-1)))*(O$3-1)</f>
        <v>918.49400000000003</v>
      </c>
      <c r="P21" s="53">
        <f>Servant!$Q$12+($F21+($F21*0.5*($D21-1)))*(P$3-1)</f>
        <v>961.13599999999997</v>
      </c>
      <c r="Q21" s="53">
        <f>Servant!$Q$12+($F21+($F21*0.5*($D21-1)))*(Q$3-1)</f>
        <v>1003.778</v>
      </c>
      <c r="R21" s="53">
        <f>Servant!$Q$12+($F21+($F21*0.5*($D21-1)))*(R$3-1)</f>
        <v>1046.42</v>
      </c>
      <c r="S21" s="53">
        <f>Servant!$Q$12+($F21+($F21*0.5*($D21-1)))*(S$3-1)</f>
        <v>1089.0619999999999</v>
      </c>
      <c r="T21" s="53">
        <f>Servant!$Q$12+($F21+($F21*0.5*($D21-1)))*(T$3-1)</f>
        <v>1131.7040000000002</v>
      </c>
      <c r="U21" s="53">
        <f>Servant!$Q$12+($F21+($F21*0.5*($D21-1)))*(U$3-1)</f>
        <v>1174.346</v>
      </c>
      <c r="V21" s="53">
        <f>Servant!$Q$12+($F21+($F21*0.5*($D21-1)))*(V$3-1)</f>
        <v>1216.9880000000001</v>
      </c>
      <c r="W21" s="53">
        <f>Servant!$Q$12+($F21+($F21*0.5*($D21-1)))*(W$3-1)</f>
        <v>1259.6300000000001</v>
      </c>
      <c r="X21" s="53">
        <f>Servant!$Q$12+($F21+($F21*0.5*($D21-1)))*(X$3-1)</f>
        <v>1302.2719999999999</v>
      </c>
      <c r="Y21" s="53">
        <f>Servant!$Q$12+($F21+($F21*0.5*($D21-1)))*(Y$3-1)</f>
        <v>1344.9140000000002</v>
      </c>
      <c r="Z21" s="53">
        <f>Servant!$Q$12+($F21+($F21*0.5*($D21-1)))*(Z$3-1)</f>
        <v>1387.556</v>
      </c>
      <c r="AA21" s="53">
        <f>Servant!$Q$12+($F21+($F21*0.5*($D21-1)))*(AA$3-1)</f>
        <v>1430.1980000000001</v>
      </c>
      <c r="AB21" s="53">
        <f>Servant!$Q$12+($F21+($F21*0.5*($D21-1)))*(AB$3-1)</f>
        <v>1472.8400000000001</v>
      </c>
      <c r="AC21" s="53">
        <f>Servant!$Q$12+($F21+($F21*0.5*($D21-1)))*(AC$3-1)</f>
        <v>1515.482</v>
      </c>
      <c r="AD21" s="53">
        <f>Servant!$Q$12+($F21+($F21*0.5*($D21-1)))*(AD$3-1)</f>
        <v>1558.124</v>
      </c>
      <c r="AE21" s="53">
        <f>Servant!$Q$12+($F21+($F21*0.5*($D21-1)))*(AE$3-1)</f>
        <v>1600.7660000000001</v>
      </c>
      <c r="AF21" s="53">
        <f>Servant!$Q$12+($F21+($F21*0.5*($D21-1)))*(AF$3-1)</f>
        <v>1643.4080000000001</v>
      </c>
      <c r="AG21" s="53">
        <f>Servant!$Q$12+($F21+($F21*0.5*($D21-1)))*(AG$3-1)</f>
        <v>1686.0500000000002</v>
      </c>
      <c r="AH21" s="53">
        <f>Servant!$Q$12+($F21+($F21*0.5*($D21-1)))*(AH$3-1)</f>
        <v>1728.692</v>
      </c>
      <c r="AI21" s="53">
        <f>Servant!$Q$12+($F21+($F21*0.5*($D21-1)))*(AI$3-1)</f>
        <v>1771.3340000000001</v>
      </c>
      <c r="AJ21" s="53">
        <f>Servant!$Q$12+($F21+($F21*0.5*($D21-1)))*(AJ$3-1)</f>
        <v>1813.9760000000001</v>
      </c>
      <c r="AK21" s="53">
        <f>Servant!$Q$12+($F21+($F21*0.5*($D21-1)))*(AK$3-1)</f>
        <v>1856.6180000000002</v>
      </c>
    </row>
    <row r="22" spans="2:37" x14ac:dyDescent="0.3">
      <c r="B22" s="287"/>
      <c r="C22" s="290"/>
      <c r="D22" s="52">
        <v>4</v>
      </c>
      <c r="E22" s="52">
        <f>ServantLevelUPdStatus!$E$12+(ServantLevelUPdStatus!$E$12*0.5*(D22-1))</f>
        <v>53.302500000000009</v>
      </c>
      <c r="F22" s="52">
        <f>F21</f>
        <v>21.321000000000002</v>
      </c>
      <c r="H22" s="53">
        <f>Servant!$Q$12+($F22+($F22*0.5*($D22-1)))*(H$3-1)</f>
        <v>620</v>
      </c>
      <c r="I22" s="53">
        <f>Servant!$Q$12+($F22+($F22*0.5*($D22-1)))*(I$3-1)</f>
        <v>673.30250000000001</v>
      </c>
      <c r="J22" s="53">
        <f>Servant!$Q$12+($F22+($F22*0.5*($D22-1)))*(J$3-1)</f>
        <v>726.60500000000002</v>
      </c>
      <c r="K22" s="53">
        <f>Servant!$Q$12+($F22+($F22*0.5*($D22-1)))*(K$3-1)</f>
        <v>779.90750000000003</v>
      </c>
      <c r="L22" s="53">
        <f>Servant!$Q$12+($F22+($F22*0.5*($D22-1)))*(L$3-1)</f>
        <v>833.21</v>
      </c>
      <c r="M22" s="53">
        <f>Servant!$Q$12+($F22+($F22*0.5*($D22-1)))*(M$3-1)</f>
        <v>886.51250000000005</v>
      </c>
      <c r="N22" s="53">
        <f>Servant!$Q$12+($F22+($F22*0.5*($D22-1)))*(N$3-1)</f>
        <v>939.81500000000005</v>
      </c>
      <c r="O22" s="53">
        <f>Servant!$Q$12+($F22+($F22*0.5*($D22-1)))*(O$3-1)</f>
        <v>993.11750000000006</v>
      </c>
      <c r="P22" s="53">
        <f>Servant!$Q$12+($F22+($F22*0.5*($D22-1)))*(P$3-1)</f>
        <v>1046.42</v>
      </c>
      <c r="Q22" s="53">
        <f>Servant!$Q$12+($F22+($F22*0.5*($D22-1)))*(Q$3-1)</f>
        <v>1099.7225000000001</v>
      </c>
      <c r="R22" s="53">
        <f>Servant!$Q$12+($F22+($F22*0.5*($D22-1)))*(R$3-1)</f>
        <v>1153.0250000000001</v>
      </c>
      <c r="S22" s="53">
        <f>Servant!$Q$12+($F22+($F22*0.5*($D22-1)))*(S$3-1)</f>
        <v>1206.3275000000001</v>
      </c>
      <c r="T22" s="53">
        <f>Servant!$Q$12+($F22+($F22*0.5*($D22-1)))*(T$3-1)</f>
        <v>1259.6300000000001</v>
      </c>
      <c r="U22" s="53">
        <f>Servant!$Q$12+($F22+($F22*0.5*($D22-1)))*(U$3-1)</f>
        <v>1312.9325000000001</v>
      </c>
      <c r="V22" s="53">
        <f>Servant!$Q$12+($F22+($F22*0.5*($D22-1)))*(V$3-1)</f>
        <v>1366.2350000000001</v>
      </c>
      <c r="W22" s="53">
        <f>Servant!$Q$12+($F22+($F22*0.5*($D22-1)))*(W$3-1)</f>
        <v>1419.5375000000001</v>
      </c>
      <c r="X22" s="53">
        <f>Servant!$Q$12+($F22+($F22*0.5*($D22-1)))*(X$3-1)</f>
        <v>1472.8400000000001</v>
      </c>
      <c r="Y22" s="53">
        <f>Servant!$Q$12+($F22+($F22*0.5*($D22-1)))*(Y$3-1)</f>
        <v>1526.1425000000002</v>
      </c>
      <c r="Z22" s="53">
        <f>Servant!$Q$12+($F22+($F22*0.5*($D22-1)))*(Z$3-1)</f>
        <v>1579.4450000000002</v>
      </c>
      <c r="AA22" s="53">
        <f>Servant!$Q$12+($F22+($F22*0.5*($D22-1)))*(AA$3-1)</f>
        <v>1632.7475000000002</v>
      </c>
      <c r="AB22" s="53">
        <f>Servant!$Q$12+($F22+($F22*0.5*($D22-1)))*(AB$3-1)</f>
        <v>1686.0500000000002</v>
      </c>
      <c r="AC22" s="53">
        <f>Servant!$Q$12+($F22+($F22*0.5*($D22-1)))*(AC$3-1)</f>
        <v>1739.3525000000002</v>
      </c>
      <c r="AD22" s="53">
        <f>Servant!$Q$12+($F22+($F22*0.5*($D22-1)))*(AD$3-1)</f>
        <v>1792.6550000000002</v>
      </c>
      <c r="AE22" s="53">
        <f>Servant!$Q$12+($F22+($F22*0.5*($D22-1)))*(AE$3-1)</f>
        <v>1845.9575000000002</v>
      </c>
      <c r="AF22" s="53">
        <f>Servant!$Q$12+($F22+($F22*0.5*($D22-1)))*(AF$3-1)</f>
        <v>1899.2600000000002</v>
      </c>
      <c r="AG22" s="53">
        <f>Servant!$Q$12+($F22+($F22*0.5*($D22-1)))*(AG$3-1)</f>
        <v>1952.5625000000002</v>
      </c>
      <c r="AH22" s="53">
        <f>Servant!$Q$12+($F22+($F22*0.5*($D22-1)))*(AH$3-1)</f>
        <v>2005.8650000000002</v>
      </c>
      <c r="AI22" s="53">
        <f>Servant!$Q$12+($F22+($F22*0.5*($D22-1)))*(AI$3-1)</f>
        <v>2059.1675000000005</v>
      </c>
      <c r="AJ22" s="53">
        <f>Servant!$Q$12+($F22+($F22*0.5*($D22-1)))*(AJ$3-1)</f>
        <v>2112.4700000000003</v>
      </c>
      <c r="AK22" s="53">
        <f>Servant!$Q$12+($F22+($F22*0.5*($D22-1)))*(AK$3-1)</f>
        <v>2165.7725</v>
      </c>
    </row>
    <row r="23" spans="2:37" x14ac:dyDescent="0.3">
      <c r="B23" s="287"/>
      <c r="C23" s="291" t="s">
        <v>241</v>
      </c>
      <c r="D23" s="56">
        <v>3</v>
      </c>
      <c r="E23" s="56">
        <f>ServantLevelUPdStatus!$E$18+(ServantLevelUPdStatus!$E$18*0.5*($D23-1))</f>
        <v>63.231999999999999</v>
      </c>
      <c r="F23" s="56">
        <f>ServantLevelUPdStatus!E$18</f>
        <v>31.616</v>
      </c>
      <c r="H23" s="57">
        <f>Servant!$Q$18+($F23+($F23*0.5*($D23-1)))*(H$3-1)</f>
        <v>790</v>
      </c>
      <c r="I23" s="57">
        <f>Servant!$Q$18+($F23+($F23*0.5*($D23-1)))*(I$3-1)</f>
        <v>853.23199999999997</v>
      </c>
      <c r="J23" s="57">
        <f>Servant!$Q$18+($F23+($F23*0.5*($D23-1)))*(J$3-1)</f>
        <v>916.46399999999994</v>
      </c>
      <c r="K23" s="57">
        <f>Servant!$Q$18+($F23+($F23*0.5*($D23-1)))*(K$3-1)</f>
        <v>979.69600000000003</v>
      </c>
      <c r="L23" s="57">
        <f>Servant!$Q$18+($F23+($F23*0.5*($D23-1)))*(L$3-1)</f>
        <v>1042.9279999999999</v>
      </c>
      <c r="M23" s="57">
        <f>Servant!$Q$18+($F23+($F23*0.5*($D23-1)))*(M$3-1)</f>
        <v>1106.1599999999999</v>
      </c>
      <c r="N23" s="57">
        <f>Servant!$Q$18+($F23+($F23*0.5*($D23-1)))*(N$3-1)</f>
        <v>1169.3920000000001</v>
      </c>
      <c r="O23" s="57">
        <f>Servant!$Q$18+($F23+($F23*0.5*($D23-1)))*(O$3-1)</f>
        <v>1232.624</v>
      </c>
      <c r="P23" s="57">
        <f>Servant!$Q$18+($F23+($F23*0.5*($D23-1)))*(P$3-1)</f>
        <v>1295.856</v>
      </c>
      <c r="Q23" s="57">
        <f>Servant!$Q$18+($F23+($F23*0.5*($D23-1)))*(Q$3-1)</f>
        <v>1359.088</v>
      </c>
      <c r="R23" s="57">
        <f>Servant!$Q$18+($F23+($F23*0.5*($D23-1)))*(R$3-1)</f>
        <v>1422.32</v>
      </c>
      <c r="S23" s="57">
        <f>Servant!$Q$18+($F23+($F23*0.5*($D23-1)))*(S$3-1)</f>
        <v>1485.5520000000001</v>
      </c>
      <c r="T23" s="57">
        <f>Servant!$Q$18+($F23+($F23*0.5*($D23-1)))*(T$3-1)</f>
        <v>1548.7840000000001</v>
      </c>
      <c r="U23" s="57">
        <f>Servant!$Q$18+($F23+($F23*0.5*($D23-1)))*(U$3-1)</f>
        <v>1612.0160000000001</v>
      </c>
      <c r="V23" s="57">
        <f>Servant!$Q$18+($F23+($F23*0.5*($D23-1)))*(V$3-1)</f>
        <v>1675.248</v>
      </c>
      <c r="W23" s="57">
        <f>Servant!$Q$18+($F23+($F23*0.5*($D23-1)))*(W$3-1)</f>
        <v>1738.48</v>
      </c>
      <c r="X23" s="57">
        <f>Servant!$Q$18+($F23+($F23*0.5*($D23-1)))*(X$3-1)</f>
        <v>1801.712</v>
      </c>
      <c r="Y23" s="57">
        <f>Servant!$Q$18+($F23+($F23*0.5*($D23-1)))*(Y$3-1)</f>
        <v>1864.944</v>
      </c>
      <c r="Z23" s="57">
        <f>Servant!$Q$18+($F23+($F23*0.5*($D23-1)))*(Z$3-1)</f>
        <v>1928.1759999999999</v>
      </c>
      <c r="AA23" s="57">
        <f>Servant!$Q$18+($F23+($F23*0.5*($D23-1)))*(AA$3-1)</f>
        <v>1991.4079999999999</v>
      </c>
      <c r="AB23" s="57">
        <f>Servant!$Q$18+($F23+($F23*0.5*($D23-1)))*(AB$3-1)</f>
        <v>2054.64</v>
      </c>
      <c r="AC23" s="57">
        <f>Servant!$Q$18+($F23+($F23*0.5*($D23-1)))*(AC$3-1)</f>
        <v>2117.8720000000003</v>
      </c>
      <c r="AD23" s="57">
        <f>Servant!$Q$18+($F23+($F23*0.5*($D23-1)))*(AD$3-1)</f>
        <v>2181.1040000000003</v>
      </c>
      <c r="AE23" s="57">
        <f>Servant!$Q$18+($F23+($F23*0.5*($D23-1)))*(AE$3-1)</f>
        <v>2244.3360000000002</v>
      </c>
      <c r="AF23" s="57">
        <f>Servant!$Q$18+($F23+($F23*0.5*($D23-1)))*(AF$3-1)</f>
        <v>2307.5680000000002</v>
      </c>
      <c r="AG23" s="57">
        <f>Servant!$Q$18+($F23+($F23*0.5*($D23-1)))*(AG$3-1)</f>
        <v>2370.8000000000002</v>
      </c>
      <c r="AH23" s="57">
        <f>Servant!$Q$18+($F23+($F23*0.5*($D23-1)))*(AH$3-1)</f>
        <v>2434.0320000000002</v>
      </c>
      <c r="AI23" s="57">
        <f>Servant!$Q$18+($F23+($F23*0.5*($D23-1)))*(AI$3-1)</f>
        <v>2497.2640000000001</v>
      </c>
      <c r="AJ23" s="57">
        <f>Servant!$Q$18+($F23+($F23*0.5*($D23-1)))*(AJ$3-1)</f>
        <v>2560.4960000000001</v>
      </c>
      <c r="AK23" s="57">
        <f>Servant!$Q$18+($F23+($F23*0.5*($D23-1)))*(AK$3-1)</f>
        <v>2623.7280000000001</v>
      </c>
    </row>
    <row r="24" spans="2:37" x14ac:dyDescent="0.3">
      <c r="B24" s="287"/>
      <c r="C24" s="291"/>
      <c r="D24" s="56">
        <v>4</v>
      </c>
      <c r="E24" s="56">
        <f>ServantLevelUPdStatus!$E$18+(ServantLevelUPdStatus!$E$18*0.5*($D24-1))</f>
        <v>79.039999999999992</v>
      </c>
      <c r="F24" s="56">
        <f>F23</f>
        <v>31.616</v>
      </c>
      <c r="H24" s="57">
        <f>Servant!$Q$18+($F24+($F24*0.5*($D24-1)))*(H$3-1)</f>
        <v>790</v>
      </c>
      <c r="I24" s="57">
        <f>Servant!$Q$18+($F24+($F24*0.5*($D24-1)))*(I$3-1)</f>
        <v>869.04</v>
      </c>
      <c r="J24" s="57">
        <f>Servant!$Q$18+($F24+($F24*0.5*($D24-1)))*(J$3-1)</f>
        <v>948.07999999999993</v>
      </c>
      <c r="K24" s="57">
        <f>Servant!$Q$18+($F24+($F24*0.5*($D24-1)))*(K$3-1)</f>
        <v>1027.1199999999999</v>
      </c>
      <c r="L24" s="57">
        <f>Servant!$Q$18+($F24+($F24*0.5*($D24-1)))*(L$3-1)</f>
        <v>1106.1599999999999</v>
      </c>
      <c r="M24" s="57">
        <f>Servant!$Q$18+($F24+($F24*0.5*($D24-1)))*(M$3-1)</f>
        <v>1185.1999999999998</v>
      </c>
      <c r="N24" s="57">
        <f>Servant!$Q$18+($F24+($F24*0.5*($D24-1)))*(N$3-1)</f>
        <v>1264.24</v>
      </c>
      <c r="O24" s="57">
        <f>Servant!$Q$18+($F24+($F24*0.5*($D24-1)))*(O$3-1)</f>
        <v>1343.28</v>
      </c>
      <c r="P24" s="57">
        <f>Servant!$Q$18+($F24+($F24*0.5*($D24-1)))*(P$3-1)</f>
        <v>1422.32</v>
      </c>
      <c r="Q24" s="57">
        <f>Servant!$Q$18+($F24+($F24*0.5*($D24-1)))*(Q$3-1)</f>
        <v>1501.36</v>
      </c>
      <c r="R24" s="57">
        <f>Servant!$Q$18+($F24+($F24*0.5*($D24-1)))*(R$3-1)</f>
        <v>1580.3999999999999</v>
      </c>
      <c r="S24" s="57">
        <f>Servant!$Q$18+($F24+($F24*0.5*($D24-1)))*(S$3-1)</f>
        <v>1659.44</v>
      </c>
      <c r="T24" s="57">
        <f>Servant!$Q$18+($F24+($F24*0.5*($D24-1)))*(T$3-1)</f>
        <v>1738.48</v>
      </c>
      <c r="U24" s="57">
        <f>Servant!$Q$18+($F24+($F24*0.5*($D24-1)))*(U$3-1)</f>
        <v>1817.52</v>
      </c>
      <c r="V24" s="57">
        <f>Servant!$Q$18+($F24+($F24*0.5*($D24-1)))*(V$3-1)</f>
        <v>1896.56</v>
      </c>
      <c r="W24" s="57">
        <f>Servant!$Q$18+($F24+($F24*0.5*($D24-1)))*(W$3-1)</f>
        <v>1975.6</v>
      </c>
      <c r="X24" s="57">
        <f>Servant!$Q$18+($F24+($F24*0.5*($D24-1)))*(X$3-1)</f>
        <v>2054.64</v>
      </c>
      <c r="Y24" s="57">
        <f>Servant!$Q$18+($F24+($F24*0.5*($D24-1)))*(Y$3-1)</f>
        <v>2133.6799999999998</v>
      </c>
      <c r="Z24" s="57">
        <f>Servant!$Q$18+($F24+($F24*0.5*($D24-1)))*(Z$3-1)</f>
        <v>2212.7199999999998</v>
      </c>
      <c r="AA24" s="57">
        <f>Servant!$Q$18+($F24+($F24*0.5*($D24-1)))*(AA$3-1)</f>
        <v>2291.7599999999998</v>
      </c>
      <c r="AB24" s="57">
        <f>Servant!$Q$18+($F24+($F24*0.5*($D24-1)))*(AB$3-1)</f>
        <v>2370.7999999999997</v>
      </c>
      <c r="AC24" s="57">
        <f>Servant!$Q$18+($F24+($F24*0.5*($D24-1)))*(AC$3-1)</f>
        <v>2449.84</v>
      </c>
      <c r="AD24" s="57">
        <f>Servant!$Q$18+($F24+($F24*0.5*($D24-1)))*(AD$3-1)</f>
        <v>2528.88</v>
      </c>
      <c r="AE24" s="57">
        <f>Servant!$Q$18+($F24+($F24*0.5*($D24-1)))*(AE$3-1)</f>
        <v>2607.92</v>
      </c>
      <c r="AF24" s="57">
        <f>Servant!$Q$18+($F24+($F24*0.5*($D24-1)))*(AF$3-1)</f>
        <v>2686.96</v>
      </c>
      <c r="AG24" s="57">
        <f>Servant!$Q$18+($F24+($F24*0.5*($D24-1)))*(AG$3-1)</f>
        <v>2766</v>
      </c>
      <c r="AH24" s="57">
        <f>Servant!$Q$18+($F24+($F24*0.5*($D24-1)))*(AH$3-1)</f>
        <v>2845.04</v>
      </c>
      <c r="AI24" s="57">
        <f>Servant!$Q$18+($F24+($F24*0.5*($D24-1)))*(AI$3-1)</f>
        <v>2924.08</v>
      </c>
      <c r="AJ24" s="57">
        <f>Servant!$Q$18+($F24+($F24*0.5*($D24-1)))*(AJ$3-1)</f>
        <v>3003.12</v>
      </c>
      <c r="AK24" s="57">
        <f>Servant!$Q$18+($F24+($F24*0.5*($D24-1)))*(AK$3-1)</f>
        <v>3082.16</v>
      </c>
    </row>
    <row r="25" spans="2:37" x14ac:dyDescent="0.3">
      <c r="B25" s="287"/>
      <c r="C25" s="291"/>
      <c r="D25" s="56">
        <v>5</v>
      </c>
      <c r="E25" s="56">
        <f>ServantLevelUPdStatus!$E$18+(ServantLevelUPdStatus!$E$18*0.5*($D25-1))</f>
        <v>94.847999999999999</v>
      </c>
      <c r="F25" s="56">
        <f>F24</f>
        <v>31.616</v>
      </c>
      <c r="H25" s="57">
        <f>Servant!$Q$18+($F25+($F25*0.5*($D25-1)))*(H$3-1)</f>
        <v>790</v>
      </c>
      <c r="I25" s="57">
        <f>Servant!$Q$18+($F25+($F25*0.5*($D25-1)))*(I$3-1)</f>
        <v>884.84799999999996</v>
      </c>
      <c r="J25" s="57">
        <f>Servant!$Q$18+($F25+($F25*0.5*($D25-1)))*(J$3-1)</f>
        <v>979.69600000000003</v>
      </c>
      <c r="K25" s="57">
        <f>Servant!$Q$18+($F25+($F25*0.5*($D25-1)))*(K$3-1)</f>
        <v>1074.5439999999999</v>
      </c>
      <c r="L25" s="57">
        <f>Servant!$Q$18+($F25+($F25*0.5*($D25-1)))*(L$3-1)</f>
        <v>1169.3920000000001</v>
      </c>
      <c r="M25" s="57">
        <f>Servant!$Q$18+($F25+($F25*0.5*($D25-1)))*(M$3-1)</f>
        <v>1264.24</v>
      </c>
      <c r="N25" s="57">
        <f>Servant!$Q$18+($F25+($F25*0.5*($D25-1)))*(N$3-1)</f>
        <v>1359.088</v>
      </c>
      <c r="O25" s="57">
        <f>Servant!$Q$18+($F25+($F25*0.5*($D25-1)))*(O$3-1)</f>
        <v>1453.9360000000001</v>
      </c>
      <c r="P25" s="57">
        <f>Servant!$Q$18+($F25+($F25*0.5*($D25-1)))*(P$3-1)</f>
        <v>1548.7840000000001</v>
      </c>
      <c r="Q25" s="57">
        <f>Servant!$Q$18+($F25+($F25*0.5*($D25-1)))*(Q$3-1)</f>
        <v>1643.6320000000001</v>
      </c>
      <c r="R25" s="57">
        <f>Servant!$Q$18+($F25+($F25*0.5*($D25-1)))*(R$3-1)</f>
        <v>1738.48</v>
      </c>
      <c r="S25" s="57">
        <f>Servant!$Q$18+($F25+($F25*0.5*($D25-1)))*(S$3-1)</f>
        <v>1833.328</v>
      </c>
      <c r="T25" s="57">
        <f>Servant!$Q$18+($F25+($F25*0.5*($D25-1)))*(T$3-1)</f>
        <v>1928.1759999999999</v>
      </c>
      <c r="U25" s="57">
        <f>Servant!$Q$18+($F25+($F25*0.5*($D25-1)))*(U$3-1)</f>
        <v>2023.0239999999999</v>
      </c>
      <c r="V25" s="57">
        <f>Servant!$Q$18+($F25+($F25*0.5*($D25-1)))*(V$3-1)</f>
        <v>2117.8720000000003</v>
      </c>
      <c r="W25" s="57">
        <f>Servant!$Q$18+($F25+($F25*0.5*($D25-1)))*(W$3-1)</f>
        <v>2212.7200000000003</v>
      </c>
      <c r="X25" s="57">
        <f>Servant!$Q$18+($F25+($F25*0.5*($D25-1)))*(X$3-1)</f>
        <v>2307.5680000000002</v>
      </c>
      <c r="Y25" s="57">
        <f>Servant!$Q$18+($F25+($F25*0.5*($D25-1)))*(Y$3-1)</f>
        <v>2402.4160000000002</v>
      </c>
      <c r="Z25" s="57">
        <f>Servant!$Q$18+($F25+($F25*0.5*($D25-1)))*(Z$3-1)</f>
        <v>2497.2640000000001</v>
      </c>
      <c r="AA25" s="57">
        <f>Servant!$Q$18+($F25+($F25*0.5*($D25-1)))*(AA$3-1)</f>
        <v>2592.1120000000001</v>
      </c>
      <c r="AB25" s="57">
        <f>Servant!$Q$18+($F25+($F25*0.5*($D25-1)))*(AB$3-1)</f>
        <v>2686.96</v>
      </c>
      <c r="AC25" s="57">
        <f>Servant!$Q$18+($F25+($F25*0.5*($D25-1)))*(AC$3-1)</f>
        <v>2781.808</v>
      </c>
      <c r="AD25" s="57">
        <f>Servant!$Q$18+($F25+($F25*0.5*($D25-1)))*(AD$3-1)</f>
        <v>2876.6559999999999</v>
      </c>
      <c r="AE25" s="57">
        <f>Servant!$Q$18+($F25+($F25*0.5*($D25-1)))*(AE$3-1)</f>
        <v>2971.5039999999999</v>
      </c>
      <c r="AF25" s="57">
        <f>Servant!$Q$18+($F25+($F25*0.5*($D25-1)))*(AF$3-1)</f>
        <v>3066.3519999999999</v>
      </c>
      <c r="AG25" s="57">
        <f>Servant!$Q$18+($F25+($F25*0.5*($D25-1)))*(AG$3-1)</f>
        <v>3161.2</v>
      </c>
      <c r="AH25" s="57">
        <f>Servant!$Q$18+($F25+($F25*0.5*($D25-1)))*(AH$3-1)</f>
        <v>3256.0479999999998</v>
      </c>
      <c r="AI25" s="57">
        <f>Servant!$Q$18+($F25+($F25*0.5*($D25-1)))*(AI$3-1)</f>
        <v>3350.8960000000002</v>
      </c>
      <c r="AJ25" s="57">
        <f>Servant!$Q$18+($F25+($F25*0.5*($D25-1)))*(AJ$3-1)</f>
        <v>3445.7440000000001</v>
      </c>
      <c r="AK25" s="57">
        <f>Servant!$Q$18+($F25+($F25*0.5*($D25-1)))*(AK$3-1)</f>
        <v>3540.5920000000001</v>
      </c>
    </row>
    <row r="26" spans="2:37" x14ac:dyDescent="0.3">
      <c r="B26" s="287"/>
      <c r="C26" s="292" t="s">
        <v>242</v>
      </c>
      <c r="D26" s="58">
        <v>4</v>
      </c>
      <c r="E26" s="58">
        <f>ServantLevelUPdStatus!$E$22+(ServantLevelUPdStatus!$E$22*0.5*($D26-1))</f>
        <v>104.77000000000001</v>
      </c>
      <c r="F26" s="58">
        <f>ServantLevelUPdStatus!E$22</f>
        <v>41.908000000000001</v>
      </c>
      <c r="H26" s="59">
        <f>Servant!$Q$22+($F26+($F26*0.5*($D26-1)))*(H$3-1)</f>
        <v>990</v>
      </c>
      <c r="I26" s="59">
        <f>Servant!$Q$22+($F26+($F26*0.5*($D26-1)))*(I$3-1)</f>
        <v>1094.77</v>
      </c>
      <c r="J26" s="59">
        <f>Servant!$Q$22+($F26+($F26*0.5*($D26-1)))*(J$3-1)</f>
        <v>1199.54</v>
      </c>
      <c r="K26" s="59">
        <f>Servant!$Q$22+($F26+($F26*0.5*($D26-1)))*(K$3-1)</f>
        <v>1304.31</v>
      </c>
      <c r="L26" s="59">
        <f>Servant!$Q$22+($F26+($F26*0.5*($D26-1)))*(L$3-1)</f>
        <v>1409.08</v>
      </c>
      <c r="M26" s="59">
        <f>Servant!$Q$22+($F26+($F26*0.5*($D26-1)))*(M$3-1)</f>
        <v>1513.85</v>
      </c>
      <c r="N26" s="59">
        <f>Servant!$Q$22+($F26+($F26*0.5*($D26-1)))*(N$3-1)</f>
        <v>1618.6200000000001</v>
      </c>
      <c r="O26" s="59">
        <f>Servant!$Q$22+($F26+($F26*0.5*($D26-1)))*(O$3-1)</f>
        <v>1723.39</v>
      </c>
      <c r="P26" s="59">
        <f>Servant!$Q$22+($F26+($F26*0.5*($D26-1)))*(P$3-1)</f>
        <v>1828.16</v>
      </c>
      <c r="Q26" s="59">
        <f>Servant!$Q$22+($F26+($F26*0.5*($D26-1)))*(Q$3-1)</f>
        <v>1932.93</v>
      </c>
      <c r="R26" s="59">
        <f>Servant!$Q$22+($F26+($F26*0.5*($D26-1)))*(R$3-1)</f>
        <v>2037.7</v>
      </c>
      <c r="S26" s="59">
        <f>Servant!$Q$22+($F26+($F26*0.5*($D26-1)))*(S$3-1)</f>
        <v>2142.4700000000003</v>
      </c>
      <c r="T26" s="59">
        <f>Servant!$Q$22+($F26+($F26*0.5*($D26-1)))*(T$3-1)</f>
        <v>2247.2400000000002</v>
      </c>
      <c r="U26" s="59">
        <f>Servant!$Q$22+($F26+($F26*0.5*($D26-1)))*(U$3-1)</f>
        <v>2352.0100000000002</v>
      </c>
      <c r="V26" s="59">
        <f>Servant!$Q$22+($F26+($F26*0.5*($D26-1)))*(V$3-1)</f>
        <v>2456.7800000000002</v>
      </c>
      <c r="W26" s="59">
        <f>Servant!$Q$22+($F26+($F26*0.5*($D26-1)))*(W$3-1)</f>
        <v>2561.5500000000002</v>
      </c>
      <c r="X26" s="59">
        <f>Servant!$Q$22+($F26+($F26*0.5*($D26-1)))*(X$3-1)</f>
        <v>2666.32</v>
      </c>
      <c r="Y26" s="59">
        <f>Servant!$Q$22+($F26+($F26*0.5*($D26-1)))*(Y$3-1)</f>
        <v>2771.09</v>
      </c>
      <c r="Z26" s="59">
        <f>Servant!$Q$22+($F26+($F26*0.5*($D26-1)))*(Z$3-1)</f>
        <v>2875.86</v>
      </c>
      <c r="AA26" s="59">
        <f>Servant!$Q$22+($F26+($F26*0.5*($D26-1)))*(AA$3-1)</f>
        <v>2980.63</v>
      </c>
      <c r="AB26" s="59">
        <f>Servant!$Q$22+($F26+($F26*0.5*($D26-1)))*(AB$3-1)</f>
        <v>3085.4</v>
      </c>
      <c r="AC26" s="59">
        <f>Servant!$Q$22+($F26+($F26*0.5*($D26-1)))*(AC$3-1)</f>
        <v>3190.17</v>
      </c>
      <c r="AD26" s="59">
        <f>Servant!$Q$22+($F26+($F26*0.5*($D26-1)))*(AD$3-1)</f>
        <v>3294.94</v>
      </c>
      <c r="AE26" s="59">
        <f>Servant!$Q$22+($F26+($F26*0.5*($D26-1)))*(AE$3-1)</f>
        <v>3399.71</v>
      </c>
      <c r="AF26" s="59">
        <f>Servant!$Q$22+($F26+($F26*0.5*($D26-1)))*(AF$3-1)</f>
        <v>3504.4800000000005</v>
      </c>
      <c r="AG26" s="59">
        <f>Servant!$Q$22+($F26+($F26*0.5*($D26-1)))*(AG$3-1)</f>
        <v>3609.2500000000005</v>
      </c>
      <c r="AH26" s="59">
        <f>Servant!$Q$22+($F26+($F26*0.5*($D26-1)))*(AH$3-1)</f>
        <v>3714.0200000000004</v>
      </c>
      <c r="AI26" s="59">
        <f>Servant!$Q$22+($F26+($F26*0.5*($D26-1)))*(AI$3-1)</f>
        <v>3818.7900000000004</v>
      </c>
      <c r="AJ26" s="59">
        <f>Servant!$Q$22+($F26+($F26*0.5*($D26-1)))*(AJ$3-1)</f>
        <v>3923.5600000000004</v>
      </c>
      <c r="AK26" s="59">
        <f>Servant!$Q$22+($F26+($F26*0.5*($D26-1)))*(AK$3-1)</f>
        <v>4028.3300000000004</v>
      </c>
    </row>
    <row r="27" spans="2:37" x14ac:dyDescent="0.3">
      <c r="B27" s="287"/>
      <c r="C27" s="292"/>
      <c r="D27" s="58">
        <v>5</v>
      </c>
      <c r="E27" s="58">
        <f>ServantLevelUPdStatus!$E$22+(ServantLevelUPdStatus!$E$22*0.5*($D27-1))</f>
        <v>125.724</v>
      </c>
      <c r="F27" s="58">
        <f>F26</f>
        <v>41.908000000000001</v>
      </c>
      <c r="H27" s="59">
        <f>Servant!$Q$22+($F27+($F27*0.5*($D27-1)))*(H$3-1)</f>
        <v>990</v>
      </c>
      <c r="I27" s="59">
        <f>Servant!$Q$22+($F27+($F27*0.5*($D27-1)))*(I$3-1)</f>
        <v>1115.7239999999999</v>
      </c>
      <c r="J27" s="59">
        <f>Servant!$Q$22+($F27+($F27*0.5*($D27-1)))*(J$3-1)</f>
        <v>1241.4480000000001</v>
      </c>
      <c r="K27" s="59">
        <f>Servant!$Q$22+($F27+($F27*0.5*($D27-1)))*(K$3-1)</f>
        <v>1367.172</v>
      </c>
      <c r="L27" s="59">
        <f>Servant!$Q$22+($F27+($F27*0.5*($D27-1)))*(L$3-1)</f>
        <v>1492.896</v>
      </c>
      <c r="M27" s="59">
        <f>Servant!$Q$22+($F27+($F27*0.5*($D27-1)))*(M$3-1)</f>
        <v>1618.62</v>
      </c>
      <c r="N27" s="59">
        <f>Servant!$Q$22+($F27+($F27*0.5*($D27-1)))*(N$3-1)</f>
        <v>1744.3440000000001</v>
      </c>
      <c r="O27" s="59">
        <f>Servant!$Q$22+($F27+($F27*0.5*($D27-1)))*(O$3-1)</f>
        <v>1870.068</v>
      </c>
      <c r="P27" s="59">
        <f>Servant!$Q$22+($F27+($F27*0.5*($D27-1)))*(P$3-1)</f>
        <v>1995.7919999999999</v>
      </c>
      <c r="Q27" s="59">
        <f>Servant!$Q$22+($F27+($F27*0.5*($D27-1)))*(Q$3-1)</f>
        <v>2121.5160000000001</v>
      </c>
      <c r="R27" s="59">
        <f>Servant!$Q$22+($F27+($F27*0.5*($D27-1)))*(R$3-1)</f>
        <v>2247.2399999999998</v>
      </c>
      <c r="S27" s="59">
        <f>Servant!$Q$22+($F27+($F27*0.5*($D27-1)))*(S$3-1)</f>
        <v>2372.9639999999999</v>
      </c>
      <c r="T27" s="59">
        <f>Servant!$Q$22+($F27+($F27*0.5*($D27-1)))*(T$3-1)</f>
        <v>2498.6880000000001</v>
      </c>
      <c r="U27" s="59">
        <f>Servant!$Q$22+($F27+($F27*0.5*($D27-1)))*(U$3-1)</f>
        <v>2624.4120000000003</v>
      </c>
      <c r="V27" s="59">
        <f>Servant!$Q$22+($F27+($F27*0.5*($D27-1)))*(V$3-1)</f>
        <v>2750.136</v>
      </c>
      <c r="W27" s="59">
        <f>Servant!$Q$22+($F27+($F27*0.5*($D27-1)))*(W$3-1)</f>
        <v>2875.86</v>
      </c>
      <c r="X27" s="59">
        <f>Servant!$Q$22+($F27+($F27*0.5*($D27-1)))*(X$3-1)</f>
        <v>3001.5839999999998</v>
      </c>
      <c r="Y27" s="59">
        <f>Servant!$Q$22+($F27+($F27*0.5*($D27-1)))*(Y$3-1)</f>
        <v>3127.308</v>
      </c>
      <c r="Z27" s="59">
        <f>Servant!$Q$22+($F27+($F27*0.5*($D27-1)))*(Z$3-1)</f>
        <v>3253.0320000000002</v>
      </c>
      <c r="AA27" s="59">
        <f>Servant!$Q$22+($F27+($F27*0.5*($D27-1)))*(AA$3-1)</f>
        <v>3378.7559999999999</v>
      </c>
      <c r="AB27" s="59">
        <f>Servant!$Q$22+($F27+($F27*0.5*($D27-1)))*(AB$3-1)</f>
        <v>3504.48</v>
      </c>
      <c r="AC27" s="59">
        <f>Servant!$Q$22+($F27+($F27*0.5*($D27-1)))*(AC$3-1)</f>
        <v>3630.2040000000002</v>
      </c>
      <c r="AD27" s="59">
        <f>Servant!$Q$22+($F27+($F27*0.5*($D27-1)))*(AD$3-1)</f>
        <v>3755.9279999999999</v>
      </c>
      <c r="AE27" s="59">
        <f>Servant!$Q$22+($F27+($F27*0.5*($D27-1)))*(AE$3-1)</f>
        <v>3881.652</v>
      </c>
      <c r="AF27" s="59">
        <f>Servant!$Q$22+($F27+($F27*0.5*($D27-1)))*(AF$3-1)</f>
        <v>4007.3760000000002</v>
      </c>
      <c r="AG27" s="59">
        <f>Servant!$Q$22+($F27+($F27*0.5*($D27-1)))*(AG$3-1)</f>
        <v>4133.1000000000004</v>
      </c>
      <c r="AH27" s="59">
        <f>Servant!$Q$22+($F27+($F27*0.5*($D27-1)))*(AH$3-1)</f>
        <v>4258.8240000000005</v>
      </c>
      <c r="AI27" s="59">
        <f>Servant!$Q$22+($F27+($F27*0.5*($D27-1)))*(AI$3-1)</f>
        <v>4384.5480000000007</v>
      </c>
      <c r="AJ27" s="59">
        <f>Servant!$Q$22+($F27+($F27*0.5*($D27-1)))*(AJ$3-1)</f>
        <v>4510.2719999999999</v>
      </c>
      <c r="AK27" s="59">
        <f>Servant!$Q$22+($F27+($F27*0.5*($D27-1)))*(AK$3-1)</f>
        <v>4635.9960000000001</v>
      </c>
    </row>
    <row r="28" spans="2:37" x14ac:dyDescent="0.3">
      <c r="B28" s="287"/>
      <c r="C28" s="292"/>
      <c r="D28" s="58">
        <v>6</v>
      </c>
      <c r="E28" s="58">
        <f>ServantLevelUPdStatus!$E$22+(ServantLevelUPdStatus!$E$22*0.5*($D28-1))</f>
        <v>146.678</v>
      </c>
      <c r="F28" s="58">
        <f>F27</f>
        <v>41.908000000000001</v>
      </c>
      <c r="H28" s="59">
        <f>Servant!$Q$22+($F28+($F28*0.5*($D28-1)))*(H$3-1)</f>
        <v>990</v>
      </c>
      <c r="I28" s="59">
        <f>Servant!$Q$22+($F28+($F28*0.5*($D28-1)))*(I$3-1)</f>
        <v>1136.6779999999999</v>
      </c>
      <c r="J28" s="59">
        <f>Servant!$Q$22+($F28+($F28*0.5*($D28-1)))*(J$3-1)</f>
        <v>1283.356</v>
      </c>
      <c r="K28" s="59">
        <f>Servant!$Q$22+($F28+($F28*0.5*($D28-1)))*(K$3-1)</f>
        <v>1430.0340000000001</v>
      </c>
      <c r="L28" s="59">
        <f>Servant!$Q$22+($F28+($F28*0.5*($D28-1)))*(L$3-1)</f>
        <v>1576.712</v>
      </c>
      <c r="M28" s="59">
        <f>Servant!$Q$22+($F28+($F28*0.5*($D28-1)))*(M$3-1)</f>
        <v>1723.3899999999999</v>
      </c>
      <c r="N28" s="59">
        <f>Servant!$Q$22+($F28+($F28*0.5*($D28-1)))*(N$3-1)</f>
        <v>1870.068</v>
      </c>
      <c r="O28" s="59">
        <f>Servant!$Q$22+($F28+($F28*0.5*($D28-1)))*(O$3-1)</f>
        <v>2016.7460000000001</v>
      </c>
      <c r="P28" s="59">
        <f>Servant!$Q$22+($F28+($F28*0.5*($D28-1)))*(P$3-1)</f>
        <v>2163.424</v>
      </c>
      <c r="Q28" s="59">
        <f>Servant!$Q$22+($F28+($F28*0.5*($D28-1)))*(Q$3-1)</f>
        <v>2310.1019999999999</v>
      </c>
      <c r="R28" s="59">
        <f>Servant!$Q$22+($F28+($F28*0.5*($D28-1)))*(R$3-1)</f>
        <v>2456.7799999999997</v>
      </c>
      <c r="S28" s="59">
        <f>Servant!$Q$22+($F28+($F28*0.5*($D28-1)))*(S$3-1)</f>
        <v>2603.4580000000001</v>
      </c>
      <c r="T28" s="59">
        <f>Servant!$Q$22+($F28+($F28*0.5*($D28-1)))*(T$3-1)</f>
        <v>2750.136</v>
      </c>
      <c r="U28" s="59">
        <f>Servant!$Q$22+($F28+($F28*0.5*($D28-1)))*(U$3-1)</f>
        <v>2896.8139999999999</v>
      </c>
      <c r="V28" s="59">
        <f>Servant!$Q$22+($F28+($F28*0.5*($D28-1)))*(V$3-1)</f>
        <v>3043.4920000000002</v>
      </c>
      <c r="W28" s="59">
        <f>Servant!$Q$22+($F28+($F28*0.5*($D28-1)))*(W$3-1)</f>
        <v>3190.17</v>
      </c>
      <c r="X28" s="59">
        <f>Servant!$Q$22+($F28+($F28*0.5*($D28-1)))*(X$3-1)</f>
        <v>3336.848</v>
      </c>
      <c r="Y28" s="59">
        <f>Servant!$Q$22+($F28+($F28*0.5*($D28-1)))*(Y$3-1)</f>
        <v>3483.5259999999998</v>
      </c>
      <c r="Z28" s="59">
        <f>Servant!$Q$22+($F28+($F28*0.5*($D28-1)))*(Z$3-1)</f>
        <v>3630.2039999999997</v>
      </c>
      <c r="AA28" s="59">
        <f>Servant!$Q$22+($F28+($F28*0.5*($D28-1)))*(AA$3-1)</f>
        <v>3776.8820000000001</v>
      </c>
      <c r="AB28" s="59">
        <f>Servant!$Q$22+($F28+($F28*0.5*($D28-1)))*(AB$3-1)</f>
        <v>3923.56</v>
      </c>
      <c r="AC28" s="59">
        <f>Servant!$Q$22+($F28+($F28*0.5*($D28-1)))*(AC$3-1)</f>
        <v>4070.2379999999998</v>
      </c>
      <c r="AD28" s="59">
        <f>Servant!$Q$22+($F28+($F28*0.5*($D28-1)))*(AD$3-1)</f>
        <v>4216.9160000000002</v>
      </c>
      <c r="AE28" s="59">
        <f>Servant!$Q$22+($F28+($F28*0.5*($D28-1)))*(AE$3-1)</f>
        <v>4363.5940000000001</v>
      </c>
      <c r="AF28" s="59">
        <f>Servant!$Q$22+($F28+($F28*0.5*($D28-1)))*(AF$3-1)</f>
        <v>4510.2719999999999</v>
      </c>
      <c r="AG28" s="59">
        <f>Servant!$Q$22+($F28+($F28*0.5*($D28-1)))*(AG$3-1)</f>
        <v>4656.95</v>
      </c>
      <c r="AH28" s="59">
        <f>Servant!$Q$22+($F28+($F28*0.5*($D28-1)))*(AH$3-1)</f>
        <v>4803.6279999999997</v>
      </c>
      <c r="AI28" s="59">
        <f>Servant!$Q$22+($F28+($F28*0.5*($D28-1)))*(AI$3-1)</f>
        <v>4950.3060000000005</v>
      </c>
      <c r="AJ28" s="59">
        <f>Servant!$Q$22+($F28+($F28*0.5*($D28-1)))*(AJ$3-1)</f>
        <v>5096.9840000000004</v>
      </c>
      <c r="AK28" s="59">
        <f>Servant!$Q$22+($F28+($F28*0.5*($D28-1)))*(AK$3-1)</f>
        <v>5243.6620000000003</v>
      </c>
    </row>
    <row r="30" spans="2:37" x14ac:dyDescent="0.3">
      <c r="B30" s="286" t="s">
        <v>247</v>
      </c>
      <c r="C30" s="289" t="s">
        <v>217</v>
      </c>
      <c r="D30" s="54">
        <v>1</v>
      </c>
      <c r="E30" s="54">
        <f>ServantLevelUPdStatus!$G$6+(ServantLevelUPdStatus!$G$6*0.5*($D30-1))</f>
        <v>85.64</v>
      </c>
      <c r="F30" s="54">
        <f>ServantLevelUPdStatus!G$6</f>
        <v>85.64</v>
      </c>
      <c r="H30" s="55">
        <f>Servant!$S$6+($F30+($F30*0.5*($D30-1)))*(H$3-1)</f>
        <v>166</v>
      </c>
      <c r="I30" s="55">
        <f>Servant!$S$6+($F30+($F30*0.5*($D30-1)))*(I$3-1)</f>
        <v>251.64</v>
      </c>
      <c r="J30" s="55">
        <f>Servant!$S$6+($F30+($F30*0.5*($D30-1)))*(J$3-1)</f>
        <v>337.28</v>
      </c>
      <c r="K30" s="55">
        <f>Servant!$S$6+($F30+($F30*0.5*($D30-1)))*(K$3-1)</f>
        <v>422.92</v>
      </c>
      <c r="L30" s="55">
        <f>Servant!$S$6+($F30+($F30*0.5*($D30-1)))*(L$3-1)</f>
        <v>508.56</v>
      </c>
      <c r="M30" s="55">
        <f>Servant!$S$6+($F30+($F30*0.5*($D30-1)))*(M$3-1)</f>
        <v>594.20000000000005</v>
      </c>
      <c r="N30" s="55">
        <f>Servant!$S$6+($F30+($F30*0.5*($D30-1)))*(N$3-1)</f>
        <v>679.84</v>
      </c>
      <c r="O30" s="55">
        <f>Servant!$S$6+($F30+($F30*0.5*($D30-1)))*(O$3-1)</f>
        <v>765.48</v>
      </c>
      <c r="P30" s="55">
        <f>Servant!$S$6+($F30+($F30*0.5*($D30-1)))*(P$3-1)</f>
        <v>851.12</v>
      </c>
      <c r="Q30" s="55">
        <f>Servant!$S$6+($F30+($F30*0.5*($D30-1)))*(Q$3-1)</f>
        <v>936.76</v>
      </c>
      <c r="R30" s="55">
        <f>Servant!$S$6+($F30+($F30*0.5*($D30-1)))*(R$3-1)</f>
        <v>1022.4</v>
      </c>
      <c r="S30" s="55">
        <f>Servant!$S$6+($F30+($F30*0.5*($D30-1)))*(S$3-1)</f>
        <v>1108.04</v>
      </c>
      <c r="T30" s="55">
        <f>Servant!$S$6+($F30+($F30*0.5*($D30-1)))*(T$3-1)</f>
        <v>1193.68</v>
      </c>
      <c r="U30" s="55">
        <f>Servant!$S$6+($F30+($F30*0.5*($D30-1)))*(U$3-1)</f>
        <v>1279.32</v>
      </c>
      <c r="V30" s="55">
        <f>Servant!$S$6+($F30+($F30*0.5*($D30-1)))*(V$3-1)</f>
        <v>1364.96</v>
      </c>
      <c r="W30" s="55">
        <f>Servant!$S$6+($F30+($F30*0.5*($D30-1)))*(W$3-1)</f>
        <v>1450.6</v>
      </c>
      <c r="X30" s="55">
        <f>Servant!$S$6+($F30+($F30*0.5*($D30-1)))*(X$3-1)</f>
        <v>1536.24</v>
      </c>
      <c r="Y30" s="55">
        <f>Servant!$S$6+($F30+($F30*0.5*($D30-1)))*(Y$3-1)</f>
        <v>1621.88</v>
      </c>
      <c r="Z30" s="55">
        <f>Servant!$S$6+($F30+($F30*0.5*($D30-1)))*(Z$3-1)</f>
        <v>1707.52</v>
      </c>
      <c r="AA30" s="55">
        <f>Servant!$S$6+($F30+($F30*0.5*($D30-1)))*(AA$3-1)</f>
        <v>1793.16</v>
      </c>
      <c r="AB30" s="55">
        <f>Servant!$S$6+($F30+($F30*0.5*($D30-1)))*(AB$3-1)</f>
        <v>1878.8</v>
      </c>
      <c r="AC30" s="55">
        <f>Servant!$S$6+($F30+($F30*0.5*($D30-1)))*(AC$3-1)</f>
        <v>1964.44</v>
      </c>
      <c r="AD30" s="55">
        <f>Servant!$S$6+($F30+($F30*0.5*($D30-1)))*(AD$3-1)</f>
        <v>2050.08</v>
      </c>
      <c r="AE30" s="55">
        <f>Servant!$S$6+($F30+($F30*0.5*($D30-1)))*(AE$3-1)</f>
        <v>2135.7200000000003</v>
      </c>
      <c r="AF30" s="55">
        <f>Servant!$S$6+($F30+($F30*0.5*($D30-1)))*(AF$3-1)</f>
        <v>2221.36</v>
      </c>
      <c r="AG30" s="55">
        <f>Servant!$S$6+($F30+($F30*0.5*($D30-1)))*(AG$3-1)</f>
        <v>2307</v>
      </c>
      <c r="AH30" s="55">
        <f>Servant!$S$6+($F30+($F30*0.5*($D30-1)))*(AH$3-1)</f>
        <v>2392.64</v>
      </c>
      <c r="AI30" s="55">
        <f>Servant!$S$6+($F30+($F30*0.5*($D30-1)))*(AI$3-1)</f>
        <v>2478.2800000000002</v>
      </c>
      <c r="AJ30" s="55">
        <f>Servant!$S$6+($F30+($F30*0.5*($D30-1)))*(AJ$3-1)</f>
        <v>2563.92</v>
      </c>
      <c r="AK30" s="55">
        <f>Servant!$S$6+($F30+($F30*0.5*($D30-1)))*(AK$3-1)</f>
        <v>2649.56</v>
      </c>
    </row>
    <row r="31" spans="2:37" x14ac:dyDescent="0.3">
      <c r="B31" s="287"/>
      <c r="C31" s="289"/>
      <c r="D31" s="54">
        <v>2</v>
      </c>
      <c r="E31" s="54">
        <f>ServantLevelUPdStatus!$G$6+(ServantLevelUPdStatus!$G$6*0.5*($D31-1))</f>
        <v>128.46</v>
      </c>
      <c r="F31" s="54">
        <f>F30</f>
        <v>85.64</v>
      </c>
      <c r="H31" s="55">
        <f>Servant!$S$6+($F31+($F31*0.5*($D31-1)))*(H$3-1)</f>
        <v>166</v>
      </c>
      <c r="I31" s="55">
        <f>Servant!$S$6+($F31+($F31*0.5*($D31-1)))*(I$3-1)</f>
        <v>294.46000000000004</v>
      </c>
      <c r="J31" s="55">
        <f>Servant!$S$6+($F31+($F31*0.5*($D31-1)))*(J$3-1)</f>
        <v>422.92</v>
      </c>
      <c r="K31" s="55">
        <f>Servant!$S$6+($F31+($F31*0.5*($D31-1)))*(K$3-1)</f>
        <v>551.38</v>
      </c>
      <c r="L31" s="55">
        <f>Servant!$S$6+($F31+($F31*0.5*($D31-1)))*(L$3-1)</f>
        <v>679.84</v>
      </c>
      <c r="M31" s="55">
        <f>Servant!$S$6+($F31+($F31*0.5*($D31-1)))*(M$3-1)</f>
        <v>808.30000000000007</v>
      </c>
      <c r="N31" s="55">
        <f>Servant!$S$6+($F31+($F31*0.5*($D31-1)))*(N$3-1)</f>
        <v>936.76</v>
      </c>
      <c r="O31" s="55">
        <f>Servant!$S$6+($F31+($F31*0.5*($D31-1)))*(O$3-1)</f>
        <v>1065.22</v>
      </c>
      <c r="P31" s="55">
        <f>Servant!$S$6+($F31+($F31*0.5*($D31-1)))*(P$3-1)</f>
        <v>1193.68</v>
      </c>
      <c r="Q31" s="55">
        <f>Servant!$S$6+($F31+($F31*0.5*($D31-1)))*(Q$3-1)</f>
        <v>1322.14</v>
      </c>
      <c r="R31" s="55">
        <f>Servant!$S$6+($F31+($F31*0.5*($D31-1)))*(R$3-1)</f>
        <v>1450.6000000000001</v>
      </c>
      <c r="S31" s="55">
        <f>Servant!$S$6+($F31+($F31*0.5*($D31-1)))*(S$3-1)</f>
        <v>1579.0600000000002</v>
      </c>
      <c r="T31" s="55">
        <f>Servant!$S$6+($F31+($F31*0.5*($D31-1)))*(T$3-1)</f>
        <v>1707.52</v>
      </c>
      <c r="U31" s="55">
        <f>Servant!$S$6+($F31+($F31*0.5*($D31-1)))*(U$3-1)</f>
        <v>1835.98</v>
      </c>
      <c r="V31" s="55">
        <f>Servant!$S$6+($F31+($F31*0.5*($D31-1)))*(V$3-1)</f>
        <v>1964.44</v>
      </c>
      <c r="W31" s="55">
        <f>Servant!$S$6+($F31+($F31*0.5*($D31-1)))*(W$3-1)</f>
        <v>2092.9</v>
      </c>
      <c r="X31" s="55">
        <f>Servant!$S$6+($F31+($F31*0.5*($D31-1)))*(X$3-1)</f>
        <v>2221.36</v>
      </c>
      <c r="Y31" s="55">
        <f>Servant!$S$6+($F31+($F31*0.5*($D31-1)))*(Y$3-1)</f>
        <v>2349.8200000000002</v>
      </c>
      <c r="Z31" s="55">
        <f>Servant!$S$6+($F31+($F31*0.5*($D31-1)))*(Z$3-1)</f>
        <v>2478.2800000000002</v>
      </c>
      <c r="AA31" s="55">
        <f>Servant!$S$6+($F31+($F31*0.5*($D31-1)))*(AA$3-1)</f>
        <v>2606.7400000000002</v>
      </c>
      <c r="AB31" s="55">
        <f>Servant!$S$6+($F31+($F31*0.5*($D31-1)))*(AB$3-1)</f>
        <v>2735.2000000000003</v>
      </c>
      <c r="AC31" s="55">
        <f>Servant!$S$6+($F31+($F31*0.5*($D31-1)))*(AC$3-1)</f>
        <v>2863.6600000000003</v>
      </c>
      <c r="AD31" s="55">
        <f>Servant!$S$6+($F31+($F31*0.5*($D31-1)))*(AD$3-1)</f>
        <v>2992.1200000000003</v>
      </c>
      <c r="AE31" s="55">
        <f>Servant!$S$6+($F31+($F31*0.5*($D31-1)))*(AE$3-1)</f>
        <v>3120.5800000000004</v>
      </c>
      <c r="AF31" s="55">
        <f>Servant!$S$6+($F31+($F31*0.5*($D31-1)))*(AF$3-1)</f>
        <v>3249.04</v>
      </c>
      <c r="AG31" s="55">
        <f>Servant!$S$6+($F31+($F31*0.5*($D31-1)))*(AG$3-1)</f>
        <v>3377.5</v>
      </c>
      <c r="AH31" s="55">
        <f>Servant!$S$6+($F31+($F31*0.5*($D31-1)))*(AH$3-1)</f>
        <v>3505.96</v>
      </c>
      <c r="AI31" s="55">
        <f>Servant!$S$6+($F31+($F31*0.5*($D31-1)))*(AI$3-1)</f>
        <v>3634.42</v>
      </c>
      <c r="AJ31" s="55">
        <f>Servant!$S$6+($F31+($F31*0.5*($D31-1)))*(AJ$3-1)</f>
        <v>3762.88</v>
      </c>
      <c r="AK31" s="55">
        <f>Servant!$S$6+($F31+($F31*0.5*($D31-1)))*(AK$3-1)</f>
        <v>3891.34</v>
      </c>
    </row>
    <row r="32" spans="2:37" x14ac:dyDescent="0.3">
      <c r="B32" s="287"/>
      <c r="C32" s="289"/>
      <c r="D32" s="54">
        <v>3</v>
      </c>
      <c r="E32" s="54">
        <f>ServantLevelUPdStatus!$G$6+(ServantLevelUPdStatus!$G$6*0.5*($D32-1))</f>
        <v>171.28</v>
      </c>
      <c r="F32" s="54">
        <f>F31</f>
        <v>85.64</v>
      </c>
      <c r="H32" s="55">
        <f>Servant!$S$6+($F32+($F32*0.5*($D32-1)))*(H$3-1)</f>
        <v>166</v>
      </c>
      <c r="I32" s="55">
        <f>Servant!$S$6+($F32+($F32*0.5*($D32-1)))*(I$3-1)</f>
        <v>337.28</v>
      </c>
      <c r="J32" s="55">
        <f>Servant!$S$6+($F32+($F32*0.5*($D32-1)))*(J$3-1)</f>
        <v>508.56</v>
      </c>
      <c r="K32" s="55">
        <f>Servant!$S$6+($F32+($F32*0.5*($D32-1)))*(K$3-1)</f>
        <v>679.84</v>
      </c>
      <c r="L32" s="55">
        <f>Servant!$S$6+($F32+($F32*0.5*($D32-1)))*(L$3-1)</f>
        <v>851.12</v>
      </c>
      <c r="M32" s="55">
        <f>Servant!$S$6+($F32+($F32*0.5*($D32-1)))*(M$3-1)</f>
        <v>1022.4</v>
      </c>
      <c r="N32" s="55">
        <f>Servant!$S$6+($F32+($F32*0.5*($D32-1)))*(N$3-1)</f>
        <v>1193.68</v>
      </c>
      <c r="O32" s="55">
        <f>Servant!$S$6+($F32+($F32*0.5*($D32-1)))*(O$3-1)</f>
        <v>1364.96</v>
      </c>
      <c r="P32" s="55">
        <f>Servant!$S$6+($F32+($F32*0.5*($D32-1)))*(P$3-1)</f>
        <v>1536.24</v>
      </c>
      <c r="Q32" s="55">
        <f>Servant!$S$6+($F32+($F32*0.5*($D32-1)))*(Q$3-1)</f>
        <v>1707.52</v>
      </c>
      <c r="R32" s="55">
        <f>Servant!$S$6+($F32+($F32*0.5*($D32-1)))*(R$3-1)</f>
        <v>1878.8</v>
      </c>
      <c r="S32" s="55">
        <f>Servant!$S$6+($F32+($F32*0.5*($D32-1)))*(S$3-1)</f>
        <v>2050.08</v>
      </c>
      <c r="T32" s="55">
        <f>Servant!$S$6+($F32+($F32*0.5*($D32-1)))*(T$3-1)</f>
        <v>2221.36</v>
      </c>
      <c r="U32" s="55">
        <f>Servant!$S$6+($F32+($F32*0.5*($D32-1)))*(U$3-1)</f>
        <v>2392.64</v>
      </c>
      <c r="V32" s="55">
        <f>Servant!$S$6+($F32+($F32*0.5*($D32-1)))*(V$3-1)</f>
        <v>2563.92</v>
      </c>
      <c r="W32" s="55">
        <f>Servant!$S$6+($F32+($F32*0.5*($D32-1)))*(W$3-1)</f>
        <v>2735.2</v>
      </c>
      <c r="X32" s="55">
        <f>Servant!$S$6+($F32+($F32*0.5*($D32-1)))*(X$3-1)</f>
        <v>2906.48</v>
      </c>
      <c r="Y32" s="55">
        <f>Servant!$S$6+($F32+($F32*0.5*($D32-1)))*(Y$3-1)</f>
        <v>3077.76</v>
      </c>
      <c r="Z32" s="55">
        <f>Servant!$S$6+($F32+($F32*0.5*($D32-1)))*(Z$3-1)</f>
        <v>3249.04</v>
      </c>
      <c r="AA32" s="55">
        <f>Servant!$S$6+($F32+($F32*0.5*($D32-1)))*(AA$3-1)</f>
        <v>3420.32</v>
      </c>
      <c r="AB32" s="55">
        <f>Servant!$S$6+($F32+($F32*0.5*($D32-1)))*(AB$3-1)</f>
        <v>3591.6</v>
      </c>
      <c r="AC32" s="55">
        <f>Servant!$S$6+($F32+($F32*0.5*($D32-1)))*(AC$3-1)</f>
        <v>3762.88</v>
      </c>
      <c r="AD32" s="55">
        <f>Servant!$S$6+($F32+($F32*0.5*($D32-1)))*(AD$3-1)</f>
        <v>3934.16</v>
      </c>
      <c r="AE32" s="55">
        <f>Servant!$S$6+($F32+($F32*0.5*($D32-1)))*(AE$3-1)</f>
        <v>4105.4400000000005</v>
      </c>
      <c r="AF32" s="55">
        <f>Servant!$S$6+($F32+($F32*0.5*($D32-1)))*(AF$3-1)</f>
        <v>4276.72</v>
      </c>
      <c r="AG32" s="55">
        <f>Servant!$S$6+($F32+($F32*0.5*($D32-1)))*(AG$3-1)</f>
        <v>4448</v>
      </c>
      <c r="AH32" s="55">
        <f>Servant!$S$6+($F32+($F32*0.5*($D32-1)))*(AH$3-1)</f>
        <v>4619.28</v>
      </c>
      <c r="AI32" s="55">
        <f>Servant!$S$6+($F32+($F32*0.5*($D32-1)))*(AI$3-1)</f>
        <v>4790.5600000000004</v>
      </c>
      <c r="AJ32" s="55">
        <f>Servant!$S$6+($F32+($F32*0.5*($D32-1)))*(AJ$3-1)</f>
        <v>4961.84</v>
      </c>
      <c r="AK32" s="55">
        <f>Servant!$S$6+($F32+($F32*0.5*($D32-1)))*(AK$3-1)</f>
        <v>5133.12</v>
      </c>
    </row>
    <row r="33" spans="2:37" x14ac:dyDescent="0.3">
      <c r="B33" s="288"/>
      <c r="C33" s="298" t="s">
        <v>275</v>
      </c>
      <c r="D33" s="104">
        <v>1</v>
      </c>
      <c r="E33" s="104">
        <f>ServantLevelUPdStatus!$G$7+(ServantLevelUPdStatus!$G$7*0.5*($D33-1))</f>
        <v>97.629599999999996</v>
      </c>
      <c r="F33" s="108">
        <f>ServantLevelUPdStatus!G$7</f>
        <v>97.629599999999996</v>
      </c>
      <c r="H33" s="55">
        <f>Servant!$S$7+($F33+($F33*0.5*($D33-1)))*(H$3-1)</f>
        <v>189</v>
      </c>
      <c r="I33" s="55">
        <f>Servant!$S$7+($F33+($F33*0.5*($D33-1)))*(I$3-1)</f>
        <v>286.62959999999998</v>
      </c>
      <c r="J33" s="55">
        <f>Servant!$S$7+($F33+($F33*0.5*($D33-1)))*(J$3-1)</f>
        <v>384.25919999999996</v>
      </c>
      <c r="K33" s="55">
        <f>Servant!$S$7+($F33+($F33*0.5*($D33-1)))*(K$3-1)</f>
        <v>481.8888</v>
      </c>
      <c r="L33" s="55">
        <f>Servant!$S$7+($F33+($F33*0.5*($D33-1)))*(L$3-1)</f>
        <v>579.51839999999993</v>
      </c>
      <c r="M33" s="55">
        <f>Servant!$S$7+($F33+($F33*0.5*($D33-1)))*(M$3-1)</f>
        <v>677.14799999999991</v>
      </c>
      <c r="N33" s="55">
        <f>Servant!$S$7+($F33+($F33*0.5*($D33-1)))*(N$3-1)</f>
        <v>774.77760000000001</v>
      </c>
      <c r="O33" s="55">
        <f>Servant!$S$7+($F33+($F33*0.5*($D33-1)))*(O$3-1)</f>
        <v>872.40719999999999</v>
      </c>
      <c r="P33" s="55">
        <f>Servant!$S$7+($F33+($F33*0.5*($D33-1)))*(P$3-1)</f>
        <v>970.03679999999997</v>
      </c>
      <c r="Q33" s="55">
        <f>Servant!$S$7+($F33+($F33*0.5*($D33-1)))*(Q$3-1)</f>
        <v>1067.6664000000001</v>
      </c>
      <c r="R33" s="55">
        <f>Servant!$S$7+($F33+($F33*0.5*($D33-1)))*(R$3-1)</f>
        <v>1165.2959999999998</v>
      </c>
      <c r="S33" s="55">
        <f>Servant!$S$7+($F33+($F33*0.5*($D33-1)))*(S$3-1)</f>
        <v>1262.9256</v>
      </c>
      <c r="T33" s="55">
        <f>Servant!$S$7+($F33+($F33*0.5*($D33-1)))*(T$3-1)</f>
        <v>1360.5552</v>
      </c>
      <c r="U33" s="55">
        <f>Servant!$S$7+($F33+($F33*0.5*($D33-1)))*(U$3-1)</f>
        <v>1458.1848</v>
      </c>
      <c r="V33" s="55">
        <f>Servant!$S$7+($F33+($F33*0.5*($D33-1)))*(V$3-1)</f>
        <v>1555.8144</v>
      </c>
      <c r="W33" s="55">
        <f>Servant!$S$7+($F33+($F33*0.5*($D33-1)))*(W$3-1)</f>
        <v>1653.444</v>
      </c>
      <c r="X33" s="55">
        <f>Servant!$S$7+($F33+($F33*0.5*($D33-1)))*(X$3-1)</f>
        <v>1751.0735999999999</v>
      </c>
      <c r="Y33" s="55">
        <f>Servant!$S$7+($F33+($F33*0.5*($D33-1)))*(Y$3-1)</f>
        <v>1848.7031999999999</v>
      </c>
      <c r="Z33" s="55">
        <f>Servant!$S$7+($F33+($F33*0.5*($D33-1)))*(Z$3-1)</f>
        <v>1946.3327999999999</v>
      </c>
      <c r="AA33" s="55">
        <f>Servant!$S$7+($F33+($F33*0.5*($D33-1)))*(AA$3-1)</f>
        <v>2043.9623999999999</v>
      </c>
      <c r="AB33" s="55">
        <f>Servant!$S$7+($F33+($F33*0.5*($D33-1)))*(AB$3-1)</f>
        <v>2141.5919999999996</v>
      </c>
      <c r="AC33" s="55">
        <f>Servant!$S$7+($F33+($F33*0.5*($D33-1)))*(AC$3-1)</f>
        <v>2239.2215999999999</v>
      </c>
      <c r="AD33" s="55">
        <f>Servant!$S$7+($F33+($F33*0.5*($D33-1)))*(AD$3-1)</f>
        <v>2336.8512000000001</v>
      </c>
      <c r="AE33" s="55">
        <f>Servant!$S$7+($F33+($F33*0.5*($D33-1)))*(AE$3-1)</f>
        <v>2434.4807999999998</v>
      </c>
      <c r="AF33" s="55">
        <f>Servant!$S$7+($F33+($F33*0.5*($D33-1)))*(AF$3-1)</f>
        <v>2532.1104</v>
      </c>
      <c r="AG33" s="55">
        <f>Servant!$S$7+($F33+($F33*0.5*($D33-1)))*(AG$3-1)</f>
        <v>2629.74</v>
      </c>
      <c r="AH33" s="55">
        <f>Servant!$S$7+($F33+($F33*0.5*($D33-1)))*(AH$3-1)</f>
        <v>2727.3696</v>
      </c>
      <c r="AI33" s="55">
        <f>Servant!$S$7+($F33+($F33*0.5*($D33-1)))*(AI$3-1)</f>
        <v>2824.9991999999997</v>
      </c>
      <c r="AJ33" s="55">
        <f>Servant!$S$7+($F33+($F33*0.5*($D33-1)))*(AJ$3-1)</f>
        <v>2922.6288</v>
      </c>
      <c r="AK33" s="55">
        <f>Servant!$S$7+($F33+($F33*0.5*($D33-1)))*(AK$3-1)</f>
        <v>3020.2583999999997</v>
      </c>
    </row>
    <row r="34" spans="2:37" x14ac:dyDescent="0.3">
      <c r="B34" s="288"/>
      <c r="C34" s="299"/>
      <c r="D34" s="104">
        <v>2</v>
      </c>
      <c r="E34" s="104">
        <f>ServantLevelUPdStatus!$G$7+(ServantLevelUPdStatus!$G$7*0.5*($D34-1))</f>
        <v>146.4444</v>
      </c>
      <c r="F34" s="104">
        <f>F33</f>
        <v>97.629599999999996</v>
      </c>
      <c r="H34" s="55">
        <f>Servant!$S$7+($F34+($F34*0.5*($D34-1)))*(H$3-1)</f>
        <v>189</v>
      </c>
      <c r="I34" s="55">
        <f>Servant!$S$7+($F34+($F34*0.5*($D34-1)))*(I$3-1)</f>
        <v>335.44439999999997</v>
      </c>
      <c r="J34" s="55">
        <f>Servant!$S$7+($F34+($F34*0.5*($D34-1)))*(J$3-1)</f>
        <v>481.8888</v>
      </c>
      <c r="K34" s="55">
        <f>Servant!$S$7+($F34+($F34*0.5*($D34-1)))*(K$3-1)</f>
        <v>628.33320000000003</v>
      </c>
      <c r="L34" s="55">
        <f>Servant!$S$7+($F34+($F34*0.5*($D34-1)))*(L$3-1)</f>
        <v>774.77760000000001</v>
      </c>
      <c r="M34" s="55">
        <f>Servant!$S$7+($F34+($F34*0.5*($D34-1)))*(M$3-1)</f>
        <v>921.22199999999998</v>
      </c>
      <c r="N34" s="55">
        <f>Servant!$S$7+($F34+($F34*0.5*($D34-1)))*(N$3-1)</f>
        <v>1067.6664000000001</v>
      </c>
      <c r="O34" s="55">
        <f>Servant!$S$7+($F34+($F34*0.5*($D34-1)))*(O$3-1)</f>
        <v>1214.1107999999999</v>
      </c>
      <c r="P34" s="55">
        <f>Servant!$S$7+($F34+($F34*0.5*($D34-1)))*(P$3-1)</f>
        <v>1360.5552</v>
      </c>
      <c r="Q34" s="55">
        <f>Servant!$S$7+($F34+($F34*0.5*($D34-1)))*(Q$3-1)</f>
        <v>1506.9996000000001</v>
      </c>
      <c r="R34" s="55">
        <f>Servant!$S$7+($F34+($F34*0.5*($D34-1)))*(R$3-1)</f>
        <v>1653.444</v>
      </c>
      <c r="S34" s="55">
        <f>Servant!$S$7+($F34+($F34*0.5*($D34-1)))*(S$3-1)</f>
        <v>1799.8884</v>
      </c>
      <c r="T34" s="55">
        <f>Servant!$S$7+($F34+($F34*0.5*($D34-1)))*(T$3-1)</f>
        <v>1946.3328000000001</v>
      </c>
      <c r="U34" s="55">
        <f>Servant!$S$7+($F34+($F34*0.5*($D34-1)))*(U$3-1)</f>
        <v>2092.7772</v>
      </c>
      <c r="V34" s="55">
        <f>Servant!$S$7+($F34+($F34*0.5*($D34-1)))*(V$3-1)</f>
        <v>2239.2215999999999</v>
      </c>
      <c r="W34" s="55">
        <f>Servant!$S$7+($F34+($F34*0.5*($D34-1)))*(W$3-1)</f>
        <v>2385.6660000000002</v>
      </c>
      <c r="X34" s="55">
        <f>Servant!$S$7+($F34+($F34*0.5*($D34-1)))*(X$3-1)</f>
        <v>2532.1104</v>
      </c>
      <c r="Y34" s="55">
        <f>Servant!$S$7+($F34+($F34*0.5*($D34-1)))*(Y$3-1)</f>
        <v>2678.5547999999999</v>
      </c>
      <c r="Z34" s="55">
        <f>Servant!$S$7+($F34+($F34*0.5*($D34-1)))*(Z$3-1)</f>
        <v>2824.9992000000002</v>
      </c>
      <c r="AA34" s="55">
        <f>Servant!$S$7+($F34+($F34*0.5*($D34-1)))*(AA$3-1)</f>
        <v>2971.4436000000001</v>
      </c>
      <c r="AB34" s="55">
        <f>Servant!$S$7+($F34+($F34*0.5*($D34-1)))*(AB$3-1)</f>
        <v>3117.8879999999999</v>
      </c>
      <c r="AC34" s="55">
        <f>Servant!$S$7+($F34+($F34*0.5*($D34-1)))*(AC$3-1)</f>
        <v>3264.3324000000002</v>
      </c>
      <c r="AD34" s="55">
        <f>Servant!$S$7+($F34+($F34*0.5*($D34-1)))*(AD$3-1)</f>
        <v>3410.7768000000001</v>
      </c>
      <c r="AE34" s="55">
        <f>Servant!$S$7+($F34+($F34*0.5*($D34-1)))*(AE$3-1)</f>
        <v>3557.2212</v>
      </c>
      <c r="AF34" s="55">
        <f>Servant!$S$7+($F34+($F34*0.5*($D34-1)))*(AF$3-1)</f>
        <v>3703.6656000000003</v>
      </c>
      <c r="AG34" s="55">
        <f>Servant!$S$7+($F34+($F34*0.5*($D34-1)))*(AG$3-1)</f>
        <v>3850.11</v>
      </c>
      <c r="AH34" s="55">
        <f>Servant!$S$7+($F34+($F34*0.5*($D34-1)))*(AH$3-1)</f>
        <v>3996.5544</v>
      </c>
      <c r="AI34" s="55">
        <f>Servant!$S$7+($F34+($F34*0.5*($D34-1)))*(AI$3-1)</f>
        <v>4142.9987999999994</v>
      </c>
      <c r="AJ34" s="55">
        <f>Servant!$S$7+($F34+($F34*0.5*($D34-1)))*(AJ$3-1)</f>
        <v>4289.4431999999997</v>
      </c>
      <c r="AK34" s="55">
        <f>Servant!$S$7+($F34+($F34*0.5*($D34-1)))*(AK$3-1)</f>
        <v>4435.8876</v>
      </c>
    </row>
    <row r="35" spans="2:37" x14ac:dyDescent="0.3">
      <c r="B35" s="288"/>
      <c r="C35" s="299"/>
      <c r="D35" s="104">
        <v>3</v>
      </c>
      <c r="E35" s="104">
        <f>ServantLevelUPdStatus!$G$7+(ServantLevelUPdStatus!$G$7*0.5*($D35-1))</f>
        <v>195.25919999999999</v>
      </c>
      <c r="F35" s="104">
        <f>F34</f>
        <v>97.629599999999996</v>
      </c>
      <c r="H35" s="55">
        <f>Servant!$S$7+($F35+($F35*0.5*($D35-1)))*(H$3-1)</f>
        <v>189</v>
      </c>
      <c r="I35" s="55">
        <f>Servant!$S$7+($F35+($F35*0.5*($D35-1)))*(I$3-1)</f>
        <v>384.25919999999996</v>
      </c>
      <c r="J35" s="55">
        <f>Servant!$S$7+($F35+($F35*0.5*($D35-1)))*(J$3-1)</f>
        <v>579.51839999999993</v>
      </c>
      <c r="K35" s="55">
        <f>Servant!$S$7+($F35+($F35*0.5*($D35-1)))*(K$3-1)</f>
        <v>774.77760000000001</v>
      </c>
      <c r="L35" s="55">
        <f>Servant!$S$7+($F35+($F35*0.5*($D35-1)))*(L$3-1)</f>
        <v>970.03679999999997</v>
      </c>
      <c r="M35" s="55">
        <f>Servant!$S$7+($F35+($F35*0.5*($D35-1)))*(M$3-1)</f>
        <v>1165.2959999999998</v>
      </c>
      <c r="N35" s="55">
        <f>Servant!$S$7+($F35+($F35*0.5*($D35-1)))*(N$3-1)</f>
        <v>1360.5552</v>
      </c>
      <c r="O35" s="55">
        <f>Servant!$S$7+($F35+($F35*0.5*($D35-1)))*(O$3-1)</f>
        <v>1555.8144</v>
      </c>
      <c r="P35" s="55">
        <f>Servant!$S$7+($F35+($F35*0.5*($D35-1)))*(P$3-1)</f>
        <v>1751.0735999999999</v>
      </c>
      <c r="Q35" s="55">
        <f>Servant!$S$7+($F35+($F35*0.5*($D35-1)))*(Q$3-1)</f>
        <v>1946.3327999999999</v>
      </c>
      <c r="R35" s="55">
        <f>Servant!$S$7+($F35+($F35*0.5*($D35-1)))*(R$3-1)</f>
        <v>2141.5919999999996</v>
      </c>
      <c r="S35" s="55">
        <f>Servant!$S$7+($F35+($F35*0.5*($D35-1)))*(S$3-1)</f>
        <v>2336.8512000000001</v>
      </c>
      <c r="T35" s="55">
        <f>Servant!$S$7+($F35+($F35*0.5*($D35-1)))*(T$3-1)</f>
        <v>2532.1104</v>
      </c>
      <c r="U35" s="55">
        <f>Servant!$S$7+($F35+($F35*0.5*($D35-1)))*(U$3-1)</f>
        <v>2727.3696</v>
      </c>
      <c r="V35" s="55">
        <f>Servant!$S$7+($F35+($F35*0.5*($D35-1)))*(V$3-1)</f>
        <v>2922.6288</v>
      </c>
      <c r="W35" s="55">
        <f>Servant!$S$7+($F35+($F35*0.5*($D35-1)))*(W$3-1)</f>
        <v>3117.8879999999999</v>
      </c>
      <c r="X35" s="55">
        <f>Servant!$S$7+($F35+($F35*0.5*($D35-1)))*(X$3-1)</f>
        <v>3313.1471999999999</v>
      </c>
      <c r="Y35" s="55">
        <f>Servant!$S$7+($F35+($F35*0.5*($D35-1)))*(Y$3-1)</f>
        <v>3508.4063999999998</v>
      </c>
      <c r="Z35" s="55">
        <f>Servant!$S$7+($F35+($F35*0.5*($D35-1)))*(Z$3-1)</f>
        <v>3703.6655999999998</v>
      </c>
      <c r="AA35" s="55">
        <f>Servant!$S$7+($F35+($F35*0.5*($D35-1)))*(AA$3-1)</f>
        <v>3898.9247999999998</v>
      </c>
      <c r="AB35" s="55">
        <f>Servant!$S$7+($F35+($F35*0.5*($D35-1)))*(AB$3-1)</f>
        <v>4094.1839999999997</v>
      </c>
      <c r="AC35" s="55">
        <f>Servant!$S$7+($F35+($F35*0.5*($D35-1)))*(AC$3-1)</f>
        <v>4289.4431999999997</v>
      </c>
      <c r="AD35" s="55">
        <f>Servant!$S$7+($F35+($F35*0.5*($D35-1)))*(AD$3-1)</f>
        <v>4484.7024000000001</v>
      </c>
      <c r="AE35" s="55">
        <f>Servant!$S$7+($F35+($F35*0.5*($D35-1)))*(AE$3-1)</f>
        <v>4679.9615999999996</v>
      </c>
      <c r="AF35" s="55">
        <f>Servant!$S$7+($F35+($F35*0.5*($D35-1)))*(AF$3-1)</f>
        <v>4875.2208000000001</v>
      </c>
      <c r="AG35" s="55">
        <f>Servant!$S$7+($F35+($F35*0.5*($D35-1)))*(AG$3-1)</f>
        <v>5070.4799999999996</v>
      </c>
      <c r="AH35" s="55">
        <f>Servant!$S$7+($F35+($F35*0.5*($D35-1)))*(AH$3-1)</f>
        <v>5265.7392</v>
      </c>
      <c r="AI35" s="55">
        <f>Servant!$S$7+($F35+($F35*0.5*($D35-1)))*(AI$3-1)</f>
        <v>5460.9983999999995</v>
      </c>
      <c r="AJ35" s="55">
        <f>Servant!$S$7+($F35+($F35*0.5*($D35-1)))*(AJ$3-1)</f>
        <v>5656.2575999999999</v>
      </c>
      <c r="AK35" s="55">
        <f>Servant!$S$7+($F35+($F35*0.5*($D35-1)))*(AK$3-1)</f>
        <v>5851.5167999999994</v>
      </c>
    </row>
    <row r="36" spans="2:37" x14ac:dyDescent="0.3">
      <c r="B36" s="287"/>
      <c r="C36" s="290" t="s">
        <v>243</v>
      </c>
      <c r="D36" s="52">
        <v>2</v>
      </c>
      <c r="E36" s="52">
        <f>ServantLevelUPdStatus!$G$12+(ServantLevelUPdStatus!$G$12*0.5*($D36-1))</f>
        <v>197.12549999999999</v>
      </c>
      <c r="F36" s="52">
        <f>ServantLevelUPdStatus!G$12</f>
        <v>131.417</v>
      </c>
      <c r="H36" s="53">
        <f>Servant!$S$12+($F36+($F36*0.5*($D36-1)))*(H$3-1)</f>
        <v>328</v>
      </c>
      <c r="I36" s="53">
        <f>Servant!$S$12+($F36+($F36*0.5*($D36-1)))*(I$3-1)</f>
        <v>525.12549999999999</v>
      </c>
      <c r="J36" s="53">
        <f>Servant!$S$12+($F36+($F36*0.5*($D36-1)))*(J$3-1)</f>
        <v>722.25099999999998</v>
      </c>
      <c r="K36" s="53">
        <f>Servant!$S$12+($F36+($F36*0.5*($D36-1)))*(K$3-1)</f>
        <v>919.37649999999996</v>
      </c>
      <c r="L36" s="53">
        <f>Servant!$S$12+($F36+($F36*0.5*($D36-1)))*(L$3-1)</f>
        <v>1116.502</v>
      </c>
      <c r="M36" s="53">
        <f>Servant!$S$12+($F36+($F36*0.5*($D36-1)))*(M$3-1)</f>
        <v>1313.6275000000001</v>
      </c>
      <c r="N36" s="53">
        <f>Servant!$S$12+($F36+($F36*0.5*($D36-1)))*(N$3-1)</f>
        <v>1510.7529999999999</v>
      </c>
      <c r="O36" s="53">
        <f>Servant!$S$12+($F36+($F36*0.5*($D36-1)))*(O$3-1)</f>
        <v>1707.8784999999998</v>
      </c>
      <c r="P36" s="53">
        <f>Servant!$S$12+($F36+($F36*0.5*($D36-1)))*(P$3-1)</f>
        <v>1905.0039999999999</v>
      </c>
      <c r="Q36" s="53">
        <f>Servant!$S$12+($F36+($F36*0.5*($D36-1)))*(Q$3-1)</f>
        <v>2102.1295</v>
      </c>
      <c r="R36" s="53">
        <f>Servant!$S$12+($F36+($F36*0.5*($D36-1)))*(R$3-1)</f>
        <v>2299.2550000000001</v>
      </c>
      <c r="S36" s="53">
        <f>Servant!$S$12+($F36+($F36*0.5*($D36-1)))*(S$3-1)</f>
        <v>2496.3804999999998</v>
      </c>
      <c r="T36" s="53">
        <f>Servant!$S$12+($F36+($F36*0.5*($D36-1)))*(T$3-1)</f>
        <v>2693.5059999999999</v>
      </c>
      <c r="U36" s="53">
        <f>Servant!$S$12+($F36+($F36*0.5*($D36-1)))*(U$3-1)</f>
        <v>2890.6315</v>
      </c>
      <c r="V36" s="53">
        <f>Servant!$S$12+($F36+($F36*0.5*($D36-1)))*(V$3-1)</f>
        <v>3087.7569999999996</v>
      </c>
      <c r="W36" s="53">
        <f>Servant!$S$12+($F36+($F36*0.5*($D36-1)))*(W$3-1)</f>
        <v>3284.8824999999997</v>
      </c>
      <c r="X36" s="53">
        <f>Servant!$S$12+($F36+($F36*0.5*($D36-1)))*(X$3-1)</f>
        <v>3482.0079999999998</v>
      </c>
      <c r="Y36" s="53">
        <f>Servant!$S$12+($F36+($F36*0.5*($D36-1)))*(Y$3-1)</f>
        <v>3679.1334999999999</v>
      </c>
      <c r="Z36" s="53">
        <f>Servant!$S$12+($F36+($F36*0.5*($D36-1)))*(Z$3-1)</f>
        <v>3876.259</v>
      </c>
      <c r="AA36" s="53">
        <f>Servant!$S$12+($F36+($F36*0.5*($D36-1)))*(AA$3-1)</f>
        <v>4073.3844999999997</v>
      </c>
      <c r="AB36" s="53">
        <f>Servant!$S$12+($F36+($F36*0.5*($D36-1)))*(AB$3-1)</f>
        <v>4270.51</v>
      </c>
      <c r="AC36" s="53">
        <f>Servant!$S$12+($F36+($F36*0.5*($D36-1)))*(AC$3-1)</f>
        <v>4467.6354999999994</v>
      </c>
      <c r="AD36" s="53">
        <f>Servant!$S$12+($F36+($F36*0.5*($D36-1)))*(AD$3-1)</f>
        <v>4664.7609999999995</v>
      </c>
      <c r="AE36" s="53">
        <f>Servant!$S$12+($F36+($F36*0.5*($D36-1)))*(AE$3-1)</f>
        <v>4861.8864999999996</v>
      </c>
      <c r="AF36" s="53">
        <f>Servant!$S$12+($F36+($F36*0.5*($D36-1)))*(AF$3-1)</f>
        <v>5059.0119999999997</v>
      </c>
      <c r="AG36" s="53">
        <f>Servant!$S$12+($F36+($F36*0.5*($D36-1)))*(AG$3-1)</f>
        <v>5256.1374999999998</v>
      </c>
      <c r="AH36" s="53">
        <f>Servant!$S$12+($F36+($F36*0.5*($D36-1)))*(AH$3-1)</f>
        <v>5453.2629999999999</v>
      </c>
      <c r="AI36" s="53">
        <f>Servant!$S$12+($F36+($F36*0.5*($D36-1)))*(AI$3-1)</f>
        <v>5650.3885</v>
      </c>
      <c r="AJ36" s="53">
        <f>Servant!$S$12+($F36+($F36*0.5*($D36-1)))*(AJ$3-1)</f>
        <v>5847.5139999999992</v>
      </c>
      <c r="AK36" s="53">
        <f>Servant!$S$12+($F36+($F36*0.5*($D36-1)))*(AK$3-1)</f>
        <v>6044.6394999999993</v>
      </c>
    </row>
    <row r="37" spans="2:37" x14ac:dyDescent="0.3">
      <c r="B37" s="287"/>
      <c r="C37" s="290"/>
      <c r="D37" s="52">
        <v>3</v>
      </c>
      <c r="E37" s="52">
        <f>ServantLevelUPdStatus!$G$12+(ServantLevelUPdStatus!$G$12*0.5*($D37-1))</f>
        <v>262.834</v>
      </c>
      <c r="F37" s="52">
        <f>F36</f>
        <v>131.417</v>
      </c>
      <c r="H37" s="53">
        <f>Servant!$S$12+($F37+($F37*0.5*($D37-1)))*(H$3-1)</f>
        <v>328</v>
      </c>
      <c r="I37" s="53">
        <f>Servant!$S$12+($F37+($F37*0.5*($D37-1)))*(I$3-1)</f>
        <v>590.83400000000006</v>
      </c>
      <c r="J37" s="53">
        <f>Servant!$S$12+($F37+($F37*0.5*($D37-1)))*(J$3-1)</f>
        <v>853.66800000000001</v>
      </c>
      <c r="K37" s="53">
        <f>Servant!$S$12+($F37+($F37*0.5*($D37-1)))*(K$3-1)</f>
        <v>1116.502</v>
      </c>
      <c r="L37" s="53">
        <f>Servant!$S$12+($F37+($F37*0.5*($D37-1)))*(L$3-1)</f>
        <v>1379.336</v>
      </c>
      <c r="M37" s="53">
        <f>Servant!$S$12+($F37+($F37*0.5*($D37-1)))*(M$3-1)</f>
        <v>1642.17</v>
      </c>
      <c r="N37" s="53">
        <f>Servant!$S$12+($F37+($F37*0.5*($D37-1)))*(N$3-1)</f>
        <v>1905.0039999999999</v>
      </c>
      <c r="O37" s="53">
        <f>Servant!$S$12+($F37+($F37*0.5*($D37-1)))*(O$3-1)</f>
        <v>2167.8379999999997</v>
      </c>
      <c r="P37" s="53">
        <f>Servant!$S$12+($F37+($F37*0.5*($D37-1)))*(P$3-1)</f>
        <v>2430.672</v>
      </c>
      <c r="Q37" s="53">
        <f>Servant!$S$12+($F37+($F37*0.5*($D37-1)))*(Q$3-1)</f>
        <v>2693.5059999999999</v>
      </c>
      <c r="R37" s="53">
        <f>Servant!$S$12+($F37+($F37*0.5*($D37-1)))*(R$3-1)</f>
        <v>2956.34</v>
      </c>
      <c r="S37" s="53">
        <f>Servant!$S$12+($F37+($F37*0.5*($D37-1)))*(S$3-1)</f>
        <v>3219.174</v>
      </c>
      <c r="T37" s="53">
        <f>Servant!$S$12+($F37+($F37*0.5*($D37-1)))*(T$3-1)</f>
        <v>3482.0079999999998</v>
      </c>
      <c r="U37" s="53">
        <f>Servant!$S$12+($F37+($F37*0.5*($D37-1)))*(U$3-1)</f>
        <v>3744.8420000000001</v>
      </c>
      <c r="V37" s="53">
        <f>Servant!$S$12+($F37+($F37*0.5*($D37-1)))*(V$3-1)</f>
        <v>4007.6759999999999</v>
      </c>
      <c r="W37" s="53">
        <f>Servant!$S$12+($F37+($F37*0.5*($D37-1)))*(W$3-1)</f>
        <v>4270.51</v>
      </c>
      <c r="X37" s="53">
        <f>Servant!$S$12+($F37+($F37*0.5*($D37-1)))*(X$3-1)</f>
        <v>4533.3440000000001</v>
      </c>
      <c r="Y37" s="53">
        <f>Servant!$S$12+($F37+($F37*0.5*($D37-1)))*(Y$3-1)</f>
        <v>4796.1779999999999</v>
      </c>
      <c r="Z37" s="53">
        <f>Servant!$S$12+($F37+($F37*0.5*($D37-1)))*(Z$3-1)</f>
        <v>5059.0119999999997</v>
      </c>
      <c r="AA37" s="53">
        <f>Servant!$S$12+($F37+($F37*0.5*($D37-1)))*(AA$3-1)</f>
        <v>5321.8460000000005</v>
      </c>
      <c r="AB37" s="53">
        <f>Servant!$S$12+($F37+($F37*0.5*($D37-1)))*(AB$3-1)</f>
        <v>5584.68</v>
      </c>
      <c r="AC37" s="53">
        <f>Servant!$S$12+($F37+($F37*0.5*($D37-1)))*(AC$3-1)</f>
        <v>5847.5140000000001</v>
      </c>
      <c r="AD37" s="53">
        <f>Servant!$S$12+($F37+($F37*0.5*($D37-1)))*(AD$3-1)</f>
        <v>6110.348</v>
      </c>
      <c r="AE37" s="53">
        <f>Servant!$S$12+($F37+($F37*0.5*($D37-1)))*(AE$3-1)</f>
        <v>6373.1819999999998</v>
      </c>
      <c r="AF37" s="53">
        <f>Servant!$S$12+($F37+($F37*0.5*($D37-1)))*(AF$3-1)</f>
        <v>6636.0159999999996</v>
      </c>
      <c r="AG37" s="53">
        <f>Servant!$S$12+($F37+($F37*0.5*($D37-1)))*(AG$3-1)</f>
        <v>6898.85</v>
      </c>
      <c r="AH37" s="53">
        <f>Servant!$S$12+($F37+($F37*0.5*($D37-1)))*(AH$3-1)</f>
        <v>7161.6840000000002</v>
      </c>
      <c r="AI37" s="53">
        <f>Servant!$S$12+($F37+($F37*0.5*($D37-1)))*(AI$3-1)</f>
        <v>7424.518</v>
      </c>
      <c r="AJ37" s="53">
        <f>Servant!$S$12+($F37+($F37*0.5*($D37-1)))*(AJ$3-1)</f>
        <v>7687.3519999999999</v>
      </c>
      <c r="AK37" s="53">
        <f>Servant!$S$12+($F37+($F37*0.5*($D37-1)))*(AK$3-1)</f>
        <v>7950.1859999999997</v>
      </c>
    </row>
    <row r="38" spans="2:37" x14ac:dyDescent="0.3">
      <c r="B38" s="287"/>
      <c r="C38" s="290"/>
      <c r="D38" s="52">
        <v>4</v>
      </c>
      <c r="E38" s="52">
        <f>ServantLevelUPdStatus!$G$12+(ServantLevelUPdStatus!$G$12*0.5*($D38-1))</f>
        <v>328.54250000000002</v>
      </c>
      <c r="F38" s="52">
        <f>F37</f>
        <v>131.417</v>
      </c>
      <c r="H38" s="53">
        <f>Servant!$S$12+($F38+($F38*0.5*($D38-1)))*(H$3-1)</f>
        <v>328</v>
      </c>
      <c r="I38" s="53">
        <f>Servant!$S$12+($F38+($F38*0.5*($D38-1)))*(I$3-1)</f>
        <v>656.54250000000002</v>
      </c>
      <c r="J38" s="53">
        <f>Servant!$S$12+($F38+($F38*0.5*($D38-1)))*(J$3-1)</f>
        <v>985.08500000000004</v>
      </c>
      <c r="K38" s="53">
        <f>Servant!$S$12+($F38+($F38*0.5*($D38-1)))*(K$3-1)</f>
        <v>1313.6275000000001</v>
      </c>
      <c r="L38" s="53">
        <f>Servant!$S$12+($F38+($F38*0.5*($D38-1)))*(L$3-1)</f>
        <v>1642.17</v>
      </c>
      <c r="M38" s="53">
        <f>Servant!$S$12+($F38+($F38*0.5*($D38-1)))*(M$3-1)</f>
        <v>1970.7125000000001</v>
      </c>
      <c r="N38" s="53">
        <f>Servant!$S$12+($F38+($F38*0.5*($D38-1)))*(N$3-1)</f>
        <v>2299.2550000000001</v>
      </c>
      <c r="O38" s="53">
        <f>Servant!$S$12+($F38+($F38*0.5*($D38-1)))*(O$3-1)</f>
        <v>2627.7975000000001</v>
      </c>
      <c r="P38" s="53">
        <f>Servant!$S$12+($F38+($F38*0.5*($D38-1)))*(P$3-1)</f>
        <v>2956.34</v>
      </c>
      <c r="Q38" s="53">
        <f>Servant!$S$12+($F38+($F38*0.5*($D38-1)))*(Q$3-1)</f>
        <v>3284.8825000000002</v>
      </c>
      <c r="R38" s="53">
        <f>Servant!$S$12+($F38+($F38*0.5*($D38-1)))*(R$3-1)</f>
        <v>3613.4250000000002</v>
      </c>
      <c r="S38" s="53">
        <f>Servant!$S$12+($F38+($F38*0.5*($D38-1)))*(S$3-1)</f>
        <v>3941.9675000000002</v>
      </c>
      <c r="T38" s="53">
        <f>Servant!$S$12+($F38+($F38*0.5*($D38-1)))*(T$3-1)</f>
        <v>4270.51</v>
      </c>
      <c r="U38" s="53">
        <f>Servant!$S$12+($F38+($F38*0.5*($D38-1)))*(U$3-1)</f>
        <v>4599.0524999999998</v>
      </c>
      <c r="V38" s="53">
        <f>Servant!$S$12+($F38+($F38*0.5*($D38-1)))*(V$3-1)</f>
        <v>4927.5950000000003</v>
      </c>
      <c r="W38" s="53">
        <f>Servant!$S$12+($F38+($F38*0.5*($D38-1)))*(W$3-1)</f>
        <v>5256.1375000000007</v>
      </c>
      <c r="X38" s="53">
        <f>Servant!$S$12+($F38+($F38*0.5*($D38-1)))*(X$3-1)</f>
        <v>5584.68</v>
      </c>
      <c r="Y38" s="53">
        <f>Servant!$S$12+($F38+($F38*0.5*($D38-1)))*(Y$3-1)</f>
        <v>5913.2224999999999</v>
      </c>
      <c r="Z38" s="53">
        <f>Servant!$S$12+($F38+($F38*0.5*($D38-1)))*(Z$3-1)</f>
        <v>6241.7650000000003</v>
      </c>
      <c r="AA38" s="53">
        <f>Servant!$S$12+($F38+($F38*0.5*($D38-1)))*(AA$3-1)</f>
        <v>6570.3075000000008</v>
      </c>
      <c r="AB38" s="53">
        <f>Servant!$S$12+($F38+($F38*0.5*($D38-1)))*(AB$3-1)</f>
        <v>6898.85</v>
      </c>
      <c r="AC38" s="53">
        <f>Servant!$S$12+($F38+($F38*0.5*($D38-1)))*(AC$3-1)</f>
        <v>7227.3924999999999</v>
      </c>
      <c r="AD38" s="53">
        <f>Servant!$S$12+($F38+($F38*0.5*($D38-1)))*(AD$3-1)</f>
        <v>7555.9350000000004</v>
      </c>
      <c r="AE38" s="53">
        <f>Servant!$S$12+($F38+($F38*0.5*($D38-1)))*(AE$3-1)</f>
        <v>7884.4775000000009</v>
      </c>
      <c r="AF38" s="53">
        <f>Servant!$S$12+($F38+($F38*0.5*($D38-1)))*(AF$3-1)</f>
        <v>8213.02</v>
      </c>
      <c r="AG38" s="53">
        <f>Servant!$S$12+($F38+($F38*0.5*($D38-1)))*(AG$3-1)</f>
        <v>8541.5625</v>
      </c>
      <c r="AH38" s="53">
        <f>Servant!$S$12+($F38+($F38*0.5*($D38-1)))*(AH$3-1)</f>
        <v>8870.1049999999996</v>
      </c>
      <c r="AI38" s="53">
        <f>Servant!$S$12+($F38+($F38*0.5*($D38-1)))*(AI$3-1)</f>
        <v>9198.6475000000009</v>
      </c>
      <c r="AJ38" s="53">
        <f>Servant!$S$12+($F38+($F38*0.5*($D38-1)))*(AJ$3-1)</f>
        <v>9527.19</v>
      </c>
      <c r="AK38" s="53">
        <f>Servant!$S$12+($F38+($F38*0.5*($D38-1)))*(AK$3-1)</f>
        <v>9855.7325000000001</v>
      </c>
    </row>
    <row r="39" spans="2:37" x14ac:dyDescent="0.3">
      <c r="B39" s="287"/>
      <c r="C39" s="291" t="s">
        <v>244</v>
      </c>
      <c r="D39" s="56">
        <v>3</v>
      </c>
      <c r="E39" s="56">
        <f>ServantLevelUPdStatus!$G$18+(ServantLevelUPdStatus!$G$18*0.5*($D39-1))</f>
        <v>334.22133333333335</v>
      </c>
      <c r="F39" s="56">
        <f>ServantLevelUPdStatus!G$18</f>
        <v>167.11066666666667</v>
      </c>
      <c r="H39" s="57">
        <f>Servant!$S$18+($F39+($F39*0.5*($D39-1)))*(H$3-1)</f>
        <v>610</v>
      </c>
      <c r="I39" s="57">
        <f>Servant!$S$18+($F39+($F39*0.5*($D39-1)))*(I$3-1)</f>
        <v>944.2213333333334</v>
      </c>
      <c r="J39" s="57">
        <f>Servant!$S$18+($F39+($F39*0.5*($D39-1)))*(J$3-1)</f>
        <v>1278.4426666666668</v>
      </c>
      <c r="K39" s="57">
        <f>Servant!$S$18+($F39+($F39*0.5*($D39-1)))*(K$3-1)</f>
        <v>1612.664</v>
      </c>
      <c r="L39" s="57">
        <f>Servant!$S$18+($F39+($F39*0.5*($D39-1)))*(L$3-1)</f>
        <v>1946.8853333333334</v>
      </c>
      <c r="M39" s="57">
        <f>Servant!$S$18+($F39+($F39*0.5*($D39-1)))*(M$3-1)</f>
        <v>2281.1066666666666</v>
      </c>
      <c r="N39" s="57">
        <f>Servant!$S$18+($F39+($F39*0.5*($D39-1)))*(N$3-1)</f>
        <v>2615.328</v>
      </c>
      <c r="O39" s="57">
        <f>Servant!$S$18+($F39+($F39*0.5*($D39-1)))*(O$3-1)</f>
        <v>2949.5493333333334</v>
      </c>
      <c r="P39" s="57">
        <f>Servant!$S$18+($F39+($F39*0.5*($D39-1)))*(P$3-1)</f>
        <v>3283.7706666666668</v>
      </c>
      <c r="Q39" s="57">
        <f>Servant!$S$18+($F39+($F39*0.5*($D39-1)))*(Q$3-1)</f>
        <v>3617.9920000000002</v>
      </c>
      <c r="R39" s="57">
        <f>Servant!$S$18+($F39+($F39*0.5*($D39-1)))*(R$3-1)</f>
        <v>3952.2133333333336</v>
      </c>
      <c r="S39" s="57">
        <f>Servant!$S$18+($F39+($F39*0.5*($D39-1)))*(S$3-1)</f>
        <v>4286.434666666667</v>
      </c>
      <c r="T39" s="57">
        <f>Servant!$S$18+($F39+($F39*0.5*($D39-1)))*(T$3-1)</f>
        <v>4620.6559999999999</v>
      </c>
      <c r="U39" s="57">
        <f>Servant!$S$18+($F39+($F39*0.5*($D39-1)))*(U$3-1)</f>
        <v>4954.8773333333338</v>
      </c>
      <c r="V39" s="57">
        <f>Servant!$S$18+($F39+($F39*0.5*($D39-1)))*(V$3-1)</f>
        <v>5289.0986666666668</v>
      </c>
      <c r="W39" s="57">
        <f>Servant!$S$18+($F39+($F39*0.5*($D39-1)))*(W$3-1)</f>
        <v>5623.3200000000006</v>
      </c>
      <c r="X39" s="57">
        <f>Servant!$S$18+($F39+($F39*0.5*($D39-1)))*(X$3-1)</f>
        <v>5957.5413333333336</v>
      </c>
      <c r="Y39" s="57">
        <f>Servant!$S$18+($F39+($F39*0.5*($D39-1)))*(Y$3-1)</f>
        <v>6291.7626666666665</v>
      </c>
      <c r="Z39" s="57">
        <f>Servant!$S$18+($F39+($F39*0.5*($D39-1)))*(Z$3-1)</f>
        <v>6625.9840000000004</v>
      </c>
      <c r="AA39" s="57">
        <f>Servant!$S$18+($F39+($F39*0.5*($D39-1)))*(AA$3-1)</f>
        <v>6960.2053333333333</v>
      </c>
      <c r="AB39" s="57">
        <f>Servant!$S$18+($F39+($F39*0.5*($D39-1)))*(AB$3-1)</f>
        <v>7294.4266666666672</v>
      </c>
      <c r="AC39" s="57">
        <f>Servant!$S$18+($F39+($F39*0.5*($D39-1)))*(AC$3-1)</f>
        <v>7628.6480000000001</v>
      </c>
      <c r="AD39" s="57">
        <f>Servant!$S$18+($F39+($F39*0.5*($D39-1)))*(AD$3-1)</f>
        <v>7962.869333333334</v>
      </c>
      <c r="AE39" s="57">
        <f>Servant!$S$18+($F39+($F39*0.5*($D39-1)))*(AE$3-1)</f>
        <v>8297.0906666666669</v>
      </c>
      <c r="AF39" s="57">
        <f>Servant!$S$18+($F39+($F39*0.5*($D39-1)))*(AF$3-1)</f>
        <v>8631.3119999999999</v>
      </c>
      <c r="AG39" s="57">
        <f>Servant!$S$18+($F39+($F39*0.5*($D39-1)))*(AG$3-1)</f>
        <v>8965.5333333333328</v>
      </c>
      <c r="AH39" s="57">
        <f>Servant!$S$18+($F39+($F39*0.5*($D39-1)))*(AH$3-1)</f>
        <v>9299.7546666666676</v>
      </c>
      <c r="AI39" s="57">
        <f>Servant!$S$18+($F39+($F39*0.5*($D39-1)))*(AI$3-1)</f>
        <v>9633.9760000000006</v>
      </c>
      <c r="AJ39" s="57">
        <f>Servant!$S$18+($F39+($F39*0.5*($D39-1)))*(AJ$3-1)</f>
        <v>9968.1973333333335</v>
      </c>
      <c r="AK39" s="57">
        <f>Servant!$S$18+($F39+($F39*0.5*($D39-1)))*(AK$3-1)</f>
        <v>10302.418666666666</v>
      </c>
    </row>
    <row r="40" spans="2:37" x14ac:dyDescent="0.3">
      <c r="B40" s="287"/>
      <c r="C40" s="291"/>
      <c r="D40" s="56">
        <v>4</v>
      </c>
      <c r="E40" s="56">
        <f>ServantLevelUPdStatus!$G$18+(ServantLevelUPdStatus!$G$18*0.5*($D40-1))</f>
        <v>417.77666666666664</v>
      </c>
      <c r="F40" s="56">
        <f>F39</f>
        <v>167.11066666666667</v>
      </c>
      <c r="H40" s="57">
        <f>Servant!$S$18+($F40+($F40*0.5*($D40-1)))*(H$3-1)</f>
        <v>610</v>
      </c>
      <c r="I40" s="57">
        <f>Servant!$S$18+($F40+($F40*0.5*($D40-1)))*(I$3-1)</f>
        <v>1027.7766666666666</v>
      </c>
      <c r="J40" s="57">
        <f>Servant!$S$18+($F40+($F40*0.5*($D40-1)))*(J$3-1)</f>
        <v>1445.5533333333333</v>
      </c>
      <c r="K40" s="57">
        <f>Servant!$S$18+($F40+($F40*0.5*($D40-1)))*(K$3-1)</f>
        <v>1863.33</v>
      </c>
      <c r="L40" s="57">
        <f>Servant!$S$18+($F40+($F40*0.5*($D40-1)))*(L$3-1)</f>
        <v>2281.1066666666666</v>
      </c>
      <c r="M40" s="57">
        <f>Servant!$S$18+($F40+($F40*0.5*($D40-1)))*(M$3-1)</f>
        <v>2698.8833333333332</v>
      </c>
      <c r="N40" s="57">
        <f>Servant!$S$18+($F40+($F40*0.5*($D40-1)))*(N$3-1)</f>
        <v>3116.66</v>
      </c>
      <c r="O40" s="57">
        <f>Servant!$S$18+($F40+($F40*0.5*($D40-1)))*(O$3-1)</f>
        <v>3534.4366666666665</v>
      </c>
      <c r="P40" s="57">
        <f>Servant!$S$18+($F40+($F40*0.5*($D40-1)))*(P$3-1)</f>
        <v>3952.2133333333331</v>
      </c>
      <c r="Q40" s="57">
        <f>Servant!$S$18+($F40+($F40*0.5*($D40-1)))*(Q$3-1)</f>
        <v>4369.99</v>
      </c>
      <c r="R40" s="57">
        <f>Servant!$S$18+($F40+($F40*0.5*($D40-1)))*(R$3-1)</f>
        <v>4787.7666666666664</v>
      </c>
      <c r="S40" s="57">
        <f>Servant!$S$18+($F40+($F40*0.5*($D40-1)))*(S$3-1)</f>
        <v>5205.5433333333331</v>
      </c>
      <c r="T40" s="57">
        <f>Servant!$S$18+($F40+($F40*0.5*($D40-1)))*(T$3-1)</f>
        <v>5623.32</v>
      </c>
      <c r="U40" s="57">
        <f>Servant!$S$18+($F40+($F40*0.5*($D40-1)))*(U$3-1)</f>
        <v>6041.0966666666664</v>
      </c>
      <c r="V40" s="57">
        <f>Servant!$S$18+($F40+($F40*0.5*($D40-1)))*(V$3-1)</f>
        <v>6458.873333333333</v>
      </c>
      <c r="W40" s="57">
        <f>Servant!$S$18+($F40+($F40*0.5*($D40-1)))*(W$3-1)</f>
        <v>6876.65</v>
      </c>
      <c r="X40" s="57">
        <f>Servant!$S$18+($F40+($F40*0.5*($D40-1)))*(X$3-1)</f>
        <v>7294.4266666666663</v>
      </c>
      <c r="Y40" s="57">
        <f>Servant!$S$18+($F40+($F40*0.5*($D40-1)))*(Y$3-1)</f>
        <v>7712.2033333333329</v>
      </c>
      <c r="Z40" s="57">
        <f>Servant!$S$18+($F40+($F40*0.5*($D40-1)))*(Z$3-1)</f>
        <v>8129.98</v>
      </c>
      <c r="AA40" s="57">
        <f>Servant!$S$18+($F40+($F40*0.5*($D40-1)))*(AA$3-1)</f>
        <v>8547.7566666666662</v>
      </c>
      <c r="AB40" s="57">
        <f>Servant!$S$18+($F40+($F40*0.5*($D40-1)))*(AB$3-1)</f>
        <v>8965.5333333333328</v>
      </c>
      <c r="AC40" s="57">
        <f>Servant!$S$18+($F40+($F40*0.5*($D40-1)))*(AC$3-1)</f>
        <v>9383.31</v>
      </c>
      <c r="AD40" s="57">
        <f>Servant!$S$18+($F40+($F40*0.5*($D40-1)))*(AD$3-1)</f>
        <v>9801.0866666666661</v>
      </c>
      <c r="AE40" s="57">
        <f>Servant!$S$18+($F40+($F40*0.5*($D40-1)))*(AE$3-1)</f>
        <v>10218.863333333333</v>
      </c>
      <c r="AF40" s="57">
        <f>Servant!$S$18+($F40+($F40*0.5*($D40-1)))*(AF$3-1)</f>
        <v>10636.64</v>
      </c>
      <c r="AG40" s="57">
        <f>Servant!$S$18+($F40+($F40*0.5*($D40-1)))*(AG$3-1)</f>
        <v>11054.416666666666</v>
      </c>
      <c r="AH40" s="57">
        <f>Servant!$S$18+($F40+($F40*0.5*($D40-1)))*(AH$3-1)</f>
        <v>11472.193333333333</v>
      </c>
      <c r="AI40" s="57">
        <f>Servant!$S$18+($F40+($F40*0.5*($D40-1)))*(AI$3-1)</f>
        <v>11889.97</v>
      </c>
      <c r="AJ40" s="57">
        <f>Servant!$S$18+($F40+($F40*0.5*($D40-1)))*(AJ$3-1)</f>
        <v>12307.746666666666</v>
      </c>
      <c r="AK40" s="57">
        <f>Servant!$S$18+($F40+($F40*0.5*($D40-1)))*(AK$3-1)</f>
        <v>12725.523333333333</v>
      </c>
    </row>
    <row r="41" spans="2:37" x14ac:dyDescent="0.3">
      <c r="B41" s="287"/>
      <c r="C41" s="291"/>
      <c r="D41" s="56">
        <v>5</v>
      </c>
      <c r="E41" s="56">
        <f>ServantLevelUPdStatus!$G$18+(ServantLevelUPdStatus!$G$18*0.5*($D41-1))</f>
        <v>501.33199999999999</v>
      </c>
      <c r="F41" s="56">
        <f>F40</f>
        <v>167.11066666666667</v>
      </c>
      <c r="H41" s="57">
        <f>Servant!$S$18+($F41+($F41*0.5*($D41-1)))*(H$3-1)</f>
        <v>610</v>
      </c>
      <c r="I41" s="57">
        <f>Servant!$S$18+($F41+($F41*0.5*($D41-1)))*(I$3-1)</f>
        <v>1111.3319999999999</v>
      </c>
      <c r="J41" s="57">
        <f>Servant!$S$18+($F41+($F41*0.5*($D41-1)))*(J$3-1)</f>
        <v>1612.664</v>
      </c>
      <c r="K41" s="57">
        <f>Servant!$S$18+($F41+($F41*0.5*($D41-1)))*(K$3-1)</f>
        <v>2113.9960000000001</v>
      </c>
      <c r="L41" s="57">
        <f>Servant!$S$18+($F41+($F41*0.5*($D41-1)))*(L$3-1)</f>
        <v>2615.328</v>
      </c>
      <c r="M41" s="57">
        <f>Servant!$S$18+($F41+($F41*0.5*($D41-1)))*(M$3-1)</f>
        <v>3116.66</v>
      </c>
      <c r="N41" s="57">
        <f>Servant!$S$18+($F41+($F41*0.5*($D41-1)))*(N$3-1)</f>
        <v>3617.9920000000002</v>
      </c>
      <c r="O41" s="57">
        <f>Servant!$S$18+($F41+($F41*0.5*($D41-1)))*(O$3-1)</f>
        <v>4119.3240000000005</v>
      </c>
      <c r="P41" s="57">
        <f>Servant!$S$18+($F41+($F41*0.5*($D41-1)))*(P$3-1)</f>
        <v>4620.6559999999999</v>
      </c>
      <c r="Q41" s="57">
        <f>Servant!$S$18+($F41+($F41*0.5*($D41-1)))*(Q$3-1)</f>
        <v>5121.9880000000003</v>
      </c>
      <c r="R41" s="57">
        <f>Servant!$S$18+($F41+($F41*0.5*($D41-1)))*(R$3-1)</f>
        <v>5623.32</v>
      </c>
      <c r="S41" s="57">
        <f>Servant!$S$18+($F41+($F41*0.5*($D41-1)))*(S$3-1)</f>
        <v>6124.652</v>
      </c>
      <c r="T41" s="57">
        <f>Servant!$S$18+($F41+($F41*0.5*($D41-1)))*(T$3-1)</f>
        <v>6625.9840000000004</v>
      </c>
      <c r="U41" s="57">
        <f>Servant!$S$18+($F41+($F41*0.5*($D41-1)))*(U$3-1)</f>
        <v>7127.3159999999998</v>
      </c>
      <c r="V41" s="57">
        <f>Servant!$S$18+($F41+($F41*0.5*($D41-1)))*(V$3-1)</f>
        <v>7628.6480000000001</v>
      </c>
      <c r="W41" s="57">
        <f>Servant!$S$18+($F41+($F41*0.5*($D41-1)))*(W$3-1)</f>
        <v>8129.98</v>
      </c>
      <c r="X41" s="57">
        <f>Servant!$S$18+($F41+($F41*0.5*($D41-1)))*(X$3-1)</f>
        <v>8631.3119999999999</v>
      </c>
      <c r="Y41" s="57">
        <f>Servant!$S$18+($F41+($F41*0.5*($D41-1)))*(Y$3-1)</f>
        <v>9132.6440000000002</v>
      </c>
      <c r="Z41" s="57">
        <f>Servant!$S$18+($F41+($F41*0.5*($D41-1)))*(Z$3-1)</f>
        <v>9633.9760000000006</v>
      </c>
      <c r="AA41" s="57">
        <f>Servant!$S$18+($F41+($F41*0.5*($D41-1)))*(AA$3-1)</f>
        <v>10135.307999999999</v>
      </c>
      <c r="AB41" s="57">
        <f>Servant!$S$18+($F41+($F41*0.5*($D41-1)))*(AB$3-1)</f>
        <v>10636.64</v>
      </c>
      <c r="AC41" s="57">
        <f>Servant!$S$18+($F41+($F41*0.5*($D41-1)))*(AC$3-1)</f>
        <v>11137.972</v>
      </c>
      <c r="AD41" s="57">
        <f>Servant!$S$18+($F41+($F41*0.5*($D41-1)))*(AD$3-1)</f>
        <v>11639.304</v>
      </c>
      <c r="AE41" s="57">
        <f>Servant!$S$18+($F41+($F41*0.5*($D41-1)))*(AE$3-1)</f>
        <v>12140.636</v>
      </c>
      <c r="AF41" s="57">
        <f>Servant!$S$18+($F41+($F41*0.5*($D41-1)))*(AF$3-1)</f>
        <v>12641.968000000001</v>
      </c>
      <c r="AG41" s="57">
        <f>Servant!$S$18+($F41+($F41*0.5*($D41-1)))*(AG$3-1)</f>
        <v>13143.3</v>
      </c>
      <c r="AH41" s="57">
        <f>Servant!$S$18+($F41+($F41*0.5*($D41-1)))*(AH$3-1)</f>
        <v>13644.632</v>
      </c>
      <c r="AI41" s="57">
        <f>Servant!$S$18+($F41+($F41*0.5*($D41-1)))*(AI$3-1)</f>
        <v>14145.964</v>
      </c>
      <c r="AJ41" s="57">
        <f>Servant!$S$18+($F41+($F41*0.5*($D41-1)))*(AJ$3-1)</f>
        <v>14647.296</v>
      </c>
      <c r="AK41" s="57">
        <f>Servant!$S$18+($F41+($F41*0.5*($D41-1)))*(AK$3-1)</f>
        <v>15148.628000000001</v>
      </c>
    </row>
    <row r="42" spans="2:37" x14ac:dyDescent="0.3">
      <c r="B42" s="287"/>
      <c r="C42" s="292" t="s">
        <v>245</v>
      </c>
      <c r="D42" s="58">
        <v>4</v>
      </c>
      <c r="E42" s="58">
        <f>ServantLevelUPdStatus!$G$22+(ServantLevelUPdStatus!$G$22*0.5*($D42-1))</f>
        <v>536.82666666666671</v>
      </c>
      <c r="F42" s="58">
        <f>ServantLevelUPdStatus!G$22</f>
        <v>214.73066666666668</v>
      </c>
      <c r="H42" s="59">
        <f>Servant!$S$22+($F42+($F42*0.5*($D42-1)))*(H$3-1)</f>
        <v>787</v>
      </c>
      <c r="I42" s="59">
        <f>Servant!$S$22+($F42+($F42*0.5*($D42-1)))*(I$3-1)</f>
        <v>1323.8266666666668</v>
      </c>
      <c r="J42" s="59">
        <f>Servant!$S$22+($F42+($F42*0.5*($D42-1)))*(J$3-1)</f>
        <v>1860.6533333333334</v>
      </c>
      <c r="K42" s="59">
        <f>Servant!$S$22+($F42+($F42*0.5*($D42-1)))*(K$3-1)</f>
        <v>2397.48</v>
      </c>
      <c r="L42" s="59">
        <f>Servant!$S$22+($F42+($F42*0.5*($D42-1)))*(L$3-1)</f>
        <v>2934.3066666666668</v>
      </c>
      <c r="M42" s="59">
        <f>Servant!$S$22+($F42+($F42*0.5*($D42-1)))*(M$3-1)</f>
        <v>3471.1333333333337</v>
      </c>
      <c r="N42" s="59">
        <f>Servant!$S$22+($F42+($F42*0.5*($D42-1)))*(N$3-1)</f>
        <v>4007.96</v>
      </c>
      <c r="O42" s="59">
        <f>Servant!$S$22+($F42+($F42*0.5*($D42-1)))*(O$3-1)</f>
        <v>4544.7866666666669</v>
      </c>
      <c r="P42" s="59">
        <f>Servant!$S$22+($F42+($F42*0.5*($D42-1)))*(P$3-1)</f>
        <v>5081.6133333333337</v>
      </c>
      <c r="Q42" s="59">
        <f>Servant!$S$22+($F42+($F42*0.5*($D42-1)))*(Q$3-1)</f>
        <v>5618.4400000000005</v>
      </c>
      <c r="R42" s="59">
        <f>Servant!$S$22+($F42+($F42*0.5*($D42-1)))*(R$3-1)</f>
        <v>6155.2666666666673</v>
      </c>
      <c r="S42" s="59">
        <f>Servant!$S$22+($F42+($F42*0.5*($D42-1)))*(S$3-1)</f>
        <v>6692.0933333333342</v>
      </c>
      <c r="T42" s="59">
        <f>Servant!$S$22+($F42+($F42*0.5*($D42-1)))*(T$3-1)</f>
        <v>7228.92</v>
      </c>
      <c r="U42" s="59">
        <f>Servant!$S$22+($F42+($F42*0.5*($D42-1)))*(U$3-1)</f>
        <v>7765.7466666666669</v>
      </c>
      <c r="V42" s="59">
        <f>Servant!$S$22+($F42+($F42*0.5*($D42-1)))*(V$3-1)</f>
        <v>8302.5733333333337</v>
      </c>
      <c r="W42" s="59">
        <f>Servant!$S$22+($F42+($F42*0.5*($D42-1)))*(W$3-1)</f>
        <v>8839.4000000000015</v>
      </c>
      <c r="X42" s="59">
        <f>Servant!$S$22+($F42+($F42*0.5*($D42-1)))*(X$3-1)</f>
        <v>9376.2266666666674</v>
      </c>
      <c r="Y42" s="59">
        <f>Servant!$S$22+($F42+($F42*0.5*($D42-1)))*(Y$3-1)</f>
        <v>9913.0533333333333</v>
      </c>
      <c r="Z42" s="59">
        <f>Servant!$S$22+($F42+($F42*0.5*($D42-1)))*(Z$3-1)</f>
        <v>10449.880000000001</v>
      </c>
      <c r="AA42" s="59">
        <f>Servant!$S$22+($F42+($F42*0.5*($D42-1)))*(AA$3-1)</f>
        <v>10986.706666666667</v>
      </c>
      <c r="AB42" s="59">
        <f>Servant!$S$22+($F42+($F42*0.5*($D42-1)))*(AB$3-1)</f>
        <v>11523.533333333335</v>
      </c>
      <c r="AC42" s="59">
        <f>Servant!$S$22+($F42+($F42*0.5*($D42-1)))*(AC$3-1)</f>
        <v>12060.36</v>
      </c>
      <c r="AD42" s="59">
        <f>Servant!$S$22+($F42+($F42*0.5*($D42-1)))*(AD$3-1)</f>
        <v>12597.186666666668</v>
      </c>
      <c r="AE42" s="59">
        <f>Servant!$S$22+($F42+($F42*0.5*($D42-1)))*(AE$3-1)</f>
        <v>13134.013333333334</v>
      </c>
      <c r="AF42" s="59">
        <f>Servant!$S$22+($F42+($F42*0.5*($D42-1)))*(AF$3-1)</f>
        <v>13670.84</v>
      </c>
      <c r="AG42" s="59">
        <f>Servant!$S$22+($F42+($F42*0.5*($D42-1)))*(AG$3-1)</f>
        <v>14207.666666666668</v>
      </c>
      <c r="AH42" s="59">
        <f>Servant!$S$22+($F42+($F42*0.5*($D42-1)))*(AH$3-1)</f>
        <v>14744.493333333334</v>
      </c>
      <c r="AI42" s="59">
        <f>Servant!$S$22+($F42+($F42*0.5*($D42-1)))*(AI$3-1)</f>
        <v>15281.320000000002</v>
      </c>
      <c r="AJ42" s="59">
        <f>Servant!$S$22+($F42+($F42*0.5*($D42-1)))*(AJ$3-1)</f>
        <v>15818.146666666667</v>
      </c>
      <c r="AK42" s="59">
        <f>Servant!$S$22+($F42+($F42*0.5*($D42-1)))*(AK$3-1)</f>
        <v>16354.973333333335</v>
      </c>
    </row>
    <row r="43" spans="2:37" x14ac:dyDescent="0.3">
      <c r="B43" s="287"/>
      <c r="C43" s="292"/>
      <c r="D43" s="58">
        <v>5</v>
      </c>
      <c r="E43" s="58">
        <f>ServantLevelUPdStatus!$G$22+(ServantLevelUPdStatus!$G$22*0.5*($D43-1))</f>
        <v>644.19200000000001</v>
      </c>
      <c r="F43" s="58">
        <f>F42</f>
        <v>214.73066666666668</v>
      </c>
      <c r="H43" s="59">
        <f>Servant!$S$22+($F43+($F43*0.5*($D43-1)))*(H$3-1)</f>
        <v>787</v>
      </c>
      <c r="I43" s="59">
        <f>Servant!$S$22+($F43+($F43*0.5*($D43-1)))*(I$3-1)</f>
        <v>1431.192</v>
      </c>
      <c r="J43" s="59">
        <f>Servant!$S$22+($F43+($F43*0.5*($D43-1)))*(J$3-1)</f>
        <v>2075.384</v>
      </c>
      <c r="K43" s="59">
        <f>Servant!$S$22+($F43+($F43*0.5*($D43-1)))*(K$3-1)</f>
        <v>2719.576</v>
      </c>
      <c r="L43" s="59">
        <f>Servant!$S$22+($F43+($F43*0.5*($D43-1)))*(L$3-1)</f>
        <v>3363.768</v>
      </c>
      <c r="M43" s="59">
        <f>Servant!$S$22+($F43+($F43*0.5*($D43-1)))*(M$3-1)</f>
        <v>4007.96</v>
      </c>
      <c r="N43" s="59">
        <f>Servant!$S$22+($F43+($F43*0.5*($D43-1)))*(N$3-1)</f>
        <v>4652.152</v>
      </c>
      <c r="O43" s="59">
        <f>Servant!$S$22+($F43+($F43*0.5*($D43-1)))*(O$3-1)</f>
        <v>5296.3440000000001</v>
      </c>
      <c r="P43" s="59">
        <f>Servant!$S$22+($F43+($F43*0.5*($D43-1)))*(P$3-1)</f>
        <v>5940.5360000000001</v>
      </c>
      <c r="Q43" s="59">
        <f>Servant!$S$22+($F43+($F43*0.5*($D43-1)))*(Q$3-1)</f>
        <v>6584.7280000000001</v>
      </c>
      <c r="R43" s="59">
        <f>Servant!$S$22+($F43+($F43*0.5*($D43-1)))*(R$3-1)</f>
        <v>7228.92</v>
      </c>
      <c r="S43" s="59">
        <f>Servant!$S$22+($F43+($F43*0.5*($D43-1)))*(S$3-1)</f>
        <v>7873.1120000000001</v>
      </c>
      <c r="T43" s="59">
        <f>Servant!$S$22+($F43+($F43*0.5*($D43-1)))*(T$3-1)</f>
        <v>8517.3040000000001</v>
      </c>
      <c r="U43" s="59">
        <f>Servant!$S$22+($F43+($F43*0.5*($D43-1)))*(U$3-1)</f>
        <v>9161.4959999999992</v>
      </c>
      <c r="V43" s="59">
        <f>Servant!$S$22+($F43+($F43*0.5*($D43-1)))*(V$3-1)</f>
        <v>9805.6880000000001</v>
      </c>
      <c r="W43" s="59">
        <f>Servant!$S$22+($F43+($F43*0.5*($D43-1)))*(W$3-1)</f>
        <v>10449.880000000001</v>
      </c>
      <c r="X43" s="59">
        <f>Servant!$S$22+($F43+($F43*0.5*($D43-1)))*(X$3-1)</f>
        <v>11094.072</v>
      </c>
      <c r="Y43" s="59">
        <f>Servant!$S$22+($F43+($F43*0.5*($D43-1)))*(Y$3-1)</f>
        <v>11738.263999999999</v>
      </c>
      <c r="Z43" s="59">
        <f>Servant!$S$22+($F43+($F43*0.5*($D43-1)))*(Z$3-1)</f>
        <v>12382.456</v>
      </c>
      <c r="AA43" s="59">
        <f>Servant!$S$22+($F43+($F43*0.5*($D43-1)))*(AA$3-1)</f>
        <v>13026.648000000001</v>
      </c>
      <c r="AB43" s="59">
        <f>Servant!$S$22+($F43+($F43*0.5*($D43-1)))*(AB$3-1)</f>
        <v>13670.84</v>
      </c>
      <c r="AC43" s="59">
        <f>Servant!$S$22+($F43+($F43*0.5*($D43-1)))*(AC$3-1)</f>
        <v>14315.031999999999</v>
      </c>
      <c r="AD43" s="59">
        <f>Servant!$S$22+($F43+($F43*0.5*($D43-1)))*(AD$3-1)</f>
        <v>14959.224</v>
      </c>
      <c r="AE43" s="59">
        <f>Servant!$S$22+($F43+($F43*0.5*($D43-1)))*(AE$3-1)</f>
        <v>15603.416000000001</v>
      </c>
      <c r="AF43" s="59">
        <f>Servant!$S$22+($F43+($F43*0.5*($D43-1)))*(AF$3-1)</f>
        <v>16247.608</v>
      </c>
      <c r="AG43" s="59">
        <f>Servant!$S$22+($F43+($F43*0.5*($D43-1)))*(AG$3-1)</f>
        <v>16891.8</v>
      </c>
      <c r="AH43" s="59">
        <f>Servant!$S$22+($F43+($F43*0.5*($D43-1)))*(AH$3-1)</f>
        <v>17535.991999999998</v>
      </c>
      <c r="AI43" s="59">
        <f>Servant!$S$22+($F43+($F43*0.5*($D43-1)))*(AI$3-1)</f>
        <v>18180.184000000001</v>
      </c>
      <c r="AJ43" s="59">
        <f>Servant!$S$22+($F43+($F43*0.5*($D43-1)))*(AJ$3-1)</f>
        <v>18824.376</v>
      </c>
      <c r="AK43" s="59">
        <f>Servant!$S$22+($F43+($F43*0.5*($D43-1)))*(AK$3-1)</f>
        <v>19468.567999999999</v>
      </c>
    </row>
    <row r="44" spans="2:37" x14ac:dyDescent="0.3">
      <c r="B44" s="287"/>
      <c r="C44" s="292"/>
      <c r="D44" s="58">
        <v>6</v>
      </c>
      <c r="E44" s="58">
        <f>ServantLevelUPdStatus!$G$22+(ServantLevelUPdStatus!$G$22*0.5*($D44-1))</f>
        <v>751.55733333333342</v>
      </c>
      <c r="F44" s="58">
        <f>F43</f>
        <v>214.73066666666668</v>
      </c>
      <c r="H44" s="59">
        <f>Servant!$S$22+($F44+($F44*0.5*($D44-1)))*(H$3-1)</f>
        <v>787</v>
      </c>
      <c r="I44" s="59">
        <f>Servant!$S$22+($F44+($F44*0.5*($D44-1)))*(I$3-1)</f>
        <v>1538.5573333333334</v>
      </c>
      <c r="J44" s="59">
        <f>Servant!$S$22+($F44+($F44*0.5*($D44-1)))*(J$3-1)</f>
        <v>2290.1146666666668</v>
      </c>
      <c r="K44" s="59">
        <f>Servant!$S$22+($F44+($F44*0.5*($D44-1)))*(K$3-1)</f>
        <v>3041.6720000000005</v>
      </c>
      <c r="L44" s="59">
        <f>Servant!$S$22+($F44+($F44*0.5*($D44-1)))*(L$3-1)</f>
        <v>3793.2293333333337</v>
      </c>
      <c r="M44" s="59">
        <f>Servant!$S$22+($F44+($F44*0.5*($D44-1)))*(M$3-1)</f>
        <v>4544.7866666666669</v>
      </c>
      <c r="N44" s="59">
        <f>Servant!$S$22+($F44+($F44*0.5*($D44-1)))*(N$3-1)</f>
        <v>5296.344000000001</v>
      </c>
      <c r="O44" s="59">
        <f>Servant!$S$22+($F44+($F44*0.5*($D44-1)))*(O$3-1)</f>
        <v>6047.9013333333342</v>
      </c>
      <c r="P44" s="59">
        <f>Servant!$S$22+($F44+($F44*0.5*($D44-1)))*(P$3-1)</f>
        <v>6799.4586666666673</v>
      </c>
      <c r="Q44" s="59">
        <f>Servant!$S$22+($F44+($F44*0.5*($D44-1)))*(Q$3-1)</f>
        <v>7551.0160000000005</v>
      </c>
      <c r="R44" s="59">
        <f>Servant!$S$22+($F44+($F44*0.5*($D44-1)))*(R$3-1)</f>
        <v>8302.5733333333337</v>
      </c>
      <c r="S44" s="59">
        <f>Servant!$S$22+($F44+($F44*0.5*($D44-1)))*(S$3-1)</f>
        <v>9054.1306666666678</v>
      </c>
      <c r="T44" s="59">
        <f>Servant!$S$22+($F44+($F44*0.5*($D44-1)))*(T$3-1)</f>
        <v>9805.6880000000019</v>
      </c>
      <c r="U44" s="59">
        <f>Servant!$S$22+($F44+($F44*0.5*($D44-1)))*(U$3-1)</f>
        <v>10557.245333333334</v>
      </c>
      <c r="V44" s="59">
        <f>Servant!$S$22+($F44+($F44*0.5*($D44-1)))*(V$3-1)</f>
        <v>11308.802666666668</v>
      </c>
      <c r="W44" s="59">
        <f>Servant!$S$22+($F44+($F44*0.5*($D44-1)))*(W$3-1)</f>
        <v>12060.36</v>
      </c>
      <c r="X44" s="59">
        <f>Servant!$S$22+($F44+($F44*0.5*($D44-1)))*(X$3-1)</f>
        <v>12811.917333333335</v>
      </c>
      <c r="Y44" s="59">
        <f>Servant!$S$22+($F44+($F44*0.5*($D44-1)))*(Y$3-1)</f>
        <v>13563.474666666669</v>
      </c>
      <c r="Z44" s="59">
        <f>Servant!$S$22+($F44+($F44*0.5*($D44-1)))*(Z$3-1)</f>
        <v>14315.032000000001</v>
      </c>
      <c r="AA44" s="59">
        <f>Servant!$S$22+($F44+($F44*0.5*($D44-1)))*(AA$3-1)</f>
        <v>15066.589333333335</v>
      </c>
      <c r="AB44" s="59">
        <f>Servant!$S$22+($F44+($F44*0.5*($D44-1)))*(AB$3-1)</f>
        <v>15818.146666666667</v>
      </c>
      <c r="AC44" s="59">
        <f>Servant!$S$22+($F44+($F44*0.5*($D44-1)))*(AC$3-1)</f>
        <v>16569.704000000002</v>
      </c>
      <c r="AD44" s="59">
        <f>Servant!$S$22+($F44+($F44*0.5*($D44-1)))*(AD$3-1)</f>
        <v>17321.261333333336</v>
      </c>
      <c r="AE44" s="59">
        <f>Servant!$S$22+($F44+($F44*0.5*($D44-1)))*(AE$3-1)</f>
        <v>18072.81866666667</v>
      </c>
      <c r="AF44" s="59">
        <f>Servant!$S$22+($F44+($F44*0.5*($D44-1)))*(AF$3-1)</f>
        <v>18824.376000000004</v>
      </c>
      <c r="AG44" s="59">
        <f>Servant!$S$22+($F44+($F44*0.5*($D44-1)))*(AG$3-1)</f>
        <v>19575.933333333334</v>
      </c>
      <c r="AH44" s="59">
        <f>Servant!$S$22+($F44+($F44*0.5*($D44-1)))*(AH$3-1)</f>
        <v>20327.490666666668</v>
      </c>
      <c r="AI44" s="59">
        <f>Servant!$S$22+($F44+($F44*0.5*($D44-1)))*(AI$3-1)</f>
        <v>21079.048000000003</v>
      </c>
      <c r="AJ44" s="59">
        <f>Servant!$S$22+($F44+($F44*0.5*($D44-1)))*(AJ$3-1)</f>
        <v>21830.605333333337</v>
      </c>
      <c r="AK44" s="59">
        <f>Servant!$S$22+($F44+($F44*0.5*($D44-1)))*(AK$3-1)</f>
        <v>22582.162666666671</v>
      </c>
    </row>
    <row r="46" spans="2:37" x14ac:dyDescent="0.3">
      <c r="B46" s="286" t="s">
        <v>258</v>
      </c>
      <c r="C46" s="289" t="s">
        <v>217</v>
      </c>
      <c r="D46" s="54">
        <v>1</v>
      </c>
      <c r="E46" s="54">
        <f>ServantLevelUPdStatus!$H$6+(ServantLevelUPdStatus!$H$6*0.5*($D46-1))</f>
        <v>0.3</v>
      </c>
      <c r="F46" s="54">
        <f>ServantLevelUPdStatus!H$6</f>
        <v>0.3</v>
      </c>
      <c r="H46" s="55">
        <f>Servant!$T$6+($F46+($F46*0.5*($D46-1)))*(H$3-1)</f>
        <v>113</v>
      </c>
      <c r="I46" s="55">
        <f>Servant!$T$6+($F46+($F46*0.5*($D46-1)))*(I$3-1)</f>
        <v>113.3</v>
      </c>
      <c r="J46" s="55">
        <f>Servant!$T$6+($F46+($F46*0.5*($D46-1)))*(J$3-1)</f>
        <v>113.6</v>
      </c>
      <c r="K46" s="55">
        <f>Servant!$T$6+($F46+($F46*0.5*($D46-1)))*(K$3-1)</f>
        <v>113.9</v>
      </c>
      <c r="L46" s="55">
        <f>Servant!$T$6+($F46+($F46*0.5*($D46-1)))*(L$3-1)</f>
        <v>114.2</v>
      </c>
      <c r="M46" s="55">
        <f>Servant!$T$6+($F46+($F46*0.5*($D46-1)))*(M$3-1)</f>
        <v>114.5</v>
      </c>
      <c r="N46" s="55">
        <f>Servant!$T$6+($F46+($F46*0.5*($D46-1)))*(N$3-1)</f>
        <v>114.8</v>
      </c>
      <c r="O46" s="55">
        <f>Servant!$T$6+($F46+($F46*0.5*($D46-1)))*(O$3-1)</f>
        <v>115.1</v>
      </c>
      <c r="P46" s="55">
        <f>Servant!$T$6+($F46+($F46*0.5*($D46-1)))*(P$3-1)</f>
        <v>115.4</v>
      </c>
      <c r="Q46" s="55">
        <f>Servant!$T$6+($F46+($F46*0.5*($D46-1)))*(Q$3-1)</f>
        <v>115.7</v>
      </c>
      <c r="R46" s="55">
        <f>Servant!$T$6+($F46+($F46*0.5*($D46-1)))*(R$3-1)</f>
        <v>116</v>
      </c>
      <c r="S46" s="55">
        <f>Servant!$T$6+($F46+($F46*0.5*($D46-1)))*(S$3-1)</f>
        <v>116.3</v>
      </c>
      <c r="T46" s="55">
        <f>Servant!$T$6+($F46+($F46*0.5*($D46-1)))*(T$3-1)</f>
        <v>116.6</v>
      </c>
      <c r="U46" s="55">
        <f>Servant!$T$6+($F46+($F46*0.5*($D46-1)))*(U$3-1)</f>
        <v>116.9</v>
      </c>
      <c r="V46" s="55">
        <f>Servant!$T$6+($F46+($F46*0.5*($D46-1)))*(V$3-1)</f>
        <v>117.2</v>
      </c>
      <c r="W46" s="55">
        <f>Servant!$T$6+($F46+($F46*0.5*($D46-1)))*(W$3-1)</f>
        <v>117.5</v>
      </c>
      <c r="X46" s="55">
        <f>Servant!$T$6+($F46+($F46*0.5*($D46-1)))*(X$3-1)</f>
        <v>117.8</v>
      </c>
      <c r="Y46" s="55">
        <f>Servant!$T$6+($F46+($F46*0.5*($D46-1)))*(Y$3-1)</f>
        <v>118.1</v>
      </c>
      <c r="Z46" s="55">
        <f>Servant!$T$6+($F46+($F46*0.5*($D46-1)))*(Z$3-1)</f>
        <v>118.4</v>
      </c>
      <c r="AA46" s="55">
        <f>Servant!$T$6+($F46+($F46*0.5*($D46-1)))*(AA$3-1)</f>
        <v>118.7</v>
      </c>
      <c r="AB46" s="55">
        <f>Servant!$T$6+($F46+($F46*0.5*($D46-1)))*(AB$3-1)</f>
        <v>119</v>
      </c>
      <c r="AC46" s="55">
        <f>Servant!$T$6+($F46+($F46*0.5*($D46-1)))*(AC$3-1)</f>
        <v>119.3</v>
      </c>
      <c r="AD46" s="55">
        <f>Servant!$T$6+($F46+($F46*0.5*($D46-1)))*(AD$3-1)</f>
        <v>119.6</v>
      </c>
      <c r="AE46" s="55">
        <f>Servant!$T$6+($F46+($F46*0.5*($D46-1)))*(AE$3-1)</f>
        <v>119.9</v>
      </c>
      <c r="AF46" s="55">
        <f>Servant!$T$6+($F46+($F46*0.5*($D46-1)))*(AF$3-1)</f>
        <v>120.2</v>
      </c>
      <c r="AG46" s="55">
        <f>Servant!$T$6+($F46+($F46*0.5*($D46-1)))*(AG$3-1)</f>
        <v>120.5</v>
      </c>
      <c r="AH46" s="55">
        <f>Servant!$T$6+($F46+($F46*0.5*($D46-1)))*(AH$3-1)</f>
        <v>120.8</v>
      </c>
      <c r="AI46" s="55">
        <f>Servant!$T$6+($F46+($F46*0.5*($D46-1)))*(AI$3-1)</f>
        <v>121.1</v>
      </c>
      <c r="AJ46" s="55">
        <f>Servant!$T$6+($F46+($F46*0.5*($D46-1)))*(AJ$3-1)</f>
        <v>121.4</v>
      </c>
      <c r="AK46" s="55">
        <f>Servant!$T$6+($F46+($F46*0.5*($D46-1)))*(AK$3-1)</f>
        <v>121.7</v>
      </c>
    </row>
    <row r="47" spans="2:37" x14ac:dyDescent="0.3">
      <c r="B47" s="287"/>
      <c r="C47" s="289"/>
      <c r="D47" s="54">
        <v>2</v>
      </c>
      <c r="E47" s="54">
        <f>ServantLevelUPdStatus!$H$6+(ServantLevelUPdStatus!$H$6*0.5*($D47-1))</f>
        <v>0.44999999999999996</v>
      </c>
      <c r="F47" s="54">
        <f>F46</f>
        <v>0.3</v>
      </c>
      <c r="H47" s="55">
        <f>Servant!$T$6+($F47+($F47*0.5*($D47-1)))*(H$3-1)</f>
        <v>113</v>
      </c>
      <c r="I47" s="55">
        <f>Servant!$T$6+($F47+($F47*0.5*($D47-1)))*(I$3-1)</f>
        <v>113.45</v>
      </c>
      <c r="J47" s="55">
        <f>Servant!$T$6+($F47+($F47*0.5*($D47-1)))*(J$3-1)</f>
        <v>113.9</v>
      </c>
      <c r="K47" s="55">
        <f>Servant!$T$6+($F47+($F47*0.5*($D47-1)))*(K$3-1)</f>
        <v>114.35</v>
      </c>
      <c r="L47" s="55">
        <f>Servant!$T$6+($F47+($F47*0.5*($D47-1)))*(L$3-1)</f>
        <v>114.8</v>
      </c>
      <c r="M47" s="55">
        <f>Servant!$T$6+($F47+($F47*0.5*($D47-1)))*(M$3-1)</f>
        <v>115.25</v>
      </c>
      <c r="N47" s="55">
        <f>Servant!$T$6+($F47+($F47*0.5*($D47-1)))*(N$3-1)</f>
        <v>115.7</v>
      </c>
      <c r="O47" s="55">
        <f>Servant!$T$6+($F47+($F47*0.5*($D47-1)))*(O$3-1)</f>
        <v>116.15</v>
      </c>
      <c r="P47" s="55">
        <f>Servant!$T$6+($F47+($F47*0.5*($D47-1)))*(P$3-1)</f>
        <v>116.6</v>
      </c>
      <c r="Q47" s="55">
        <f>Servant!$T$6+($F47+($F47*0.5*($D47-1)))*(Q$3-1)</f>
        <v>117.05</v>
      </c>
      <c r="R47" s="55">
        <f>Servant!$T$6+($F47+($F47*0.5*($D47-1)))*(R$3-1)</f>
        <v>117.5</v>
      </c>
      <c r="S47" s="55">
        <f>Servant!$T$6+($F47+($F47*0.5*($D47-1)))*(S$3-1)</f>
        <v>117.95</v>
      </c>
      <c r="T47" s="55">
        <f>Servant!$T$6+($F47+($F47*0.5*($D47-1)))*(T$3-1)</f>
        <v>118.4</v>
      </c>
      <c r="U47" s="55">
        <f>Servant!$T$6+($F47+($F47*0.5*($D47-1)))*(U$3-1)</f>
        <v>118.85</v>
      </c>
      <c r="V47" s="55">
        <f>Servant!$T$6+($F47+($F47*0.5*($D47-1)))*(V$3-1)</f>
        <v>119.3</v>
      </c>
      <c r="W47" s="55">
        <f>Servant!$T$6+($F47+($F47*0.5*($D47-1)))*(W$3-1)</f>
        <v>119.75</v>
      </c>
      <c r="X47" s="55">
        <f>Servant!$T$6+($F47+($F47*0.5*($D47-1)))*(X$3-1)</f>
        <v>120.2</v>
      </c>
      <c r="Y47" s="55">
        <f>Servant!$T$6+($F47+($F47*0.5*($D47-1)))*(Y$3-1)</f>
        <v>120.65</v>
      </c>
      <c r="Z47" s="55">
        <f>Servant!$T$6+($F47+($F47*0.5*($D47-1)))*(Z$3-1)</f>
        <v>121.1</v>
      </c>
      <c r="AA47" s="55">
        <f>Servant!$T$6+($F47+($F47*0.5*($D47-1)))*(AA$3-1)</f>
        <v>121.55</v>
      </c>
      <c r="AB47" s="55">
        <f>Servant!$T$6+($F47+($F47*0.5*($D47-1)))*(AB$3-1)</f>
        <v>122</v>
      </c>
      <c r="AC47" s="55">
        <f>Servant!$T$6+($F47+($F47*0.5*($D47-1)))*(AC$3-1)</f>
        <v>122.45</v>
      </c>
      <c r="AD47" s="55">
        <f>Servant!$T$6+($F47+($F47*0.5*($D47-1)))*(AD$3-1)</f>
        <v>122.9</v>
      </c>
      <c r="AE47" s="55">
        <f>Servant!$T$6+($F47+($F47*0.5*($D47-1)))*(AE$3-1)</f>
        <v>123.35</v>
      </c>
      <c r="AF47" s="55">
        <f>Servant!$T$6+($F47+($F47*0.5*($D47-1)))*(AF$3-1)</f>
        <v>123.8</v>
      </c>
      <c r="AG47" s="55">
        <f>Servant!$T$6+($F47+($F47*0.5*($D47-1)))*(AG$3-1)</f>
        <v>124.25</v>
      </c>
      <c r="AH47" s="55">
        <f>Servant!$T$6+($F47+($F47*0.5*($D47-1)))*(AH$3-1)</f>
        <v>124.7</v>
      </c>
      <c r="AI47" s="55">
        <f>Servant!$T$6+($F47+($F47*0.5*($D47-1)))*(AI$3-1)</f>
        <v>125.15</v>
      </c>
      <c r="AJ47" s="55">
        <f>Servant!$T$6+($F47+($F47*0.5*($D47-1)))*(AJ$3-1)</f>
        <v>125.6</v>
      </c>
      <c r="AK47" s="55">
        <f>Servant!$T$6+($F47+($F47*0.5*($D47-1)))*(AK$3-1)</f>
        <v>126.05</v>
      </c>
    </row>
    <row r="48" spans="2:37" x14ac:dyDescent="0.3">
      <c r="B48" s="287"/>
      <c r="C48" s="289"/>
      <c r="D48" s="54">
        <v>3</v>
      </c>
      <c r="E48" s="54">
        <f>ServantLevelUPdStatus!$H$6+(ServantLevelUPdStatus!$H$6*0.5*($D48-1))</f>
        <v>0.6</v>
      </c>
      <c r="F48" s="54">
        <f>F47</f>
        <v>0.3</v>
      </c>
      <c r="H48" s="55">
        <f>Servant!$T$6+($F48+($F48*0.5*($D48-1)))*(H$3-1)</f>
        <v>113</v>
      </c>
      <c r="I48" s="55">
        <f>Servant!$T$6+($F48+($F48*0.5*($D48-1)))*(I$3-1)</f>
        <v>113.6</v>
      </c>
      <c r="J48" s="55">
        <f>Servant!$T$6+($F48+($F48*0.5*($D48-1)))*(J$3-1)</f>
        <v>114.2</v>
      </c>
      <c r="K48" s="55">
        <f>Servant!$T$6+($F48+($F48*0.5*($D48-1)))*(K$3-1)</f>
        <v>114.8</v>
      </c>
      <c r="L48" s="55">
        <f>Servant!$T$6+($F48+($F48*0.5*($D48-1)))*(L$3-1)</f>
        <v>115.4</v>
      </c>
      <c r="M48" s="55">
        <f>Servant!$T$6+($F48+($F48*0.5*($D48-1)))*(M$3-1)</f>
        <v>116</v>
      </c>
      <c r="N48" s="55">
        <f>Servant!$T$6+($F48+($F48*0.5*($D48-1)))*(N$3-1)</f>
        <v>116.6</v>
      </c>
      <c r="O48" s="55">
        <f>Servant!$T$6+($F48+($F48*0.5*($D48-1)))*(O$3-1)</f>
        <v>117.2</v>
      </c>
      <c r="P48" s="55">
        <f>Servant!$T$6+($F48+($F48*0.5*($D48-1)))*(P$3-1)</f>
        <v>117.8</v>
      </c>
      <c r="Q48" s="55">
        <f>Servant!$T$6+($F48+($F48*0.5*($D48-1)))*(Q$3-1)</f>
        <v>118.4</v>
      </c>
      <c r="R48" s="55">
        <f>Servant!$T$6+($F48+($F48*0.5*($D48-1)))*(R$3-1)</f>
        <v>119</v>
      </c>
      <c r="S48" s="55">
        <f>Servant!$T$6+($F48+($F48*0.5*($D48-1)))*(S$3-1)</f>
        <v>119.6</v>
      </c>
      <c r="T48" s="55">
        <f>Servant!$T$6+($F48+($F48*0.5*($D48-1)))*(T$3-1)</f>
        <v>120.2</v>
      </c>
      <c r="U48" s="55">
        <f>Servant!$T$6+($F48+($F48*0.5*($D48-1)))*(U$3-1)</f>
        <v>120.8</v>
      </c>
      <c r="V48" s="55">
        <f>Servant!$T$6+($F48+($F48*0.5*($D48-1)))*(V$3-1)</f>
        <v>121.4</v>
      </c>
      <c r="W48" s="55">
        <f>Servant!$T$6+($F48+($F48*0.5*($D48-1)))*(W$3-1)</f>
        <v>122</v>
      </c>
      <c r="X48" s="55">
        <f>Servant!$T$6+($F48+($F48*0.5*($D48-1)))*(X$3-1)</f>
        <v>122.6</v>
      </c>
      <c r="Y48" s="55">
        <f>Servant!$T$6+($F48+($F48*0.5*($D48-1)))*(Y$3-1)</f>
        <v>123.2</v>
      </c>
      <c r="Z48" s="55">
        <f>Servant!$T$6+($F48+($F48*0.5*($D48-1)))*(Z$3-1)</f>
        <v>123.8</v>
      </c>
      <c r="AA48" s="55">
        <f>Servant!$T$6+($F48+($F48*0.5*($D48-1)))*(AA$3-1)</f>
        <v>124.4</v>
      </c>
      <c r="AB48" s="55">
        <f>Servant!$T$6+($F48+($F48*0.5*($D48-1)))*(AB$3-1)</f>
        <v>125</v>
      </c>
      <c r="AC48" s="55">
        <f>Servant!$T$6+($F48+($F48*0.5*($D48-1)))*(AC$3-1)</f>
        <v>125.6</v>
      </c>
      <c r="AD48" s="55">
        <f>Servant!$T$6+($F48+($F48*0.5*($D48-1)))*(AD$3-1)</f>
        <v>126.2</v>
      </c>
      <c r="AE48" s="55">
        <f>Servant!$T$6+($F48+($F48*0.5*($D48-1)))*(AE$3-1)</f>
        <v>126.8</v>
      </c>
      <c r="AF48" s="55">
        <f>Servant!$T$6+($F48+($F48*0.5*($D48-1)))*(AF$3-1)</f>
        <v>127.4</v>
      </c>
      <c r="AG48" s="55">
        <f>Servant!$T$6+($F48+($F48*0.5*($D48-1)))*(AG$3-1)</f>
        <v>128</v>
      </c>
      <c r="AH48" s="55">
        <f>Servant!$T$6+($F48+($F48*0.5*($D48-1)))*(AH$3-1)</f>
        <v>128.6</v>
      </c>
      <c r="AI48" s="55">
        <f>Servant!$T$6+($F48+($F48*0.5*($D48-1)))*(AI$3-1)</f>
        <v>129.19999999999999</v>
      </c>
      <c r="AJ48" s="55">
        <f>Servant!$T$6+($F48+($F48*0.5*($D48-1)))*(AJ$3-1)</f>
        <v>129.80000000000001</v>
      </c>
      <c r="AK48" s="55">
        <f>Servant!$T$6+($F48+($F48*0.5*($D48-1)))*(AK$3-1)</f>
        <v>130.4</v>
      </c>
    </row>
    <row r="49" spans="2:37" x14ac:dyDescent="0.3">
      <c r="B49" s="287"/>
      <c r="C49" s="290" t="s">
        <v>243</v>
      </c>
      <c r="D49" s="52">
        <v>2</v>
      </c>
      <c r="E49" s="52">
        <f>ServantLevelUPdStatus!$H$12+(ServantLevelUPdStatus!$H$12*0.5*($D49-1))</f>
        <v>0.52499999999999991</v>
      </c>
      <c r="F49" s="52">
        <f>ServantLevelUPdStatus!H$12</f>
        <v>0.35</v>
      </c>
      <c r="H49" s="53">
        <f>Servant!$T$12+($F49+($F49*0.5*($D49-1)))*(H$3-1)</f>
        <v>121</v>
      </c>
      <c r="I49" s="53">
        <f>Servant!$T$12+($F49+($F49*0.5*($D49-1)))*(I$3-1)</f>
        <v>121.52500000000001</v>
      </c>
      <c r="J49" s="53">
        <f>Servant!$T$12+($F49+($F49*0.5*($D49-1)))*(J$3-1)</f>
        <v>122.05</v>
      </c>
      <c r="K49" s="53">
        <f>Servant!$T$12+($F49+($F49*0.5*($D49-1)))*(K$3-1)</f>
        <v>122.575</v>
      </c>
      <c r="L49" s="53">
        <f>Servant!$T$12+($F49+($F49*0.5*($D49-1)))*(L$3-1)</f>
        <v>123.1</v>
      </c>
      <c r="M49" s="53">
        <f>Servant!$T$12+($F49+($F49*0.5*($D49-1)))*(M$3-1)</f>
        <v>123.625</v>
      </c>
      <c r="N49" s="53">
        <f>Servant!$T$12+($F49+($F49*0.5*($D49-1)))*(N$3-1)</f>
        <v>124.15</v>
      </c>
      <c r="O49" s="53">
        <f>Servant!$T$12+($F49+($F49*0.5*($D49-1)))*(O$3-1)</f>
        <v>124.675</v>
      </c>
      <c r="P49" s="53">
        <f>Servant!$T$12+($F49+($F49*0.5*($D49-1)))*(P$3-1)</f>
        <v>125.2</v>
      </c>
      <c r="Q49" s="53">
        <f>Servant!$T$12+($F49+($F49*0.5*($D49-1)))*(Q$3-1)</f>
        <v>125.72499999999999</v>
      </c>
      <c r="R49" s="53">
        <f>Servant!$T$12+($F49+($F49*0.5*($D49-1)))*(R$3-1)</f>
        <v>126.25</v>
      </c>
      <c r="S49" s="53">
        <f>Servant!$T$12+($F49+($F49*0.5*($D49-1)))*(S$3-1)</f>
        <v>126.77500000000001</v>
      </c>
      <c r="T49" s="53">
        <f>Servant!$T$12+($F49+($F49*0.5*($D49-1)))*(T$3-1)</f>
        <v>127.3</v>
      </c>
      <c r="U49" s="53">
        <f>Servant!$T$12+($F49+($F49*0.5*($D49-1)))*(U$3-1)</f>
        <v>127.825</v>
      </c>
      <c r="V49" s="53">
        <f>Servant!$T$12+($F49+($F49*0.5*($D49-1)))*(V$3-1)</f>
        <v>128.35</v>
      </c>
      <c r="W49" s="53">
        <f>Servant!$T$12+($F49+($F49*0.5*($D49-1)))*(W$3-1)</f>
        <v>128.875</v>
      </c>
      <c r="X49" s="53">
        <f>Servant!$T$12+($F49+($F49*0.5*($D49-1)))*(X$3-1)</f>
        <v>129.4</v>
      </c>
      <c r="Y49" s="53">
        <f>Servant!$T$12+($F49+($F49*0.5*($D49-1)))*(Y$3-1)</f>
        <v>129.92500000000001</v>
      </c>
      <c r="Z49" s="53">
        <f>Servant!$T$12+($F49+($F49*0.5*($D49-1)))*(Z$3-1)</f>
        <v>130.44999999999999</v>
      </c>
      <c r="AA49" s="53">
        <f>Servant!$T$12+($F49+($F49*0.5*($D49-1)))*(AA$3-1)</f>
        <v>130.97499999999999</v>
      </c>
      <c r="AB49" s="53">
        <f>Servant!$T$12+($F49+($F49*0.5*($D49-1)))*(AB$3-1)</f>
        <v>131.5</v>
      </c>
      <c r="AC49" s="53">
        <f>Servant!$T$12+($F49+($F49*0.5*($D49-1)))*(AC$3-1)</f>
        <v>132.02500000000001</v>
      </c>
      <c r="AD49" s="53">
        <f>Servant!$T$12+($F49+($F49*0.5*($D49-1)))*(AD$3-1)</f>
        <v>132.55000000000001</v>
      </c>
      <c r="AE49" s="53">
        <f>Servant!$T$12+($F49+($F49*0.5*($D49-1)))*(AE$3-1)</f>
        <v>133.07499999999999</v>
      </c>
      <c r="AF49" s="53">
        <f>Servant!$T$12+($F49+($F49*0.5*($D49-1)))*(AF$3-1)</f>
        <v>133.6</v>
      </c>
      <c r="AG49" s="53">
        <f>Servant!$T$12+($F49+($F49*0.5*($D49-1)))*(AG$3-1)</f>
        <v>134.125</v>
      </c>
      <c r="AH49" s="53">
        <f>Servant!$T$12+($F49+($F49*0.5*($D49-1)))*(AH$3-1)</f>
        <v>134.65</v>
      </c>
      <c r="AI49" s="53">
        <f>Servant!$T$12+($F49+($F49*0.5*($D49-1)))*(AI$3-1)</f>
        <v>135.17500000000001</v>
      </c>
      <c r="AJ49" s="53">
        <f>Servant!$T$12+($F49+($F49*0.5*($D49-1)))*(AJ$3-1)</f>
        <v>135.69999999999999</v>
      </c>
      <c r="AK49" s="53">
        <f>Servant!$T$12+($F49+($F49*0.5*($D49-1)))*(AK$3-1)</f>
        <v>136.22499999999999</v>
      </c>
    </row>
    <row r="50" spans="2:37" x14ac:dyDescent="0.3">
      <c r="B50" s="287"/>
      <c r="C50" s="290"/>
      <c r="D50" s="52">
        <v>3</v>
      </c>
      <c r="E50" s="52">
        <f>ServantLevelUPdStatus!$H$12+(ServantLevelUPdStatus!$H$12*0.5*($D50-1))</f>
        <v>0.7</v>
      </c>
      <c r="F50" s="52">
        <f>F49</f>
        <v>0.35</v>
      </c>
      <c r="H50" s="53">
        <f>Servant!$T$12+($F50+($F50*0.5*($D50-1)))*(H$3-1)</f>
        <v>121</v>
      </c>
      <c r="I50" s="53">
        <f>Servant!$T$12+($F50+($F50*0.5*($D50-1)))*(I$3-1)</f>
        <v>121.7</v>
      </c>
      <c r="J50" s="53">
        <f>Servant!$T$12+($F50+($F50*0.5*($D50-1)))*(J$3-1)</f>
        <v>122.4</v>
      </c>
      <c r="K50" s="53">
        <f>Servant!$T$12+($F50+($F50*0.5*($D50-1)))*(K$3-1)</f>
        <v>123.1</v>
      </c>
      <c r="L50" s="53">
        <f>Servant!$T$12+($F50+($F50*0.5*($D50-1)))*(L$3-1)</f>
        <v>123.8</v>
      </c>
      <c r="M50" s="53">
        <f>Servant!$T$12+($F50+($F50*0.5*($D50-1)))*(M$3-1)</f>
        <v>124.5</v>
      </c>
      <c r="N50" s="53">
        <f>Servant!$T$12+($F50+($F50*0.5*($D50-1)))*(N$3-1)</f>
        <v>125.2</v>
      </c>
      <c r="O50" s="53">
        <f>Servant!$T$12+($F50+($F50*0.5*($D50-1)))*(O$3-1)</f>
        <v>125.9</v>
      </c>
      <c r="P50" s="53">
        <f>Servant!$T$12+($F50+($F50*0.5*($D50-1)))*(P$3-1)</f>
        <v>126.6</v>
      </c>
      <c r="Q50" s="53">
        <f>Servant!$T$12+($F50+($F50*0.5*($D50-1)))*(Q$3-1)</f>
        <v>127.3</v>
      </c>
      <c r="R50" s="53">
        <f>Servant!$T$12+($F50+($F50*0.5*($D50-1)))*(R$3-1)</f>
        <v>128</v>
      </c>
      <c r="S50" s="53">
        <f>Servant!$T$12+($F50+($F50*0.5*($D50-1)))*(S$3-1)</f>
        <v>128.69999999999999</v>
      </c>
      <c r="T50" s="53">
        <f>Servant!$T$12+($F50+($F50*0.5*($D50-1)))*(T$3-1)</f>
        <v>129.4</v>
      </c>
      <c r="U50" s="53">
        <f>Servant!$T$12+($F50+($F50*0.5*($D50-1)))*(U$3-1)</f>
        <v>130.1</v>
      </c>
      <c r="V50" s="53">
        <f>Servant!$T$12+($F50+($F50*0.5*($D50-1)))*(V$3-1)</f>
        <v>130.80000000000001</v>
      </c>
      <c r="W50" s="53">
        <f>Servant!$T$12+($F50+($F50*0.5*($D50-1)))*(W$3-1)</f>
        <v>131.5</v>
      </c>
      <c r="X50" s="53">
        <f>Servant!$T$12+($F50+($F50*0.5*($D50-1)))*(X$3-1)</f>
        <v>132.19999999999999</v>
      </c>
      <c r="Y50" s="53">
        <f>Servant!$T$12+($F50+($F50*0.5*($D50-1)))*(Y$3-1)</f>
        <v>132.9</v>
      </c>
      <c r="Z50" s="53">
        <f>Servant!$T$12+($F50+($F50*0.5*($D50-1)))*(Z$3-1)</f>
        <v>133.6</v>
      </c>
      <c r="AA50" s="53">
        <f>Servant!$T$12+($F50+($F50*0.5*($D50-1)))*(AA$3-1)</f>
        <v>134.30000000000001</v>
      </c>
      <c r="AB50" s="53">
        <f>Servant!$T$12+($F50+($F50*0.5*($D50-1)))*(AB$3-1)</f>
        <v>135</v>
      </c>
      <c r="AC50" s="53">
        <f>Servant!$T$12+($F50+($F50*0.5*($D50-1)))*(AC$3-1)</f>
        <v>135.69999999999999</v>
      </c>
      <c r="AD50" s="53">
        <f>Servant!$T$12+($F50+($F50*0.5*($D50-1)))*(AD$3-1)</f>
        <v>136.4</v>
      </c>
      <c r="AE50" s="53">
        <f>Servant!$T$12+($F50+($F50*0.5*($D50-1)))*(AE$3-1)</f>
        <v>137.1</v>
      </c>
      <c r="AF50" s="53">
        <f>Servant!$T$12+($F50+($F50*0.5*($D50-1)))*(AF$3-1)</f>
        <v>137.80000000000001</v>
      </c>
      <c r="AG50" s="53">
        <f>Servant!$T$12+($F50+($F50*0.5*($D50-1)))*(AG$3-1)</f>
        <v>138.5</v>
      </c>
      <c r="AH50" s="53">
        <f>Servant!$T$12+($F50+($F50*0.5*($D50-1)))*(AH$3-1)</f>
        <v>139.19999999999999</v>
      </c>
      <c r="AI50" s="53">
        <f>Servant!$T$12+($F50+($F50*0.5*($D50-1)))*(AI$3-1)</f>
        <v>139.9</v>
      </c>
      <c r="AJ50" s="53">
        <f>Servant!$T$12+($F50+($F50*0.5*($D50-1)))*(AJ$3-1)</f>
        <v>140.6</v>
      </c>
      <c r="AK50" s="53">
        <f>Servant!$T$12+($F50+($F50*0.5*($D50-1)))*(AK$3-1)</f>
        <v>141.30000000000001</v>
      </c>
    </row>
    <row r="51" spans="2:37" x14ac:dyDescent="0.3">
      <c r="B51" s="287"/>
      <c r="C51" s="290"/>
      <c r="D51" s="52">
        <v>4</v>
      </c>
      <c r="E51" s="52">
        <f>ServantLevelUPdStatus!$H$12+(ServantLevelUPdStatus!$H$12*0.5*($D51-1))</f>
        <v>0.87499999999999989</v>
      </c>
      <c r="F51" s="52">
        <f>F50</f>
        <v>0.35</v>
      </c>
      <c r="H51" s="53">
        <f>Servant!$T$12+($F51+($F51*0.5*($D51-1)))*(H$3-1)</f>
        <v>121</v>
      </c>
      <c r="I51" s="53">
        <f>Servant!$T$12+($F51+($F51*0.5*($D51-1)))*(I$3-1)</f>
        <v>121.875</v>
      </c>
      <c r="J51" s="53">
        <f>Servant!$T$12+($F51+($F51*0.5*($D51-1)))*(J$3-1)</f>
        <v>122.75</v>
      </c>
      <c r="K51" s="53">
        <f>Servant!$T$12+($F51+($F51*0.5*($D51-1)))*(K$3-1)</f>
        <v>123.625</v>
      </c>
      <c r="L51" s="53">
        <f>Servant!$T$12+($F51+($F51*0.5*($D51-1)))*(L$3-1)</f>
        <v>124.5</v>
      </c>
      <c r="M51" s="53">
        <f>Servant!$T$12+($F51+($F51*0.5*($D51-1)))*(M$3-1)</f>
        <v>125.375</v>
      </c>
      <c r="N51" s="53">
        <f>Servant!$T$12+($F51+($F51*0.5*($D51-1)))*(N$3-1)</f>
        <v>126.25</v>
      </c>
      <c r="O51" s="53">
        <f>Servant!$T$12+($F51+($F51*0.5*($D51-1)))*(O$3-1)</f>
        <v>127.125</v>
      </c>
      <c r="P51" s="53">
        <f>Servant!$T$12+($F51+($F51*0.5*($D51-1)))*(P$3-1)</f>
        <v>128</v>
      </c>
      <c r="Q51" s="53">
        <f>Servant!$T$12+($F51+($F51*0.5*($D51-1)))*(Q$3-1)</f>
        <v>128.875</v>
      </c>
      <c r="R51" s="53">
        <f>Servant!$T$12+($F51+($F51*0.5*($D51-1)))*(R$3-1)</f>
        <v>129.75</v>
      </c>
      <c r="S51" s="53">
        <f>Servant!$T$12+($F51+($F51*0.5*($D51-1)))*(S$3-1)</f>
        <v>130.625</v>
      </c>
      <c r="T51" s="53">
        <f>Servant!$T$12+($F51+($F51*0.5*($D51-1)))*(T$3-1)</f>
        <v>131.5</v>
      </c>
      <c r="U51" s="53">
        <f>Servant!$T$12+($F51+($F51*0.5*($D51-1)))*(U$3-1)</f>
        <v>132.375</v>
      </c>
      <c r="V51" s="53">
        <f>Servant!$T$12+($F51+($F51*0.5*($D51-1)))*(V$3-1)</f>
        <v>133.25</v>
      </c>
      <c r="W51" s="53">
        <f>Servant!$T$12+($F51+($F51*0.5*($D51-1)))*(W$3-1)</f>
        <v>134.125</v>
      </c>
      <c r="X51" s="53">
        <f>Servant!$T$12+($F51+($F51*0.5*($D51-1)))*(X$3-1)</f>
        <v>135</v>
      </c>
      <c r="Y51" s="53">
        <f>Servant!$T$12+($F51+($F51*0.5*($D51-1)))*(Y$3-1)</f>
        <v>135.875</v>
      </c>
      <c r="Z51" s="53">
        <f>Servant!$T$12+($F51+($F51*0.5*($D51-1)))*(Z$3-1)</f>
        <v>136.75</v>
      </c>
      <c r="AA51" s="53">
        <f>Servant!$T$12+($F51+($F51*0.5*($D51-1)))*(AA$3-1)</f>
        <v>137.625</v>
      </c>
      <c r="AB51" s="53">
        <f>Servant!$T$12+($F51+($F51*0.5*($D51-1)))*(AB$3-1)</f>
        <v>138.5</v>
      </c>
      <c r="AC51" s="53">
        <f>Servant!$T$12+($F51+($F51*0.5*($D51-1)))*(AC$3-1)</f>
        <v>139.375</v>
      </c>
      <c r="AD51" s="53">
        <f>Servant!$T$12+($F51+($F51*0.5*($D51-1)))*(AD$3-1)</f>
        <v>140.25</v>
      </c>
      <c r="AE51" s="53">
        <f>Servant!$T$12+($F51+($F51*0.5*($D51-1)))*(AE$3-1)</f>
        <v>141.125</v>
      </c>
      <c r="AF51" s="53">
        <f>Servant!$T$12+($F51+($F51*0.5*($D51-1)))*(AF$3-1)</f>
        <v>142</v>
      </c>
      <c r="AG51" s="53">
        <f>Servant!$T$12+($F51+($F51*0.5*($D51-1)))*(AG$3-1)</f>
        <v>142.875</v>
      </c>
      <c r="AH51" s="53">
        <f>Servant!$T$12+($F51+($F51*0.5*($D51-1)))*(AH$3-1)</f>
        <v>143.75</v>
      </c>
      <c r="AI51" s="53">
        <f>Servant!$T$12+($F51+($F51*0.5*($D51-1)))*(AI$3-1)</f>
        <v>144.625</v>
      </c>
      <c r="AJ51" s="53">
        <f>Servant!$T$12+($F51+($F51*0.5*($D51-1)))*(AJ$3-1)</f>
        <v>145.5</v>
      </c>
      <c r="AK51" s="53">
        <f>Servant!$T$12+($F51+($F51*0.5*($D51-1)))*(AK$3-1)</f>
        <v>146.375</v>
      </c>
    </row>
    <row r="52" spans="2:37" x14ac:dyDescent="0.3">
      <c r="B52" s="287"/>
      <c r="C52" s="291" t="s">
        <v>244</v>
      </c>
      <c r="D52" s="56">
        <v>3</v>
      </c>
      <c r="E52" s="56">
        <f>ServantLevelUPdStatus!$H$18+(ServantLevelUPdStatus!$H$18*0.5*($D52-1))</f>
        <v>0.79999999999999993</v>
      </c>
      <c r="F52" s="56">
        <f>ServantLevelUPdStatus!H$18</f>
        <v>0.39999999999999997</v>
      </c>
      <c r="H52" s="57">
        <f>Servant!$T$18+($F52+($F52*0.5*($D52-1)))*(H$3-1)</f>
        <v>161</v>
      </c>
      <c r="I52" s="57">
        <f>Servant!$T$18+($F52+($F52*0.5*($D52-1)))*(I$3-1)</f>
        <v>161.80000000000001</v>
      </c>
      <c r="J52" s="57">
        <f>Servant!$T$18+($F52+($F52*0.5*($D52-1)))*(J$3-1)</f>
        <v>162.6</v>
      </c>
      <c r="K52" s="57">
        <f>Servant!$T$18+($F52+($F52*0.5*($D52-1)))*(K$3-1)</f>
        <v>163.4</v>
      </c>
      <c r="L52" s="57">
        <f>Servant!$T$18+($F52+($F52*0.5*($D52-1)))*(L$3-1)</f>
        <v>164.2</v>
      </c>
      <c r="M52" s="57">
        <f>Servant!$T$18+($F52+($F52*0.5*($D52-1)))*(M$3-1)</f>
        <v>165</v>
      </c>
      <c r="N52" s="57">
        <f>Servant!$T$18+($F52+($F52*0.5*($D52-1)))*(N$3-1)</f>
        <v>165.8</v>
      </c>
      <c r="O52" s="57">
        <f>Servant!$T$18+($F52+($F52*0.5*($D52-1)))*(O$3-1)</f>
        <v>166.6</v>
      </c>
      <c r="P52" s="57">
        <f>Servant!$T$18+($F52+($F52*0.5*($D52-1)))*(P$3-1)</f>
        <v>167.4</v>
      </c>
      <c r="Q52" s="57">
        <f>Servant!$T$18+($F52+($F52*0.5*($D52-1)))*(Q$3-1)</f>
        <v>168.2</v>
      </c>
      <c r="R52" s="57">
        <f>Servant!$T$18+($F52+($F52*0.5*($D52-1)))*(R$3-1)</f>
        <v>169</v>
      </c>
      <c r="S52" s="57">
        <f>Servant!$T$18+($F52+($F52*0.5*($D52-1)))*(S$3-1)</f>
        <v>169.8</v>
      </c>
      <c r="T52" s="57">
        <f>Servant!$T$18+($F52+($F52*0.5*($D52-1)))*(T$3-1)</f>
        <v>170.6</v>
      </c>
      <c r="U52" s="57">
        <f>Servant!$T$18+($F52+($F52*0.5*($D52-1)))*(U$3-1)</f>
        <v>171.4</v>
      </c>
      <c r="V52" s="57">
        <f>Servant!$T$18+($F52+($F52*0.5*($D52-1)))*(V$3-1)</f>
        <v>172.2</v>
      </c>
      <c r="W52" s="57">
        <f>Servant!$T$18+($F52+($F52*0.5*($D52-1)))*(W$3-1)</f>
        <v>173</v>
      </c>
      <c r="X52" s="57">
        <f>Servant!$T$18+($F52+($F52*0.5*($D52-1)))*(X$3-1)</f>
        <v>173.8</v>
      </c>
      <c r="Y52" s="57">
        <f>Servant!$T$18+($F52+($F52*0.5*($D52-1)))*(Y$3-1)</f>
        <v>174.6</v>
      </c>
      <c r="Z52" s="57">
        <f>Servant!$T$18+($F52+($F52*0.5*($D52-1)))*(Z$3-1)</f>
        <v>175.4</v>
      </c>
      <c r="AA52" s="57">
        <f>Servant!$T$18+($F52+($F52*0.5*($D52-1)))*(AA$3-1)</f>
        <v>176.2</v>
      </c>
      <c r="AB52" s="57">
        <f>Servant!$T$18+($F52+($F52*0.5*($D52-1)))*(AB$3-1)</f>
        <v>177</v>
      </c>
      <c r="AC52" s="57">
        <f>Servant!$T$18+($F52+($F52*0.5*($D52-1)))*(AC$3-1)</f>
        <v>177.8</v>
      </c>
      <c r="AD52" s="57">
        <f>Servant!$T$18+($F52+($F52*0.5*($D52-1)))*(AD$3-1)</f>
        <v>178.6</v>
      </c>
      <c r="AE52" s="57">
        <f>Servant!$T$18+($F52+($F52*0.5*($D52-1)))*(AE$3-1)</f>
        <v>179.4</v>
      </c>
      <c r="AF52" s="57">
        <f>Servant!$T$18+($F52+($F52*0.5*($D52-1)))*(AF$3-1)</f>
        <v>180.2</v>
      </c>
      <c r="AG52" s="57">
        <f>Servant!$T$18+($F52+($F52*0.5*($D52-1)))*(AG$3-1)</f>
        <v>181</v>
      </c>
      <c r="AH52" s="57">
        <f>Servant!$T$18+($F52+($F52*0.5*($D52-1)))*(AH$3-1)</f>
        <v>181.8</v>
      </c>
      <c r="AI52" s="57">
        <f>Servant!$T$18+($F52+($F52*0.5*($D52-1)))*(AI$3-1)</f>
        <v>182.6</v>
      </c>
      <c r="AJ52" s="57">
        <f>Servant!$T$18+($F52+($F52*0.5*($D52-1)))*(AJ$3-1)</f>
        <v>183.4</v>
      </c>
      <c r="AK52" s="57">
        <f>Servant!$T$18+($F52+($F52*0.5*($D52-1)))*(AK$3-1)</f>
        <v>184.2</v>
      </c>
    </row>
    <row r="53" spans="2:37" x14ac:dyDescent="0.3">
      <c r="B53" s="287"/>
      <c r="C53" s="291"/>
      <c r="D53" s="56">
        <v>4</v>
      </c>
      <c r="E53" s="56">
        <f>ServantLevelUPdStatus!$H$18+(ServantLevelUPdStatus!$H$18*0.5*($D53-1))</f>
        <v>1</v>
      </c>
      <c r="F53" s="56">
        <f>F52</f>
        <v>0.39999999999999997</v>
      </c>
      <c r="H53" s="57">
        <f>Servant!$T$18+($F53+($F53*0.5*($D53-1)))*(H$3-1)</f>
        <v>161</v>
      </c>
      <c r="I53" s="57">
        <f>Servant!$T$18+($F53+($F53*0.5*($D53-1)))*(I$3-1)</f>
        <v>162</v>
      </c>
      <c r="J53" s="57">
        <f>Servant!$T$18+($F53+($F53*0.5*($D53-1)))*(J$3-1)</f>
        <v>163</v>
      </c>
      <c r="K53" s="57">
        <f>Servant!$T$18+($F53+($F53*0.5*($D53-1)))*(K$3-1)</f>
        <v>164</v>
      </c>
      <c r="L53" s="57">
        <f>Servant!$T$18+($F53+($F53*0.5*($D53-1)))*(L$3-1)</f>
        <v>165</v>
      </c>
      <c r="M53" s="57">
        <f>Servant!$T$18+($F53+($F53*0.5*($D53-1)))*(M$3-1)</f>
        <v>166</v>
      </c>
      <c r="N53" s="57">
        <f>Servant!$T$18+($F53+($F53*0.5*($D53-1)))*(N$3-1)</f>
        <v>167</v>
      </c>
      <c r="O53" s="57">
        <f>Servant!$T$18+($F53+($F53*0.5*($D53-1)))*(O$3-1)</f>
        <v>168</v>
      </c>
      <c r="P53" s="57">
        <f>Servant!$T$18+($F53+($F53*0.5*($D53-1)))*(P$3-1)</f>
        <v>169</v>
      </c>
      <c r="Q53" s="57">
        <f>Servant!$T$18+($F53+($F53*0.5*($D53-1)))*(Q$3-1)</f>
        <v>170</v>
      </c>
      <c r="R53" s="57">
        <f>Servant!$T$18+($F53+($F53*0.5*($D53-1)))*(R$3-1)</f>
        <v>171</v>
      </c>
      <c r="S53" s="57">
        <f>Servant!$T$18+($F53+($F53*0.5*($D53-1)))*(S$3-1)</f>
        <v>172</v>
      </c>
      <c r="T53" s="57">
        <f>Servant!$T$18+($F53+($F53*0.5*($D53-1)))*(T$3-1)</f>
        <v>173</v>
      </c>
      <c r="U53" s="57">
        <f>Servant!$T$18+($F53+($F53*0.5*($D53-1)))*(U$3-1)</f>
        <v>174</v>
      </c>
      <c r="V53" s="57">
        <f>Servant!$T$18+($F53+($F53*0.5*($D53-1)))*(V$3-1)</f>
        <v>175</v>
      </c>
      <c r="W53" s="57">
        <f>Servant!$T$18+($F53+($F53*0.5*($D53-1)))*(W$3-1)</f>
        <v>176</v>
      </c>
      <c r="X53" s="57">
        <f>Servant!$T$18+($F53+($F53*0.5*($D53-1)))*(X$3-1)</f>
        <v>177</v>
      </c>
      <c r="Y53" s="57">
        <f>Servant!$T$18+($F53+($F53*0.5*($D53-1)))*(Y$3-1)</f>
        <v>178</v>
      </c>
      <c r="Z53" s="57">
        <f>Servant!$T$18+($F53+($F53*0.5*($D53-1)))*(Z$3-1)</f>
        <v>179</v>
      </c>
      <c r="AA53" s="57">
        <f>Servant!$T$18+($F53+($F53*0.5*($D53-1)))*(AA$3-1)</f>
        <v>180</v>
      </c>
      <c r="AB53" s="57">
        <f>Servant!$T$18+($F53+($F53*0.5*($D53-1)))*(AB$3-1)</f>
        <v>181</v>
      </c>
      <c r="AC53" s="57">
        <f>Servant!$T$18+($F53+($F53*0.5*($D53-1)))*(AC$3-1)</f>
        <v>182</v>
      </c>
      <c r="AD53" s="57">
        <f>Servant!$T$18+($F53+($F53*0.5*($D53-1)))*(AD$3-1)</f>
        <v>183</v>
      </c>
      <c r="AE53" s="57">
        <f>Servant!$T$18+($F53+($F53*0.5*($D53-1)))*(AE$3-1)</f>
        <v>184</v>
      </c>
      <c r="AF53" s="57">
        <f>Servant!$T$18+($F53+($F53*0.5*($D53-1)))*(AF$3-1)</f>
        <v>185</v>
      </c>
      <c r="AG53" s="57">
        <f>Servant!$T$18+($F53+($F53*0.5*($D53-1)))*(AG$3-1)</f>
        <v>186</v>
      </c>
      <c r="AH53" s="57">
        <f>Servant!$T$18+($F53+($F53*0.5*($D53-1)))*(AH$3-1)</f>
        <v>187</v>
      </c>
      <c r="AI53" s="57">
        <f>Servant!$T$18+($F53+($F53*0.5*($D53-1)))*(AI$3-1)</f>
        <v>188</v>
      </c>
      <c r="AJ53" s="57">
        <f>Servant!$T$18+($F53+($F53*0.5*($D53-1)))*(AJ$3-1)</f>
        <v>189</v>
      </c>
      <c r="AK53" s="57">
        <f>Servant!$T$18+($F53+($F53*0.5*($D53-1)))*(AK$3-1)</f>
        <v>190</v>
      </c>
    </row>
    <row r="54" spans="2:37" x14ac:dyDescent="0.3">
      <c r="B54" s="287"/>
      <c r="C54" s="291"/>
      <c r="D54" s="56">
        <v>5</v>
      </c>
      <c r="E54" s="56">
        <f>ServantLevelUPdStatus!$H$18+(ServantLevelUPdStatus!$H$18*0.5*($D54-1))</f>
        <v>1.2</v>
      </c>
      <c r="F54" s="56">
        <f>F53</f>
        <v>0.39999999999999997</v>
      </c>
      <c r="H54" s="57">
        <f>Servant!$T$18+($F54+($F54*0.5*($D54-1)))*(H$3-1)</f>
        <v>161</v>
      </c>
      <c r="I54" s="57">
        <f>Servant!$T$18+($F54+($F54*0.5*($D54-1)))*(I$3-1)</f>
        <v>162.19999999999999</v>
      </c>
      <c r="J54" s="57">
        <f>Servant!$T$18+($F54+($F54*0.5*($D54-1)))*(J$3-1)</f>
        <v>163.4</v>
      </c>
      <c r="K54" s="57">
        <f>Servant!$T$18+($F54+($F54*0.5*($D54-1)))*(K$3-1)</f>
        <v>164.6</v>
      </c>
      <c r="L54" s="57">
        <f>Servant!$T$18+($F54+($F54*0.5*($D54-1)))*(L$3-1)</f>
        <v>165.8</v>
      </c>
      <c r="M54" s="57">
        <f>Servant!$T$18+($F54+($F54*0.5*($D54-1)))*(M$3-1)</f>
        <v>167</v>
      </c>
      <c r="N54" s="57">
        <f>Servant!$T$18+($F54+($F54*0.5*($D54-1)))*(N$3-1)</f>
        <v>168.2</v>
      </c>
      <c r="O54" s="57">
        <f>Servant!$T$18+($F54+($F54*0.5*($D54-1)))*(O$3-1)</f>
        <v>169.4</v>
      </c>
      <c r="P54" s="57">
        <f>Servant!$T$18+($F54+($F54*0.5*($D54-1)))*(P$3-1)</f>
        <v>170.6</v>
      </c>
      <c r="Q54" s="57">
        <f>Servant!$T$18+($F54+($F54*0.5*($D54-1)))*(Q$3-1)</f>
        <v>171.8</v>
      </c>
      <c r="R54" s="57">
        <f>Servant!$T$18+($F54+($F54*0.5*($D54-1)))*(R$3-1)</f>
        <v>173</v>
      </c>
      <c r="S54" s="57">
        <f>Servant!$T$18+($F54+($F54*0.5*($D54-1)))*(S$3-1)</f>
        <v>174.2</v>
      </c>
      <c r="T54" s="57">
        <f>Servant!$T$18+($F54+($F54*0.5*($D54-1)))*(T$3-1)</f>
        <v>175.4</v>
      </c>
      <c r="U54" s="57">
        <f>Servant!$T$18+($F54+($F54*0.5*($D54-1)))*(U$3-1)</f>
        <v>176.6</v>
      </c>
      <c r="V54" s="57">
        <f>Servant!$T$18+($F54+($F54*0.5*($D54-1)))*(V$3-1)</f>
        <v>177.8</v>
      </c>
      <c r="W54" s="57">
        <f>Servant!$T$18+($F54+($F54*0.5*($D54-1)))*(W$3-1)</f>
        <v>179</v>
      </c>
      <c r="X54" s="57">
        <f>Servant!$T$18+($F54+($F54*0.5*($D54-1)))*(X$3-1)</f>
        <v>180.2</v>
      </c>
      <c r="Y54" s="57">
        <f>Servant!$T$18+($F54+($F54*0.5*($D54-1)))*(Y$3-1)</f>
        <v>181.4</v>
      </c>
      <c r="Z54" s="57">
        <f>Servant!$T$18+($F54+($F54*0.5*($D54-1)))*(Z$3-1)</f>
        <v>182.6</v>
      </c>
      <c r="AA54" s="57">
        <f>Servant!$T$18+($F54+($F54*0.5*($D54-1)))*(AA$3-1)</f>
        <v>183.8</v>
      </c>
      <c r="AB54" s="57">
        <f>Servant!$T$18+($F54+($F54*0.5*($D54-1)))*(AB$3-1)</f>
        <v>185</v>
      </c>
      <c r="AC54" s="57">
        <f>Servant!$T$18+($F54+($F54*0.5*($D54-1)))*(AC$3-1)</f>
        <v>186.2</v>
      </c>
      <c r="AD54" s="57">
        <f>Servant!$T$18+($F54+($F54*0.5*($D54-1)))*(AD$3-1)</f>
        <v>187.4</v>
      </c>
      <c r="AE54" s="57">
        <f>Servant!$T$18+($F54+($F54*0.5*($D54-1)))*(AE$3-1)</f>
        <v>188.6</v>
      </c>
      <c r="AF54" s="57">
        <f>Servant!$T$18+($F54+($F54*0.5*($D54-1)))*(AF$3-1)</f>
        <v>189.8</v>
      </c>
      <c r="AG54" s="57">
        <f>Servant!$T$18+($F54+($F54*0.5*($D54-1)))*(AG$3-1)</f>
        <v>191</v>
      </c>
      <c r="AH54" s="57">
        <f>Servant!$T$18+($F54+($F54*0.5*($D54-1)))*(AH$3-1)</f>
        <v>192.2</v>
      </c>
      <c r="AI54" s="57">
        <f>Servant!$T$18+($F54+($F54*0.5*($D54-1)))*(AI$3-1)</f>
        <v>193.4</v>
      </c>
      <c r="AJ54" s="57">
        <f>Servant!$T$18+($F54+($F54*0.5*($D54-1)))*(AJ$3-1)</f>
        <v>194.6</v>
      </c>
      <c r="AK54" s="57">
        <f>Servant!$T$18+($F54+($F54*0.5*($D54-1)))*(AK$3-1)</f>
        <v>195.8</v>
      </c>
    </row>
    <row r="55" spans="2:37" x14ac:dyDescent="0.3">
      <c r="B55" s="287"/>
      <c r="C55" s="292" t="s">
        <v>245</v>
      </c>
      <c r="D55" s="58">
        <v>4</v>
      </c>
      <c r="E55" s="58">
        <f>ServantLevelUPdStatus!$H$22+(ServantLevelUPdStatus!$H$22*0.5*($D55-1))</f>
        <v>1.125</v>
      </c>
      <c r="F55" s="58">
        <f>ServantLevelUPdStatus!H$22</f>
        <v>0.44999999999999996</v>
      </c>
      <c r="H55" s="59">
        <f>Servant!$T$22+($F55+($F55*0.5*($D55-1)))*(H$3-1)</f>
        <v>125</v>
      </c>
      <c r="I55" s="59">
        <f>Servant!$T$22+($F55+($F55*0.5*($D55-1)))*(I$3-1)</f>
        <v>126.125</v>
      </c>
      <c r="J55" s="59">
        <f>Servant!$T$22+($F55+($F55*0.5*($D55-1)))*(J$3-1)</f>
        <v>127.25</v>
      </c>
      <c r="K55" s="59">
        <f>Servant!$T$22+($F55+($F55*0.5*($D55-1)))*(K$3-1)</f>
        <v>128.375</v>
      </c>
      <c r="L55" s="59">
        <f>Servant!$T$22+($F55+($F55*0.5*($D55-1)))*(L$3-1)</f>
        <v>129.5</v>
      </c>
      <c r="M55" s="59">
        <f>Servant!$T$22+($F55+($F55*0.5*($D55-1)))*(M$3-1)</f>
        <v>130.625</v>
      </c>
      <c r="N55" s="59">
        <f>Servant!$T$22+($F55+($F55*0.5*($D55-1)))*(N$3-1)</f>
        <v>131.75</v>
      </c>
      <c r="O55" s="59">
        <f>Servant!$T$22+($F55+($F55*0.5*($D55-1)))*(O$3-1)</f>
        <v>132.875</v>
      </c>
      <c r="P55" s="59">
        <f>Servant!$T$22+($F55+($F55*0.5*($D55-1)))*(P$3-1)</f>
        <v>134</v>
      </c>
      <c r="Q55" s="59">
        <f>Servant!$T$22+($F55+($F55*0.5*($D55-1)))*(Q$3-1)</f>
        <v>135.125</v>
      </c>
      <c r="R55" s="59">
        <f>Servant!$T$22+($F55+($F55*0.5*($D55-1)))*(R$3-1)</f>
        <v>136.25</v>
      </c>
      <c r="S55" s="59">
        <f>Servant!$T$22+($F55+($F55*0.5*($D55-1)))*(S$3-1)</f>
        <v>137.375</v>
      </c>
      <c r="T55" s="59">
        <f>Servant!$T$22+($F55+($F55*0.5*($D55-1)))*(T$3-1)</f>
        <v>138.5</v>
      </c>
      <c r="U55" s="59">
        <f>Servant!$T$22+($F55+($F55*0.5*($D55-1)))*(U$3-1)</f>
        <v>139.625</v>
      </c>
      <c r="V55" s="59">
        <f>Servant!$T$22+($F55+($F55*0.5*($D55-1)))*(V$3-1)</f>
        <v>140.75</v>
      </c>
      <c r="W55" s="59">
        <f>Servant!$T$22+($F55+($F55*0.5*($D55-1)))*(W$3-1)</f>
        <v>141.875</v>
      </c>
      <c r="X55" s="59">
        <f>Servant!$T$22+($F55+($F55*0.5*($D55-1)))*(X$3-1)</f>
        <v>143</v>
      </c>
      <c r="Y55" s="59">
        <f>Servant!$T$22+($F55+($F55*0.5*($D55-1)))*(Y$3-1)</f>
        <v>144.125</v>
      </c>
      <c r="Z55" s="59">
        <f>Servant!$T$22+($F55+($F55*0.5*($D55-1)))*(Z$3-1)</f>
        <v>145.25</v>
      </c>
      <c r="AA55" s="59">
        <f>Servant!$T$22+($F55+($F55*0.5*($D55-1)))*(AA$3-1)</f>
        <v>146.375</v>
      </c>
      <c r="AB55" s="59">
        <f>Servant!$T$22+($F55+($F55*0.5*($D55-1)))*(AB$3-1)</f>
        <v>147.5</v>
      </c>
      <c r="AC55" s="59">
        <f>Servant!$T$22+($F55+($F55*0.5*($D55-1)))*(AC$3-1)</f>
        <v>148.625</v>
      </c>
      <c r="AD55" s="59">
        <f>Servant!$T$22+($F55+($F55*0.5*($D55-1)))*(AD$3-1)</f>
        <v>149.75</v>
      </c>
      <c r="AE55" s="59">
        <f>Servant!$T$22+($F55+($F55*0.5*($D55-1)))*(AE$3-1)</f>
        <v>150.875</v>
      </c>
      <c r="AF55" s="59">
        <f>Servant!$T$22+($F55+($F55*0.5*($D55-1)))*(AF$3-1)</f>
        <v>152</v>
      </c>
      <c r="AG55" s="59">
        <f>Servant!$T$22+($F55+($F55*0.5*($D55-1)))*(AG$3-1)</f>
        <v>153.125</v>
      </c>
      <c r="AH55" s="59">
        <f>Servant!$T$22+($F55+($F55*0.5*($D55-1)))*(AH$3-1)</f>
        <v>154.25</v>
      </c>
      <c r="AI55" s="59">
        <f>Servant!$T$22+($F55+($F55*0.5*($D55-1)))*(AI$3-1)</f>
        <v>155.375</v>
      </c>
      <c r="AJ55" s="59">
        <f>Servant!$T$22+($F55+($F55*0.5*($D55-1)))*(AJ$3-1)</f>
        <v>156.5</v>
      </c>
      <c r="AK55" s="59">
        <f>Servant!$T$22+($F55+($F55*0.5*($D55-1)))*(AK$3-1)</f>
        <v>157.625</v>
      </c>
    </row>
    <row r="56" spans="2:37" x14ac:dyDescent="0.3">
      <c r="B56" s="287"/>
      <c r="C56" s="292"/>
      <c r="D56" s="58">
        <v>5</v>
      </c>
      <c r="E56" s="58">
        <f>ServantLevelUPdStatus!$H$22+(ServantLevelUPdStatus!$H$22*0.5*($D56-1))</f>
        <v>1.3499999999999999</v>
      </c>
      <c r="F56" s="58">
        <f>F55</f>
        <v>0.44999999999999996</v>
      </c>
      <c r="H56" s="59">
        <f>Servant!$T$22+($F56+($F56*0.5*($D56-1)))*(H$3-1)</f>
        <v>125</v>
      </c>
      <c r="I56" s="59">
        <f>Servant!$T$22+($F56+($F56*0.5*($D56-1)))*(I$3-1)</f>
        <v>126.35</v>
      </c>
      <c r="J56" s="59">
        <f>Servant!$T$22+($F56+($F56*0.5*($D56-1)))*(J$3-1)</f>
        <v>127.7</v>
      </c>
      <c r="K56" s="59">
        <f>Servant!$T$22+($F56+($F56*0.5*($D56-1)))*(K$3-1)</f>
        <v>129.05000000000001</v>
      </c>
      <c r="L56" s="59">
        <f>Servant!$T$22+($F56+($F56*0.5*($D56-1)))*(L$3-1)</f>
        <v>130.4</v>
      </c>
      <c r="M56" s="59">
        <f>Servant!$T$22+($F56+($F56*0.5*($D56-1)))*(M$3-1)</f>
        <v>131.75</v>
      </c>
      <c r="N56" s="59">
        <f>Servant!$T$22+($F56+($F56*0.5*($D56-1)))*(N$3-1)</f>
        <v>133.1</v>
      </c>
      <c r="O56" s="59">
        <f>Servant!$T$22+($F56+($F56*0.5*($D56-1)))*(O$3-1)</f>
        <v>134.44999999999999</v>
      </c>
      <c r="P56" s="59">
        <f>Servant!$T$22+($F56+($F56*0.5*($D56-1)))*(P$3-1)</f>
        <v>135.80000000000001</v>
      </c>
      <c r="Q56" s="59">
        <f>Servant!$T$22+($F56+($F56*0.5*($D56-1)))*(Q$3-1)</f>
        <v>137.15</v>
      </c>
      <c r="R56" s="59">
        <f>Servant!$T$22+($F56+($F56*0.5*($D56-1)))*(R$3-1)</f>
        <v>138.5</v>
      </c>
      <c r="S56" s="59">
        <f>Servant!$T$22+($F56+($F56*0.5*($D56-1)))*(S$3-1)</f>
        <v>139.85</v>
      </c>
      <c r="T56" s="59">
        <f>Servant!$T$22+($F56+($F56*0.5*($D56-1)))*(T$3-1)</f>
        <v>141.19999999999999</v>
      </c>
      <c r="U56" s="59">
        <f>Servant!$T$22+($F56+($F56*0.5*($D56-1)))*(U$3-1)</f>
        <v>142.55000000000001</v>
      </c>
      <c r="V56" s="59">
        <f>Servant!$T$22+($F56+($F56*0.5*($D56-1)))*(V$3-1)</f>
        <v>143.9</v>
      </c>
      <c r="W56" s="59">
        <f>Servant!$T$22+($F56+($F56*0.5*($D56-1)))*(W$3-1)</f>
        <v>145.25</v>
      </c>
      <c r="X56" s="59">
        <f>Servant!$T$22+($F56+($F56*0.5*($D56-1)))*(X$3-1)</f>
        <v>146.6</v>
      </c>
      <c r="Y56" s="59">
        <f>Servant!$T$22+($F56+($F56*0.5*($D56-1)))*(Y$3-1)</f>
        <v>147.94999999999999</v>
      </c>
      <c r="Z56" s="59">
        <f>Servant!$T$22+($F56+($F56*0.5*($D56-1)))*(Z$3-1)</f>
        <v>149.30000000000001</v>
      </c>
      <c r="AA56" s="59">
        <f>Servant!$T$22+($F56+($F56*0.5*($D56-1)))*(AA$3-1)</f>
        <v>150.65</v>
      </c>
      <c r="AB56" s="59">
        <f>Servant!$T$22+($F56+($F56*0.5*($D56-1)))*(AB$3-1)</f>
        <v>152</v>
      </c>
      <c r="AC56" s="59">
        <f>Servant!$T$22+($F56+($F56*0.5*($D56-1)))*(AC$3-1)</f>
        <v>153.35</v>
      </c>
      <c r="AD56" s="59">
        <f>Servant!$T$22+($F56+($F56*0.5*($D56-1)))*(AD$3-1)</f>
        <v>154.69999999999999</v>
      </c>
      <c r="AE56" s="59">
        <f>Servant!$T$22+($F56+($F56*0.5*($D56-1)))*(AE$3-1)</f>
        <v>156.05000000000001</v>
      </c>
      <c r="AF56" s="59">
        <f>Servant!$T$22+($F56+($F56*0.5*($D56-1)))*(AF$3-1)</f>
        <v>157.4</v>
      </c>
      <c r="AG56" s="59">
        <f>Servant!$T$22+($F56+($F56*0.5*($D56-1)))*(AG$3-1)</f>
        <v>158.75</v>
      </c>
      <c r="AH56" s="59">
        <f>Servant!$T$22+($F56+($F56*0.5*($D56-1)))*(AH$3-1)</f>
        <v>160.1</v>
      </c>
      <c r="AI56" s="59">
        <f>Servant!$T$22+($F56+($F56*0.5*($D56-1)))*(AI$3-1)</f>
        <v>161.44999999999999</v>
      </c>
      <c r="AJ56" s="59">
        <f>Servant!$T$22+($F56+($F56*0.5*($D56-1)))*(AJ$3-1)</f>
        <v>162.80000000000001</v>
      </c>
      <c r="AK56" s="59">
        <f>Servant!$T$22+($F56+($F56*0.5*($D56-1)))*(AK$3-1)</f>
        <v>164.15</v>
      </c>
    </row>
    <row r="57" spans="2:37" x14ac:dyDescent="0.3">
      <c r="B57" s="287"/>
      <c r="C57" s="292"/>
      <c r="D57" s="58">
        <v>6</v>
      </c>
      <c r="E57" s="58">
        <f>ServantLevelUPdStatus!$H$22+(ServantLevelUPdStatus!$H$22*0.5*($D57-1))</f>
        <v>1.575</v>
      </c>
      <c r="F57" s="58">
        <f>F56</f>
        <v>0.44999999999999996</v>
      </c>
      <c r="H57" s="59">
        <f>Servant!$T$22+($F57+($F57*0.5*($D57-1)))*(H$3-1)</f>
        <v>125</v>
      </c>
      <c r="I57" s="59">
        <f>Servant!$T$22+($F57+($F57*0.5*($D57-1)))*(I$3-1)</f>
        <v>126.575</v>
      </c>
      <c r="J57" s="59">
        <f>Servant!$T$22+($F57+($F57*0.5*($D57-1)))*(J$3-1)</f>
        <v>128.15</v>
      </c>
      <c r="K57" s="59">
        <f>Servant!$T$22+($F57+($F57*0.5*($D57-1)))*(K$3-1)</f>
        <v>129.72499999999999</v>
      </c>
      <c r="L57" s="59">
        <f>Servant!$T$22+($F57+($F57*0.5*($D57-1)))*(L$3-1)</f>
        <v>131.30000000000001</v>
      </c>
      <c r="M57" s="59">
        <f>Servant!$T$22+($F57+($F57*0.5*($D57-1)))*(M$3-1)</f>
        <v>132.875</v>
      </c>
      <c r="N57" s="59">
        <f>Servant!$T$22+($F57+($F57*0.5*($D57-1)))*(N$3-1)</f>
        <v>134.44999999999999</v>
      </c>
      <c r="O57" s="59">
        <f>Servant!$T$22+($F57+($F57*0.5*($D57-1)))*(O$3-1)</f>
        <v>136.02500000000001</v>
      </c>
      <c r="P57" s="59">
        <f>Servant!$T$22+($F57+($F57*0.5*($D57-1)))*(P$3-1)</f>
        <v>137.6</v>
      </c>
      <c r="Q57" s="59">
        <f>Servant!$T$22+($F57+($F57*0.5*($D57-1)))*(Q$3-1)</f>
        <v>139.17500000000001</v>
      </c>
      <c r="R57" s="59">
        <f>Servant!$T$22+($F57+($F57*0.5*($D57-1)))*(R$3-1)</f>
        <v>140.75</v>
      </c>
      <c r="S57" s="59">
        <f>Servant!$T$22+($F57+($F57*0.5*($D57-1)))*(S$3-1)</f>
        <v>142.32499999999999</v>
      </c>
      <c r="T57" s="59">
        <f>Servant!$T$22+($F57+($F57*0.5*($D57-1)))*(T$3-1)</f>
        <v>143.9</v>
      </c>
      <c r="U57" s="59">
        <f>Servant!$T$22+($F57+($F57*0.5*($D57-1)))*(U$3-1)</f>
        <v>145.47499999999999</v>
      </c>
      <c r="V57" s="59">
        <f>Servant!$T$22+($F57+($F57*0.5*($D57-1)))*(V$3-1)</f>
        <v>147.05000000000001</v>
      </c>
      <c r="W57" s="59">
        <f>Servant!$T$22+($F57+($F57*0.5*($D57-1)))*(W$3-1)</f>
        <v>148.625</v>
      </c>
      <c r="X57" s="59">
        <f>Servant!$T$22+($F57+($F57*0.5*($D57-1)))*(X$3-1)</f>
        <v>150.19999999999999</v>
      </c>
      <c r="Y57" s="59">
        <f>Servant!$T$22+($F57+($F57*0.5*($D57-1)))*(Y$3-1)</f>
        <v>151.77500000000001</v>
      </c>
      <c r="Z57" s="59">
        <f>Servant!$T$22+($F57+($F57*0.5*($D57-1)))*(Z$3-1)</f>
        <v>153.35</v>
      </c>
      <c r="AA57" s="59">
        <f>Servant!$T$22+($F57+($F57*0.5*($D57-1)))*(AA$3-1)</f>
        <v>154.92500000000001</v>
      </c>
      <c r="AB57" s="59">
        <f>Servant!$T$22+($F57+($F57*0.5*($D57-1)))*(AB$3-1)</f>
        <v>156.5</v>
      </c>
      <c r="AC57" s="59">
        <f>Servant!$T$22+($F57+($F57*0.5*($D57-1)))*(AC$3-1)</f>
        <v>158.07499999999999</v>
      </c>
      <c r="AD57" s="59">
        <f>Servant!$T$22+($F57+($F57*0.5*($D57-1)))*(AD$3-1)</f>
        <v>159.65</v>
      </c>
      <c r="AE57" s="59">
        <f>Servant!$T$22+($F57+($F57*0.5*($D57-1)))*(AE$3-1)</f>
        <v>161.22499999999999</v>
      </c>
      <c r="AF57" s="59">
        <f>Servant!$T$22+($F57+($F57*0.5*($D57-1)))*(AF$3-1)</f>
        <v>162.80000000000001</v>
      </c>
      <c r="AG57" s="59">
        <f>Servant!$T$22+($F57+($F57*0.5*($D57-1)))*(AG$3-1)</f>
        <v>164.375</v>
      </c>
      <c r="AH57" s="59">
        <f>Servant!$T$22+($F57+($F57*0.5*($D57-1)))*(AH$3-1)</f>
        <v>165.95</v>
      </c>
      <c r="AI57" s="59">
        <f>Servant!$T$22+($F57+($F57*0.5*($D57-1)))*(AI$3-1)</f>
        <v>167.52500000000001</v>
      </c>
      <c r="AJ57" s="59">
        <f>Servant!$T$22+($F57+($F57*0.5*($D57-1)))*(AJ$3-1)</f>
        <v>169.1</v>
      </c>
      <c r="AK57" s="59">
        <f>Servant!$T$22+($F57+($F57*0.5*($D57-1)))*(AK$3-1)</f>
        <v>170.67500000000001</v>
      </c>
    </row>
    <row r="59" spans="2:37" x14ac:dyDescent="0.3">
      <c r="B59" s="286" t="s">
        <v>246</v>
      </c>
      <c r="C59" s="289" t="s">
        <v>217</v>
      </c>
      <c r="D59" s="54">
        <v>1</v>
      </c>
      <c r="E59" s="54">
        <f>ServantLevelUPdStatus!$I$6+(ServantLevelUPdStatus!$I$6*0.5*($D59-1))</f>
        <v>0.03</v>
      </c>
      <c r="F59" s="54">
        <f>ServantLevelUPdStatus!I$6</f>
        <v>0.03</v>
      </c>
      <c r="H59" s="55">
        <f>Servant!$U$6+($F59+($F59*0.5*($D59-1)))*(H$3-1)</f>
        <v>10.119999999999999</v>
      </c>
      <c r="I59" s="55">
        <f>Servant!$U$6+($F59+($F59*0.5*($D59-1)))*(I$3-1)</f>
        <v>10.149999999999999</v>
      </c>
      <c r="J59" s="55">
        <f>Servant!$U$6+($F59+($F59*0.5*($D59-1)))*(J$3-1)</f>
        <v>10.18</v>
      </c>
      <c r="K59" s="55">
        <f>Servant!$U$6+($F59+($F59*0.5*($D59-1)))*(K$3-1)</f>
        <v>10.209999999999999</v>
      </c>
      <c r="L59" s="55">
        <f>Servant!$U$6+($F59+($F59*0.5*($D59-1)))*(L$3-1)</f>
        <v>10.239999999999998</v>
      </c>
      <c r="M59" s="55">
        <f>Servant!$U$6+($F59+($F59*0.5*($D59-1)))*(M$3-1)</f>
        <v>10.27</v>
      </c>
      <c r="N59" s="55">
        <f>Servant!$U$6+($F59+($F59*0.5*($D59-1)))*(N$3-1)</f>
        <v>10.299999999999999</v>
      </c>
      <c r="O59" s="55">
        <f>Servant!$U$6+($F59+($F59*0.5*($D59-1)))*(O$3-1)</f>
        <v>10.33</v>
      </c>
      <c r="P59" s="55">
        <f>Servant!$U$6+($F59+($F59*0.5*($D59-1)))*(P$3-1)</f>
        <v>10.36</v>
      </c>
      <c r="Q59" s="55">
        <f>Servant!$U$6+($F59+($F59*0.5*($D59-1)))*(Q$3-1)</f>
        <v>10.389999999999999</v>
      </c>
      <c r="R59" s="55">
        <f>Servant!$U$6+($F59+($F59*0.5*($D59-1)))*(R$3-1)</f>
        <v>10.42</v>
      </c>
      <c r="S59" s="55">
        <f>Servant!$U$6+($F59+($F59*0.5*($D59-1)))*(S$3-1)</f>
        <v>10.45</v>
      </c>
      <c r="T59" s="55">
        <f>Servant!$U$6+($F59+($F59*0.5*($D59-1)))*(T$3-1)</f>
        <v>10.479999999999999</v>
      </c>
      <c r="U59" s="55">
        <f>Servant!$U$6+($F59+($F59*0.5*($D59-1)))*(U$3-1)</f>
        <v>10.51</v>
      </c>
      <c r="V59" s="55">
        <f>Servant!$U$6+($F59+($F59*0.5*($D59-1)))*(V$3-1)</f>
        <v>10.54</v>
      </c>
      <c r="W59" s="55">
        <f>Servant!$U$6+($F59+($F59*0.5*($D59-1)))*(W$3-1)</f>
        <v>10.569999999999999</v>
      </c>
      <c r="X59" s="55">
        <f>Servant!$U$6+($F59+($F59*0.5*($D59-1)))*(X$3-1)</f>
        <v>10.6</v>
      </c>
      <c r="Y59" s="55">
        <f>Servant!$U$6+($F59+($F59*0.5*($D59-1)))*(Y$3-1)</f>
        <v>10.629999999999999</v>
      </c>
      <c r="Z59" s="55">
        <f>Servant!$U$6+($F59+($F59*0.5*($D59-1)))*(Z$3-1)</f>
        <v>10.66</v>
      </c>
      <c r="AA59" s="55">
        <f>Servant!$U$6+($F59+($F59*0.5*($D59-1)))*(AA$3-1)</f>
        <v>10.69</v>
      </c>
      <c r="AB59" s="55">
        <f>Servant!$U$6+($F59+($F59*0.5*($D59-1)))*(AB$3-1)</f>
        <v>10.719999999999999</v>
      </c>
      <c r="AC59" s="55">
        <f>Servant!$U$6+($F59+($F59*0.5*($D59-1)))*(AC$3-1)</f>
        <v>10.75</v>
      </c>
      <c r="AD59" s="55">
        <f>Servant!$U$6+($F59+($F59*0.5*($D59-1)))*(AD$3-1)</f>
        <v>10.78</v>
      </c>
      <c r="AE59" s="55">
        <f>Servant!$U$6+($F59+($F59*0.5*($D59-1)))*(AE$3-1)</f>
        <v>10.809999999999999</v>
      </c>
      <c r="AF59" s="55">
        <f>Servant!$U$6+($F59+($F59*0.5*($D59-1)))*(AF$3-1)</f>
        <v>10.84</v>
      </c>
      <c r="AG59" s="55">
        <f>Servant!$U$6+($F59+($F59*0.5*($D59-1)))*(AG$3-1)</f>
        <v>10.87</v>
      </c>
      <c r="AH59" s="55">
        <f>Servant!$U$6+($F59+($F59*0.5*($D59-1)))*(AH$3-1)</f>
        <v>10.899999999999999</v>
      </c>
      <c r="AI59" s="55">
        <f>Servant!$U$6+($F59+($F59*0.5*($D59-1)))*(AI$3-1)</f>
        <v>10.93</v>
      </c>
      <c r="AJ59" s="55">
        <f>Servant!$U$6+($F59+($F59*0.5*($D59-1)))*(AJ$3-1)</f>
        <v>10.959999999999999</v>
      </c>
      <c r="AK59" s="55">
        <f>Servant!$U$6+($F59+($F59*0.5*($D59-1)))*(AK$3-1)</f>
        <v>10.989999999999998</v>
      </c>
    </row>
    <row r="60" spans="2:37" x14ac:dyDescent="0.3">
      <c r="B60" s="287"/>
      <c r="C60" s="289"/>
      <c r="D60" s="54">
        <v>2</v>
      </c>
      <c r="E60" s="54">
        <f>ServantLevelUPdStatus!$I$6+(ServantLevelUPdStatus!$I$6*0.5*($D60-1))</f>
        <v>4.4999999999999998E-2</v>
      </c>
      <c r="F60" s="54">
        <f>F59</f>
        <v>0.03</v>
      </c>
      <c r="H60" s="55">
        <f>Servant!$U$6+($F60+($F60*0.5*($D60-1)))*(H$3-1)</f>
        <v>10.119999999999999</v>
      </c>
      <c r="I60" s="55">
        <f>Servant!$U$6+($F60+($F60*0.5*($D60-1)))*(I$3-1)</f>
        <v>10.164999999999999</v>
      </c>
      <c r="J60" s="55">
        <f>Servant!$U$6+($F60+($F60*0.5*($D60-1)))*(J$3-1)</f>
        <v>10.209999999999999</v>
      </c>
      <c r="K60" s="55">
        <f>Servant!$U$6+($F60+($F60*0.5*($D60-1)))*(K$3-1)</f>
        <v>10.254999999999999</v>
      </c>
      <c r="L60" s="55">
        <f>Servant!$U$6+($F60+($F60*0.5*($D60-1)))*(L$3-1)</f>
        <v>10.299999999999999</v>
      </c>
      <c r="M60" s="55">
        <f>Servant!$U$6+($F60+($F60*0.5*($D60-1)))*(M$3-1)</f>
        <v>10.344999999999999</v>
      </c>
      <c r="N60" s="55">
        <f>Servant!$U$6+($F60+($F60*0.5*($D60-1)))*(N$3-1)</f>
        <v>10.389999999999999</v>
      </c>
      <c r="O60" s="55">
        <f>Servant!$U$6+($F60+($F60*0.5*($D60-1)))*(O$3-1)</f>
        <v>10.434999999999999</v>
      </c>
      <c r="P60" s="55">
        <f>Servant!$U$6+($F60+($F60*0.5*($D60-1)))*(P$3-1)</f>
        <v>10.479999999999999</v>
      </c>
      <c r="Q60" s="55">
        <f>Servant!$U$6+($F60+($F60*0.5*($D60-1)))*(Q$3-1)</f>
        <v>10.524999999999999</v>
      </c>
      <c r="R60" s="55">
        <f>Servant!$U$6+($F60+($F60*0.5*($D60-1)))*(R$3-1)</f>
        <v>10.569999999999999</v>
      </c>
      <c r="S60" s="55">
        <f>Servant!$U$6+($F60+($F60*0.5*($D60-1)))*(S$3-1)</f>
        <v>10.614999999999998</v>
      </c>
      <c r="T60" s="55">
        <f>Servant!$U$6+($F60+($F60*0.5*($D60-1)))*(T$3-1)</f>
        <v>10.66</v>
      </c>
      <c r="U60" s="55">
        <f>Servant!$U$6+($F60+($F60*0.5*($D60-1)))*(U$3-1)</f>
        <v>10.704999999999998</v>
      </c>
      <c r="V60" s="55">
        <f>Servant!$U$6+($F60+($F60*0.5*($D60-1)))*(V$3-1)</f>
        <v>10.75</v>
      </c>
      <c r="W60" s="55">
        <f>Servant!$U$6+($F60+($F60*0.5*($D60-1)))*(W$3-1)</f>
        <v>10.795</v>
      </c>
      <c r="X60" s="55">
        <f>Servant!$U$6+($F60+($F60*0.5*($D60-1)))*(X$3-1)</f>
        <v>10.84</v>
      </c>
      <c r="Y60" s="55">
        <f>Servant!$U$6+($F60+($F60*0.5*($D60-1)))*(Y$3-1)</f>
        <v>10.885</v>
      </c>
      <c r="Z60" s="55">
        <f>Servant!$U$6+($F60+($F60*0.5*($D60-1)))*(Z$3-1)</f>
        <v>10.93</v>
      </c>
      <c r="AA60" s="55">
        <f>Servant!$U$6+($F60+($F60*0.5*($D60-1)))*(AA$3-1)</f>
        <v>10.975</v>
      </c>
      <c r="AB60" s="55">
        <f>Servant!$U$6+($F60+($F60*0.5*($D60-1)))*(AB$3-1)</f>
        <v>11.02</v>
      </c>
      <c r="AC60" s="55">
        <f>Servant!$U$6+($F60+($F60*0.5*($D60-1)))*(AC$3-1)</f>
        <v>11.065</v>
      </c>
      <c r="AD60" s="55">
        <f>Servant!$U$6+($F60+($F60*0.5*($D60-1)))*(AD$3-1)</f>
        <v>11.11</v>
      </c>
      <c r="AE60" s="55">
        <f>Servant!$U$6+($F60+($F60*0.5*($D60-1)))*(AE$3-1)</f>
        <v>11.154999999999999</v>
      </c>
      <c r="AF60" s="55">
        <f>Servant!$U$6+($F60+($F60*0.5*($D60-1)))*(AF$3-1)</f>
        <v>11.2</v>
      </c>
      <c r="AG60" s="55">
        <f>Servant!$U$6+($F60+($F60*0.5*($D60-1)))*(AG$3-1)</f>
        <v>11.244999999999999</v>
      </c>
      <c r="AH60" s="55">
        <f>Servant!$U$6+($F60+($F60*0.5*($D60-1)))*(AH$3-1)</f>
        <v>11.29</v>
      </c>
      <c r="AI60" s="55">
        <f>Servant!$U$6+($F60+($F60*0.5*($D60-1)))*(AI$3-1)</f>
        <v>11.334999999999999</v>
      </c>
      <c r="AJ60" s="55">
        <f>Servant!$U$6+($F60+($F60*0.5*($D60-1)))*(AJ$3-1)</f>
        <v>11.379999999999999</v>
      </c>
      <c r="AK60" s="55">
        <f>Servant!$U$6+($F60+($F60*0.5*($D60-1)))*(AK$3-1)</f>
        <v>11.424999999999999</v>
      </c>
    </row>
    <row r="61" spans="2:37" x14ac:dyDescent="0.3">
      <c r="B61" s="287"/>
      <c r="C61" s="289"/>
      <c r="D61" s="54">
        <v>3</v>
      </c>
      <c r="E61" s="54">
        <f>ServantLevelUPdStatus!$I$6+(ServantLevelUPdStatus!$I$6*0.5*($D61-1))</f>
        <v>0.06</v>
      </c>
      <c r="F61" s="54">
        <f>F60</f>
        <v>0.03</v>
      </c>
      <c r="H61" s="55">
        <f>Servant!$U$6+($F61+($F61*0.5*($D61-1)))*(H$3-1)</f>
        <v>10.119999999999999</v>
      </c>
      <c r="I61" s="55">
        <f>Servant!$U$6+($F61+($F61*0.5*($D61-1)))*(I$3-1)</f>
        <v>10.18</v>
      </c>
      <c r="J61" s="55">
        <f>Servant!$U$6+($F61+($F61*0.5*($D61-1)))*(J$3-1)</f>
        <v>10.239999999999998</v>
      </c>
      <c r="K61" s="55">
        <f>Servant!$U$6+($F61+($F61*0.5*($D61-1)))*(K$3-1)</f>
        <v>10.299999999999999</v>
      </c>
      <c r="L61" s="55">
        <f>Servant!$U$6+($F61+($F61*0.5*($D61-1)))*(L$3-1)</f>
        <v>10.36</v>
      </c>
      <c r="M61" s="55">
        <f>Servant!$U$6+($F61+($F61*0.5*($D61-1)))*(M$3-1)</f>
        <v>10.42</v>
      </c>
      <c r="N61" s="55">
        <f>Servant!$U$6+($F61+($F61*0.5*($D61-1)))*(N$3-1)</f>
        <v>10.479999999999999</v>
      </c>
      <c r="O61" s="55">
        <f>Servant!$U$6+($F61+($F61*0.5*($D61-1)))*(O$3-1)</f>
        <v>10.54</v>
      </c>
      <c r="P61" s="55">
        <f>Servant!$U$6+($F61+($F61*0.5*($D61-1)))*(P$3-1)</f>
        <v>10.6</v>
      </c>
      <c r="Q61" s="55">
        <f>Servant!$U$6+($F61+($F61*0.5*($D61-1)))*(Q$3-1)</f>
        <v>10.66</v>
      </c>
      <c r="R61" s="55">
        <f>Servant!$U$6+($F61+($F61*0.5*($D61-1)))*(R$3-1)</f>
        <v>10.719999999999999</v>
      </c>
      <c r="S61" s="55">
        <f>Servant!$U$6+($F61+($F61*0.5*($D61-1)))*(S$3-1)</f>
        <v>10.78</v>
      </c>
      <c r="T61" s="55">
        <f>Servant!$U$6+($F61+($F61*0.5*($D61-1)))*(T$3-1)</f>
        <v>10.84</v>
      </c>
      <c r="U61" s="55">
        <f>Servant!$U$6+($F61+($F61*0.5*($D61-1)))*(U$3-1)</f>
        <v>10.899999999999999</v>
      </c>
      <c r="V61" s="55">
        <f>Servant!$U$6+($F61+($F61*0.5*($D61-1)))*(V$3-1)</f>
        <v>10.959999999999999</v>
      </c>
      <c r="W61" s="55">
        <f>Servant!$U$6+($F61+($F61*0.5*($D61-1)))*(W$3-1)</f>
        <v>11.02</v>
      </c>
      <c r="X61" s="55">
        <f>Servant!$U$6+($F61+($F61*0.5*($D61-1)))*(X$3-1)</f>
        <v>11.079999999999998</v>
      </c>
      <c r="Y61" s="55">
        <f>Servant!$U$6+($F61+($F61*0.5*($D61-1)))*(Y$3-1)</f>
        <v>11.139999999999999</v>
      </c>
      <c r="Z61" s="55">
        <f>Servant!$U$6+($F61+($F61*0.5*($D61-1)))*(Z$3-1)</f>
        <v>11.2</v>
      </c>
      <c r="AA61" s="55">
        <f>Servant!$U$6+($F61+($F61*0.5*($D61-1)))*(AA$3-1)</f>
        <v>11.26</v>
      </c>
      <c r="AB61" s="55">
        <f>Servant!$U$6+($F61+($F61*0.5*($D61-1)))*(AB$3-1)</f>
        <v>11.319999999999999</v>
      </c>
      <c r="AC61" s="55">
        <f>Servant!$U$6+($F61+($F61*0.5*($D61-1)))*(AC$3-1)</f>
        <v>11.379999999999999</v>
      </c>
      <c r="AD61" s="55">
        <f>Servant!$U$6+($F61+($F61*0.5*($D61-1)))*(AD$3-1)</f>
        <v>11.44</v>
      </c>
      <c r="AE61" s="55">
        <f>Servant!$U$6+($F61+($F61*0.5*($D61-1)))*(AE$3-1)</f>
        <v>11.5</v>
      </c>
      <c r="AF61" s="55">
        <f>Servant!$U$6+($F61+($F61*0.5*($D61-1)))*(AF$3-1)</f>
        <v>11.559999999999999</v>
      </c>
      <c r="AG61" s="55">
        <f>Servant!$U$6+($F61+($F61*0.5*($D61-1)))*(AG$3-1)</f>
        <v>11.62</v>
      </c>
      <c r="AH61" s="55">
        <f>Servant!$U$6+($F61+($F61*0.5*($D61-1)))*(AH$3-1)</f>
        <v>11.68</v>
      </c>
      <c r="AI61" s="55">
        <f>Servant!$U$6+($F61+($F61*0.5*($D61-1)))*(AI$3-1)</f>
        <v>11.739999999999998</v>
      </c>
      <c r="AJ61" s="55">
        <f>Servant!$U$6+($F61+($F61*0.5*($D61-1)))*(AJ$3-1)</f>
        <v>11.799999999999999</v>
      </c>
      <c r="AK61" s="55">
        <f>Servant!$U$6+($F61+($F61*0.5*($D61-1)))*(AK$3-1)</f>
        <v>11.86</v>
      </c>
    </row>
    <row r="62" spans="2:37" x14ac:dyDescent="0.3">
      <c r="B62" s="287"/>
      <c r="C62" s="290" t="s">
        <v>243</v>
      </c>
      <c r="D62" s="52">
        <v>2</v>
      </c>
      <c r="E62" s="52">
        <f>ServantLevelUPdStatus!$I$12+(ServantLevelUPdStatus!$I$12*0.5*($D62-1))</f>
        <v>7.5000000000000011E-2</v>
      </c>
      <c r="F62" s="52">
        <f>ServantLevelUPdStatus!I$12</f>
        <v>0.05</v>
      </c>
      <c r="H62" s="53">
        <f>Servant!$U$12+($F62+($F62*0.5*($D62-1)))*(H$3-1)</f>
        <v>11.85</v>
      </c>
      <c r="I62" s="53">
        <f>Servant!$U$12+($F62+($F62*0.5*($D62-1)))*(I$3-1)</f>
        <v>11.924999999999999</v>
      </c>
      <c r="J62" s="53">
        <f>Servant!$U$12+($F62+($F62*0.5*($D62-1)))*(J$3-1)</f>
        <v>12</v>
      </c>
      <c r="K62" s="53">
        <f>Servant!$U$12+($F62+($F62*0.5*($D62-1)))*(K$3-1)</f>
        <v>12.074999999999999</v>
      </c>
      <c r="L62" s="53">
        <f>Servant!$U$12+($F62+($F62*0.5*($D62-1)))*(L$3-1)</f>
        <v>12.15</v>
      </c>
      <c r="M62" s="53">
        <f>Servant!$U$12+($F62+($F62*0.5*($D62-1)))*(M$3-1)</f>
        <v>12.225</v>
      </c>
      <c r="N62" s="53">
        <f>Servant!$U$12+($F62+($F62*0.5*($D62-1)))*(N$3-1)</f>
        <v>12.299999999999999</v>
      </c>
      <c r="O62" s="53">
        <f>Servant!$U$12+($F62+($F62*0.5*($D62-1)))*(O$3-1)</f>
        <v>12.375</v>
      </c>
      <c r="P62" s="53">
        <f>Servant!$U$12+($F62+($F62*0.5*($D62-1)))*(P$3-1)</f>
        <v>12.45</v>
      </c>
      <c r="Q62" s="53">
        <f>Servant!$U$12+($F62+($F62*0.5*($D62-1)))*(Q$3-1)</f>
        <v>12.525</v>
      </c>
      <c r="R62" s="53">
        <f>Servant!$U$12+($F62+($F62*0.5*($D62-1)))*(R$3-1)</f>
        <v>12.6</v>
      </c>
      <c r="S62" s="53">
        <f>Servant!$U$12+($F62+($F62*0.5*($D62-1)))*(S$3-1)</f>
        <v>12.675000000000001</v>
      </c>
      <c r="T62" s="53">
        <f>Servant!$U$12+($F62+($F62*0.5*($D62-1)))*(T$3-1)</f>
        <v>12.75</v>
      </c>
      <c r="U62" s="53">
        <f>Servant!$U$12+($F62+($F62*0.5*($D62-1)))*(U$3-1)</f>
        <v>12.824999999999999</v>
      </c>
      <c r="V62" s="53">
        <f>Servant!$U$12+($F62+($F62*0.5*($D62-1)))*(V$3-1)</f>
        <v>12.9</v>
      </c>
      <c r="W62" s="53">
        <f>Servant!$U$12+($F62+($F62*0.5*($D62-1)))*(W$3-1)</f>
        <v>12.975</v>
      </c>
      <c r="X62" s="53">
        <f>Servant!$U$12+($F62+($F62*0.5*($D62-1)))*(X$3-1)</f>
        <v>13.05</v>
      </c>
      <c r="Y62" s="53">
        <f>Servant!$U$12+($F62+($F62*0.5*($D62-1)))*(Y$3-1)</f>
        <v>13.125</v>
      </c>
      <c r="Z62" s="53">
        <f>Servant!$U$12+($F62+($F62*0.5*($D62-1)))*(Z$3-1)</f>
        <v>13.2</v>
      </c>
      <c r="AA62" s="53">
        <f>Servant!$U$12+($F62+($F62*0.5*($D62-1)))*(AA$3-1)</f>
        <v>13.275</v>
      </c>
      <c r="AB62" s="53">
        <f>Servant!$U$12+($F62+($F62*0.5*($D62-1)))*(AB$3-1)</f>
        <v>13.35</v>
      </c>
      <c r="AC62" s="53">
        <f>Servant!$U$12+($F62+($F62*0.5*($D62-1)))*(AC$3-1)</f>
        <v>13.425000000000001</v>
      </c>
      <c r="AD62" s="53">
        <f>Servant!$U$12+($F62+($F62*0.5*($D62-1)))*(AD$3-1)</f>
        <v>13.5</v>
      </c>
      <c r="AE62" s="53">
        <f>Servant!$U$12+($F62+($F62*0.5*($D62-1)))*(AE$3-1)</f>
        <v>13.574999999999999</v>
      </c>
      <c r="AF62" s="53">
        <f>Servant!$U$12+($F62+($F62*0.5*($D62-1)))*(AF$3-1)</f>
        <v>13.65</v>
      </c>
      <c r="AG62" s="53">
        <f>Servant!$U$12+($F62+($F62*0.5*($D62-1)))*(AG$3-1)</f>
        <v>13.725</v>
      </c>
      <c r="AH62" s="53">
        <f>Servant!$U$12+($F62+($F62*0.5*($D62-1)))*(AH$3-1)</f>
        <v>13.8</v>
      </c>
      <c r="AI62" s="53">
        <f>Servant!$U$12+($F62+($F62*0.5*($D62-1)))*(AI$3-1)</f>
        <v>13.875</v>
      </c>
      <c r="AJ62" s="53">
        <f>Servant!$U$12+($F62+($F62*0.5*($D62-1)))*(AJ$3-1)</f>
        <v>13.95</v>
      </c>
      <c r="AK62" s="53">
        <f>Servant!$U$12+($F62+($F62*0.5*($D62-1)))*(AK$3-1)</f>
        <v>14.025</v>
      </c>
    </row>
    <row r="63" spans="2:37" x14ac:dyDescent="0.3">
      <c r="B63" s="287"/>
      <c r="C63" s="290"/>
      <c r="D63" s="52">
        <v>3</v>
      </c>
      <c r="E63" s="52">
        <f>ServantLevelUPdStatus!$I$12+(ServantLevelUPdStatus!$I$12*0.5*($D63-1))</f>
        <v>0.1</v>
      </c>
      <c r="F63" s="52">
        <f>F62</f>
        <v>0.05</v>
      </c>
      <c r="H63" s="53">
        <f>Servant!$U$12+($F63+($F63*0.5*($D63-1)))*(H$3-1)</f>
        <v>11.85</v>
      </c>
      <c r="I63" s="53">
        <f>Servant!$U$12+($F63+($F63*0.5*($D63-1)))*(I$3-1)</f>
        <v>11.95</v>
      </c>
      <c r="J63" s="53">
        <f>Servant!$U$12+($F63+($F63*0.5*($D63-1)))*(J$3-1)</f>
        <v>12.049999999999999</v>
      </c>
      <c r="K63" s="53">
        <f>Servant!$U$12+($F63+($F63*0.5*($D63-1)))*(K$3-1)</f>
        <v>12.15</v>
      </c>
      <c r="L63" s="53">
        <f>Servant!$U$12+($F63+($F63*0.5*($D63-1)))*(L$3-1)</f>
        <v>12.25</v>
      </c>
      <c r="M63" s="53">
        <f>Servant!$U$12+($F63+($F63*0.5*($D63-1)))*(M$3-1)</f>
        <v>12.35</v>
      </c>
      <c r="N63" s="53">
        <f>Servant!$U$12+($F63+($F63*0.5*($D63-1)))*(N$3-1)</f>
        <v>12.45</v>
      </c>
      <c r="O63" s="53">
        <f>Servant!$U$12+($F63+($F63*0.5*($D63-1)))*(O$3-1)</f>
        <v>12.549999999999999</v>
      </c>
      <c r="P63" s="53">
        <f>Servant!$U$12+($F63+($F63*0.5*($D63-1)))*(P$3-1)</f>
        <v>12.65</v>
      </c>
      <c r="Q63" s="53">
        <f>Servant!$U$12+($F63+($F63*0.5*($D63-1)))*(Q$3-1)</f>
        <v>12.75</v>
      </c>
      <c r="R63" s="53">
        <f>Servant!$U$12+($F63+($F63*0.5*($D63-1)))*(R$3-1)</f>
        <v>12.85</v>
      </c>
      <c r="S63" s="53">
        <f>Servant!$U$12+($F63+($F63*0.5*($D63-1)))*(S$3-1)</f>
        <v>12.95</v>
      </c>
      <c r="T63" s="53">
        <f>Servant!$U$12+($F63+($F63*0.5*($D63-1)))*(T$3-1)</f>
        <v>13.05</v>
      </c>
      <c r="U63" s="53">
        <f>Servant!$U$12+($F63+($F63*0.5*($D63-1)))*(U$3-1)</f>
        <v>13.15</v>
      </c>
      <c r="V63" s="53">
        <f>Servant!$U$12+($F63+($F63*0.5*($D63-1)))*(V$3-1)</f>
        <v>13.25</v>
      </c>
      <c r="W63" s="53">
        <f>Servant!$U$12+($F63+($F63*0.5*($D63-1)))*(W$3-1)</f>
        <v>13.35</v>
      </c>
      <c r="X63" s="53">
        <f>Servant!$U$12+($F63+($F63*0.5*($D63-1)))*(X$3-1)</f>
        <v>13.45</v>
      </c>
      <c r="Y63" s="53">
        <f>Servant!$U$12+($F63+($F63*0.5*($D63-1)))*(Y$3-1)</f>
        <v>13.55</v>
      </c>
      <c r="Z63" s="53">
        <f>Servant!$U$12+($F63+($F63*0.5*($D63-1)))*(Z$3-1)</f>
        <v>13.65</v>
      </c>
      <c r="AA63" s="53">
        <f>Servant!$U$12+($F63+($F63*0.5*($D63-1)))*(AA$3-1)</f>
        <v>13.75</v>
      </c>
      <c r="AB63" s="53">
        <f>Servant!$U$12+($F63+($F63*0.5*($D63-1)))*(AB$3-1)</f>
        <v>13.85</v>
      </c>
      <c r="AC63" s="53">
        <f>Servant!$U$12+($F63+($F63*0.5*($D63-1)))*(AC$3-1)</f>
        <v>13.95</v>
      </c>
      <c r="AD63" s="53">
        <f>Servant!$U$12+($F63+($F63*0.5*($D63-1)))*(AD$3-1)</f>
        <v>14.05</v>
      </c>
      <c r="AE63" s="53">
        <f>Servant!$U$12+($F63+($F63*0.5*($D63-1)))*(AE$3-1)</f>
        <v>14.15</v>
      </c>
      <c r="AF63" s="53">
        <f>Servant!$U$12+($F63+($F63*0.5*($D63-1)))*(AF$3-1)</f>
        <v>14.25</v>
      </c>
      <c r="AG63" s="53">
        <f>Servant!$U$12+($F63+($F63*0.5*($D63-1)))*(AG$3-1)</f>
        <v>14.35</v>
      </c>
      <c r="AH63" s="53">
        <f>Servant!$U$12+($F63+($F63*0.5*($D63-1)))*(AH$3-1)</f>
        <v>14.45</v>
      </c>
      <c r="AI63" s="53">
        <f>Servant!$U$12+($F63+($F63*0.5*($D63-1)))*(AI$3-1)</f>
        <v>14.55</v>
      </c>
      <c r="AJ63" s="53">
        <f>Servant!$U$12+($F63+($F63*0.5*($D63-1)))*(AJ$3-1)</f>
        <v>14.65</v>
      </c>
      <c r="AK63" s="53">
        <f>Servant!$U$12+($F63+($F63*0.5*($D63-1)))*(AK$3-1)</f>
        <v>14.75</v>
      </c>
    </row>
    <row r="64" spans="2:37" x14ac:dyDescent="0.3">
      <c r="B64" s="287"/>
      <c r="C64" s="290"/>
      <c r="D64" s="52">
        <v>4</v>
      </c>
      <c r="E64" s="52">
        <f>ServantLevelUPdStatus!$I$12+(ServantLevelUPdStatus!$I$12*0.5*($D64-1))</f>
        <v>0.125</v>
      </c>
      <c r="F64" s="52">
        <f>F63</f>
        <v>0.05</v>
      </c>
      <c r="H64" s="53">
        <f>Servant!$U$12+($F64+($F64*0.5*($D64-1)))*(H$3-1)</f>
        <v>11.85</v>
      </c>
      <c r="I64" s="53">
        <f>Servant!$U$12+($F64+($F64*0.5*($D64-1)))*(I$3-1)</f>
        <v>11.975</v>
      </c>
      <c r="J64" s="53">
        <f>Servant!$U$12+($F64+($F64*0.5*($D64-1)))*(J$3-1)</f>
        <v>12.1</v>
      </c>
      <c r="K64" s="53">
        <f>Servant!$U$12+($F64+($F64*0.5*($D64-1)))*(K$3-1)</f>
        <v>12.225</v>
      </c>
      <c r="L64" s="53">
        <f>Servant!$U$12+($F64+($F64*0.5*($D64-1)))*(L$3-1)</f>
        <v>12.35</v>
      </c>
      <c r="M64" s="53">
        <f>Servant!$U$12+($F64+($F64*0.5*($D64-1)))*(M$3-1)</f>
        <v>12.475</v>
      </c>
      <c r="N64" s="53">
        <f>Servant!$U$12+($F64+($F64*0.5*($D64-1)))*(N$3-1)</f>
        <v>12.6</v>
      </c>
      <c r="O64" s="53">
        <f>Servant!$U$12+($F64+($F64*0.5*($D64-1)))*(O$3-1)</f>
        <v>12.725</v>
      </c>
      <c r="P64" s="53">
        <f>Servant!$U$12+($F64+($F64*0.5*($D64-1)))*(P$3-1)</f>
        <v>12.85</v>
      </c>
      <c r="Q64" s="53">
        <f>Servant!$U$12+($F64+($F64*0.5*($D64-1)))*(Q$3-1)</f>
        <v>12.975</v>
      </c>
      <c r="R64" s="53">
        <f>Servant!$U$12+($F64+($F64*0.5*($D64-1)))*(R$3-1)</f>
        <v>13.1</v>
      </c>
      <c r="S64" s="53">
        <f>Servant!$U$12+($F64+($F64*0.5*($D64-1)))*(S$3-1)</f>
        <v>13.225</v>
      </c>
      <c r="T64" s="53">
        <f>Servant!$U$12+($F64+($F64*0.5*($D64-1)))*(T$3-1)</f>
        <v>13.35</v>
      </c>
      <c r="U64" s="53">
        <f>Servant!$U$12+($F64+($F64*0.5*($D64-1)))*(U$3-1)</f>
        <v>13.475</v>
      </c>
      <c r="V64" s="53">
        <f>Servant!$U$12+($F64+($F64*0.5*($D64-1)))*(V$3-1)</f>
        <v>13.6</v>
      </c>
      <c r="W64" s="53">
        <f>Servant!$U$12+($F64+($F64*0.5*($D64-1)))*(W$3-1)</f>
        <v>13.725</v>
      </c>
      <c r="X64" s="53">
        <f>Servant!$U$12+($F64+($F64*0.5*($D64-1)))*(X$3-1)</f>
        <v>13.85</v>
      </c>
      <c r="Y64" s="53">
        <f>Servant!$U$12+($F64+($F64*0.5*($D64-1)))*(Y$3-1)</f>
        <v>13.975</v>
      </c>
      <c r="Z64" s="53">
        <f>Servant!$U$12+($F64+($F64*0.5*($D64-1)))*(Z$3-1)</f>
        <v>14.1</v>
      </c>
      <c r="AA64" s="53">
        <f>Servant!$U$12+($F64+($F64*0.5*($D64-1)))*(AA$3-1)</f>
        <v>14.225</v>
      </c>
      <c r="AB64" s="53">
        <f>Servant!$U$12+($F64+($F64*0.5*($D64-1)))*(AB$3-1)</f>
        <v>14.35</v>
      </c>
      <c r="AC64" s="53">
        <f>Servant!$U$12+($F64+($F64*0.5*($D64-1)))*(AC$3-1)</f>
        <v>14.475</v>
      </c>
      <c r="AD64" s="53">
        <f>Servant!$U$12+($F64+($F64*0.5*($D64-1)))*(AD$3-1)</f>
        <v>14.6</v>
      </c>
      <c r="AE64" s="53">
        <f>Servant!$U$12+($F64+($F64*0.5*($D64-1)))*(AE$3-1)</f>
        <v>14.725</v>
      </c>
      <c r="AF64" s="53">
        <f>Servant!$U$12+($F64+($F64*0.5*($D64-1)))*(AF$3-1)</f>
        <v>14.85</v>
      </c>
      <c r="AG64" s="53">
        <f>Servant!$U$12+($F64+($F64*0.5*($D64-1)))*(AG$3-1)</f>
        <v>14.975</v>
      </c>
      <c r="AH64" s="53">
        <f>Servant!$U$12+($F64+($F64*0.5*($D64-1)))*(AH$3-1)</f>
        <v>15.1</v>
      </c>
      <c r="AI64" s="53">
        <f>Servant!$U$12+($F64+($F64*0.5*($D64-1)))*(AI$3-1)</f>
        <v>15.225</v>
      </c>
      <c r="AJ64" s="53">
        <f>Servant!$U$12+($F64+($F64*0.5*($D64-1)))*(AJ$3-1)</f>
        <v>15.35</v>
      </c>
      <c r="AK64" s="53">
        <f>Servant!$U$12+($F64+($F64*0.5*($D64-1)))*(AK$3-1)</f>
        <v>15.475</v>
      </c>
    </row>
    <row r="65" spans="2:37" x14ac:dyDescent="0.3">
      <c r="B65" s="287"/>
      <c r="C65" s="291" t="s">
        <v>244</v>
      </c>
      <c r="D65" s="56">
        <v>3</v>
      </c>
      <c r="E65" s="56">
        <f>ServantLevelUPdStatus!$I$18+(ServantLevelUPdStatus!$I$18*0.5*($D65-1))</f>
        <v>0.14000000000000001</v>
      </c>
      <c r="F65" s="56">
        <f>ServantLevelUPdStatus!I$18</f>
        <v>7.0000000000000007E-2</v>
      </c>
      <c r="H65" s="57">
        <f>Servant!$U$18+($F65+($F65*0.5*($D65-1)))*(H$3-1)</f>
        <v>14.56</v>
      </c>
      <c r="I65" s="57">
        <f>Servant!$U$18+($F65+($F65*0.5*($D65-1)))*(I$3-1)</f>
        <v>14.700000000000001</v>
      </c>
      <c r="J65" s="57">
        <f>Servant!$U$18+($F65+($F65*0.5*($D65-1)))*(J$3-1)</f>
        <v>14.84</v>
      </c>
      <c r="K65" s="57">
        <f>Servant!$U$18+($F65+($F65*0.5*($D65-1)))*(K$3-1)</f>
        <v>14.98</v>
      </c>
      <c r="L65" s="57">
        <f>Servant!$U$18+($F65+($F65*0.5*($D65-1)))*(L$3-1)</f>
        <v>15.120000000000001</v>
      </c>
      <c r="M65" s="57">
        <f>Servant!$U$18+($F65+($F65*0.5*($D65-1)))*(M$3-1)</f>
        <v>15.26</v>
      </c>
      <c r="N65" s="57">
        <f>Servant!$U$18+($F65+($F65*0.5*($D65-1)))*(N$3-1)</f>
        <v>15.4</v>
      </c>
      <c r="O65" s="57">
        <f>Servant!$U$18+($F65+($F65*0.5*($D65-1)))*(O$3-1)</f>
        <v>15.540000000000001</v>
      </c>
      <c r="P65" s="57">
        <f>Servant!$U$18+($F65+($F65*0.5*($D65-1)))*(P$3-1)</f>
        <v>15.68</v>
      </c>
      <c r="Q65" s="57">
        <f>Servant!$U$18+($F65+($F65*0.5*($D65-1)))*(Q$3-1)</f>
        <v>15.82</v>
      </c>
      <c r="R65" s="57">
        <f>Servant!$U$18+($F65+($F65*0.5*($D65-1)))*(R$3-1)</f>
        <v>15.96</v>
      </c>
      <c r="S65" s="57">
        <f>Servant!$U$18+($F65+($F65*0.5*($D65-1)))*(S$3-1)</f>
        <v>16.100000000000001</v>
      </c>
      <c r="T65" s="57">
        <f>Servant!$U$18+($F65+($F65*0.5*($D65-1)))*(T$3-1)</f>
        <v>16.240000000000002</v>
      </c>
      <c r="U65" s="57">
        <f>Servant!$U$18+($F65+($F65*0.5*($D65-1)))*(U$3-1)</f>
        <v>16.380000000000003</v>
      </c>
      <c r="V65" s="57">
        <f>Servant!$U$18+($F65+($F65*0.5*($D65-1)))*(V$3-1)</f>
        <v>16.52</v>
      </c>
      <c r="W65" s="57">
        <f>Servant!$U$18+($F65+($F65*0.5*($D65-1)))*(W$3-1)</f>
        <v>16.66</v>
      </c>
      <c r="X65" s="57">
        <f>Servant!$U$18+($F65+($F65*0.5*($D65-1)))*(X$3-1)</f>
        <v>16.8</v>
      </c>
      <c r="Y65" s="57">
        <f>Servant!$U$18+($F65+($F65*0.5*($D65-1)))*(Y$3-1)</f>
        <v>16.940000000000001</v>
      </c>
      <c r="Z65" s="57">
        <f>Servant!$U$18+($F65+($F65*0.5*($D65-1)))*(Z$3-1)</f>
        <v>17.080000000000002</v>
      </c>
      <c r="AA65" s="57">
        <f>Servant!$U$18+($F65+($F65*0.5*($D65-1)))*(AA$3-1)</f>
        <v>17.22</v>
      </c>
      <c r="AB65" s="57">
        <f>Servant!$U$18+($F65+($F65*0.5*($D65-1)))*(AB$3-1)</f>
        <v>17.36</v>
      </c>
      <c r="AC65" s="57">
        <f>Servant!$U$18+($F65+($F65*0.5*($D65-1)))*(AC$3-1)</f>
        <v>17.5</v>
      </c>
      <c r="AD65" s="57">
        <f>Servant!$U$18+($F65+($F65*0.5*($D65-1)))*(AD$3-1)</f>
        <v>17.64</v>
      </c>
      <c r="AE65" s="57">
        <f>Servant!$U$18+($F65+($F65*0.5*($D65-1)))*(AE$3-1)</f>
        <v>17.78</v>
      </c>
      <c r="AF65" s="57">
        <f>Servant!$U$18+($F65+($F65*0.5*($D65-1)))*(AF$3-1)</f>
        <v>17.920000000000002</v>
      </c>
      <c r="AG65" s="57">
        <f>Servant!$U$18+($F65+($F65*0.5*($D65-1)))*(AG$3-1)</f>
        <v>18.060000000000002</v>
      </c>
      <c r="AH65" s="57">
        <f>Servant!$U$18+($F65+($F65*0.5*($D65-1)))*(AH$3-1)</f>
        <v>18.200000000000003</v>
      </c>
      <c r="AI65" s="57">
        <f>Servant!$U$18+($F65+($F65*0.5*($D65-1)))*(AI$3-1)</f>
        <v>18.34</v>
      </c>
      <c r="AJ65" s="57">
        <f>Servant!$U$18+($F65+($F65*0.5*($D65-1)))*(AJ$3-1)</f>
        <v>18.48</v>
      </c>
      <c r="AK65" s="57">
        <f>Servant!$U$18+($F65+($F65*0.5*($D65-1)))*(AK$3-1)</f>
        <v>18.62</v>
      </c>
    </row>
    <row r="66" spans="2:37" x14ac:dyDescent="0.3">
      <c r="B66" s="287"/>
      <c r="C66" s="291"/>
      <c r="D66" s="56">
        <v>4</v>
      </c>
      <c r="E66" s="56">
        <f>ServantLevelUPdStatus!$I$18+(ServantLevelUPdStatus!$I$18*0.5*($D66-1))</f>
        <v>0.17500000000000002</v>
      </c>
      <c r="F66" s="56">
        <f>F65</f>
        <v>7.0000000000000007E-2</v>
      </c>
      <c r="H66" s="57">
        <f>Servant!$U$18+($F66+($F66*0.5*($D66-1)))*(H$3-1)</f>
        <v>14.56</v>
      </c>
      <c r="I66" s="57">
        <f>Servant!$U$18+($F66+($F66*0.5*($D66-1)))*(I$3-1)</f>
        <v>14.735000000000001</v>
      </c>
      <c r="J66" s="57">
        <f>Servant!$U$18+($F66+($F66*0.5*($D66-1)))*(J$3-1)</f>
        <v>14.91</v>
      </c>
      <c r="K66" s="57">
        <f>Servant!$U$18+($F66+($F66*0.5*($D66-1)))*(K$3-1)</f>
        <v>15.085000000000001</v>
      </c>
      <c r="L66" s="57">
        <f>Servant!$U$18+($F66+($F66*0.5*($D66-1)))*(L$3-1)</f>
        <v>15.26</v>
      </c>
      <c r="M66" s="57">
        <f>Servant!$U$18+($F66+($F66*0.5*($D66-1)))*(M$3-1)</f>
        <v>15.435</v>
      </c>
      <c r="N66" s="57">
        <f>Servant!$U$18+($F66+($F66*0.5*($D66-1)))*(N$3-1)</f>
        <v>15.610000000000001</v>
      </c>
      <c r="O66" s="57">
        <f>Servant!$U$18+($F66+($F66*0.5*($D66-1)))*(O$3-1)</f>
        <v>15.785</v>
      </c>
      <c r="P66" s="57">
        <f>Servant!$U$18+($F66+($F66*0.5*($D66-1)))*(P$3-1)</f>
        <v>15.96</v>
      </c>
      <c r="Q66" s="57">
        <f>Servant!$U$18+($F66+($F66*0.5*($D66-1)))*(Q$3-1)</f>
        <v>16.135000000000002</v>
      </c>
      <c r="R66" s="57">
        <f>Servant!$U$18+($F66+($F66*0.5*($D66-1)))*(R$3-1)</f>
        <v>16.310000000000002</v>
      </c>
      <c r="S66" s="57">
        <f>Servant!$U$18+($F66+($F66*0.5*($D66-1)))*(S$3-1)</f>
        <v>16.484999999999999</v>
      </c>
      <c r="T66" s="57">
        <f>Servant!$U$18+($F66+($F66*0.5*($D66-1)))*(T$3-1)</f>
        <v>16.66</v>
      </c>
      <c r="U66" s="57">
        <f>Servant!$U$18+($F66+($F66*0.5*($D66-1)))*(U$3-1)</f>
        <v>16.835000000000001</v>
      </c>
      <c r="V66" s="57">
        <f>Servant!$U$18+($F66+($F66*0.5*($D66-1)))*(V$3-1)</f>
        <v>17.010000000000002</v>
      </c>
      <c r="W66" s="57">
        <f>Servant!$U$18+($F66+($F66*0.5*($D66-1)))*(W$3-1)</f>
        <v>17.185000000000002</v>
      </c>
      <c r="X66" s="57">
        <f>Servant!$U$18+($F66+($F66*0.5*($D66-1)))*(X$3-1)</f>
        <v>17.36</v>
      </c>
      <c r="Y66" s="57">
        <f>Servant!$U$18+($F66+($F66*0.5*($D66-1)))*(Y$3-1)</f>
        <v>17.535</v>
      </c>
      <c r="Z66" s="57">
        <f>Servant!$U$18+($F66+($F66*0.5*($D66-1)))*(Z$3-1)</f>
        <v>17.71</v>
      </c>
      <c r="AA66" s="57">
        <f>Servant!$U$18+($F66+($F66*0.5*($D66-1)))*(AA$3-1)</f>
        <v>17.885000000000002</v>
      </c>
      <c r="AB66" s="57">
        <f>Servant!$U$18+($F66+($F66*0.5*($D66-1)))*(AB$3-1)</f>
        <v>18.060000000000002</v>
      </c>
      <c r="AC66" s="57">
        <f>Servant!$U$18+($F66+($F66*0.5*($D66-1)))*(AC$3-1)</f>
        <v>18.234999999999999</v>
      </c>
      <c r="AD66" s="57">
        <f>Servant!$U$18+($F66+($F66*0.5*($D66-1)))*(AD$3-1)</f>
        <v>18.41</v>
      </c>
      <c r="AE66" s="57">
        <f>Servant!$U$18+($F66+($F66*0.5*($D66-1)))*(AE$3-1)</f>
        <v>18.585000000000001</v>
      </c>
      <c r="AF66" s="57">
        <f>Servant!$U$18+($F66+($F66*0.5*($D66-1)))*(AF$3-1)</f>
        <v>18.760000000000002</v>
      </c>
      <c r="AG66" s="57">
        <f>Servant!$U$18+($F66+($F66*0.5*($D66-1)))*(AG$3-1)</f>
        <v>18.935000000000002</v>
      </c>
      <c r="AH66" s="57">
        <f>Servant!$U$18+($F66+($F66*0.5*($D66-1)))*(AH$3-1)</f>
        <v>19.11</v>
      </c>
      <c r="AI66" s="57">
        <f>Servant!$U$18+($F66+($F66*0.5*($D66-1)))*(AI$3-1)</f>
        <v>19.285</v>
      </c>
      <c r="AJ66" s="57">
        <f>Servant!$U$18+($F66+($F66*0.5*($D66-1)))*(AJ$3-1)</f>
        <v>19.46</v>
      </c>
      <c r="AK66" s="57">
        <f>Servant!$U$18+($F66+($F66*0.5*($D66-1)))*(AK$3-1)</f>
        <v>19.635000000000002</v>
      </c>
    </row>
    <row r="67" spans="2:37" x14ac:dyDescent="0.3">
      <c r="B67" s="287"/>
      <c r="C67" s="291"/>
      <c r="D67" s="56">
        <v>5</v>
      </c>
      <c r="E67" s="56">
        <f>ServantLevelUPdStatus!$I$18+(ServantLevelUPdStatus!$I$18*0.5*($D67-1))</f>
        <v>0.21000000000000002</v>
      </c>
      <c r="F67" s="56">
        <f>F66</f>
        <v>7.0000000000000007E-2</v>
      </c>
      <c r="H67" s="57">
        <f>Servant!$U$18+($F67+($F67*0.5*($D67-1)))*(H$3-1)</f>
        <v>14.56</v>
      </c>
      <c r="I67" s="57">
        <f>Servant!$U$18+($F67+($F67*0.5*($D67-1)))*(I$3-1)</f>
        <v>14.770000000000001</v>
      </c>
      <c r="J67" s="57">
        <f>Servant!$U$18+($F67+($F67*0.5*($D67-1)))*(J$3-1)</f>
        <v>14.98</v>
      </c>
      <c r="K67" s="57">
        <f>Servant!$U$18+($F67+($F67*0.5*($D67-1)))*(K$3-1)</f>
        <v>15.190000000000001</v>
      </c>
      <c r="L67" s="57">
        <f>Servant!$U$18+($F67+($F67*0.5*($D67-1)))*(L$3-1)</f>
        <v>15.4</v>
      </c>
      <c r="M67" s="57">
        <f>Servant!$U$18+($F67+($F67*0.5*($D67-1)))*(M$3-1)</f>
        <v>15.610000000000001</v>
      </c>
      <c r="N67" s="57">
        <f>Servant!$U$18+($F67+($F67*0.5*($D67-1)))*(N$3-1)</f>
        <v>15.82</v>
      </c>
      <c r="O67" s="57">
        <f>Servant!$U$18+($F67+($F67*0.5*($D67-1)))*(O$3-1)</f>
        <v>16.03</v>
      </c>
      <c r="P67" s="57">
        <f>Servant!$U$18+($F67+($F67*0.5*($D67-1)))*(P$3-1)</f>
        <v>16.240000000000002</v>
      </c>
      <c r="Q67" s="57">
        <f>Servant!$U$18+($F67+($F67*0.5*($D67-1)))*(Q$3-1)</f>
        <v>16.45</v>
      </c>
      <c r="R67" s="57">
        <f>Servant!$U$18+($F67+($F67*0.5*($D67-1)))*(R$3-1)</f>
        <v>16.66</v>
      </c>
      <c r="S67" s="57">
        <f>Servant!$U$18+($F67+($F67*0.5*($D67-1)))*(S$3-1)</f>
        <v>16.87</v>
      </c>
      <c r="T67" s="57">
        <f>Servant!$U$18+($F67+($F67*0.5*($D67-1)))*(T$3-1)</f>
        <v>17.080000000000002</v>
      </c>
      <c r="U67" s="57">
        <f>Servant!$U$18+($F67+($F67*0.5*($D67-1)))*(U$3-1)</f>
        <v>17.29</v>
      </c>
      <c r="V67" s="57">
        <f>Servant!$U$18+($F67+($F67*0.5*($D67-1)))*(V$3-1)</f>
        <v>17.5</v>
      </c>
      <c r="W67" s="57">
        <f>Servant!$U$18+($F67+($F67*0.5*($D67-1)))*(W$3-1)</f>
        <v>17.71</v>
      </c>
      <c r="X67" s="57">
        <f>Servant!$U$18+($F67+($F67*0.5*($D67-1)))*(X$3-1)</f>
        <v>17.920000000000002</v>
      </c>
      <c r="Y67" s="57">
        <f>Servant!$U$18+($F67+($F67*0.5*($D67-1)))*(Y$3-1)</f>
        <v>18.130000000000003</v>
      </c>
      <c r="Z67" s="57">
        <f>Servant!$U$18+($F67+($F67*0.5*($D67-1)))*(Z$3-1)</f>
        <v>18.34</v>
      </c>
      <c r="AA67" s="57">
        <f>Servant!$U$18+($F67+($F67*0.5*($D67-1)))*(AA$3-1)</f>
        <v>18.55</v>
      </c>
      <c r="AB67" s="57">
        <f>Servant!$U$18+($F67+($F67*0.5*($D67-1)))*(AB$3-1)</f>
        <v>18.760000000000002</v>
      </c>
      <c r="AC67" s="57">
        <f>Servant!$U$18+($F67+($F67*0.5*($D67-1)))*(AC$3-1)</f>
        <v>18.97</v>
      </c>
      <c r="AD67" s="57">
        <f>Servant!$U$18+($F67+($F67*0.5*($D67-1)))*(AD$3-1)</f>
        <v>19.18</v>
      </c>
      <c r="AE67" s="57">
        <f>Servant!$U$18+($F67+($F67*0.5*($D67-1)))*(AE$3-1)</f>
        <v>19.39</v>
      </c>
      <c r="AF67" s="57">
        <f>Servant!$U$18+($F67+($F67*0.5*($D67-1)))*(AF$3-1)</f>
        <v>19.600000000000001</v>
      </c>
      <c r="AG67" s="57">
        <f>Servant!$U$18+($F67+($F67*0.5*($D67-1)))*(AG$3-1)</f>
        <v>19.810000000000002</v>
      </c>
      <c r="AH67" s="57">
        <f>Servant!$U$18+($F67+($F67*0.5*($D67-1)))*(AH$3-1)</f>
        <v>20.020000000000003</v>
      </c>
      <c r="AI67" s="57">
        <f>Servant!$U$18+($F67+($F67*0.5*($D67-1)))*(AI$3-1)</f>
        <v>20.23</v>
      </c>
      <c r="AJ67" s="57">
        <f>Servant!$U$18+($F67+($F67*0.5*($D67-1)))*(AJ$3-1)</f>
        <v>20.440000000000001</v>
      </c>
      <c r="AK67" s="57">
        <f>Servant!$U$18+($F67+($F67*0.5*($D67-1)))*(AK$3-1)</f>
        <v>20.650000000000002</v>
      </c>
    </row>
    <row r="68" spans="2:37" x14ac:dyDescent="0.3">
      <c r="B68" s="287"/>
      <c r="C68" s="292" t="s">
        <v>245</v>
      </c>
      <c r="D68" s="58">
        <v>4</v>
      </c>
      <c r="E68" s="58">
        <f>ServantLevelUPdStatus!$I$22+(ServantLevelUPdStatus!$I$22*0.5*($D68-1))</f>
        <v>0.22500000000000001</v>
      </c>
      <c r="F68" s="58">
        <f>ServantLevelUPdStatus!I$22</f>
        <v>0.09</v>
      </c>
      <c r="H68" s="59">
        <f>Servant!$U$22+($F68+($F68*0.5*($D68-1)))*(H$3-1)</f>
        <v>15.59</v>
      </c>
      <c r="I68" s="59">
        <f>Servant!$U$22+($F68+($F68*0.5*($D68-1)))*(I$3-1)</f>
        <v>15.815</v>
      </c>
      <c r="J68" s="59">
        <f>Servant!$U$22+($F68+($F68*0.5*($D68-1)))*(J$3-1)</f>
        <v>16.04</v>
      </c>
      <c r="K68" s="59">
        <f>Servant!$U$22+($F68+($F68*0.5*($D68-1)))*(K$3-1)</f>
        <v>16.265000000000001</v>
      </c>
      <c r="L68" s="59">
        <f>Servant!$U$22+($F68+($F68*0.5*($D68-1)))*(L$3-1)</f>
        <v>16.489999999999998</v>
      </c>
      <c r="M68" s="59">
        <f>Servant!$U$22+($F68+($F68*0.5*($D68-1)))*(M$3-1)</f>
        <v>16.715</v>
      </c>
      <c r="N68" s="59">
        <f>Servant!$U$22+($F68+($F68*0.5*($D68-1)))*(N$3-1)</f>
        <v>16.940000000000001</v>
      </c>
      <c r="O68" s="59">
        <f>Servant!$U$22+($F68+($F68*0.5*($D68-1)))*(O$3-1)</f>
        <v>17.164999999999999</v>
      </c>
      <c r="P68" s="59">
        <f>Servant!$U$22+($F68+($F68*0.5*($D68-1)))*(P$3-1)</f>
        <v>17.39</v>
      </c>
      <c r="Q68" s="59">
        <f>Servant!$U$22+($F68+($F68*0.5*($D68-1)))*(Q$3-1)</f>
        <v>17.614999999999998</v>
      </c>
      <c r="R68" s="59">
        <f>Servant!$U$22+($F68+($F68*0.5*($D68-1)))*(R$3-1)</f>
        <v>17.84</v>
      </c>
      <c r="S68" s="59">
        <f>Servant!$U$22+($F68+($F68*0.5*($D68-1)))*(S$3-1)</f>
        <v>18.065000000000001</v>
      </c>
      <c r="T68" s="59">
        <f>Servant!$U$22+($F68+($F68*0.5*($D68-1)))*(T$3-1)</f>
        <v>18.29</v>
      </c>
      <c r="U68" s="59">
        <f>Servant!$U$22+($F68+($F68*0.5*($D68-1)))*(U$3-1)</f>
        <v>18.515000000000001</v>
      </c>
      <c r="V68" s="59">
        <f>Servant!$U$22+($F68+($F68*0.5*($D68-1)))*(V$3-1)</f>
        <v>18.739999999999998</v>
      </c>
      <c r="W68" s="59">
        <f>Servant!$U$22+($F68+($F68*0.5*($D68-1)))*(W$3-1)</f>
        <v>18.965</v>
      </c>
      <c r="X68" s="59">
        <f>Servant!$U$22+($F68+($F68*0.5*($D68-1)))*(X$3-1)</f>
        <v>19.190000000000001</v>
      </c>
      <c r="Y68" s="59">
        <f>Servant!$U$22+($F68+($F68*0.5*($D68-1)))*(Y$3-1)</f>
        <v>19.414999999999999</v>
      </c>
      <c r="Z68" s="59">
        <f>Servant!$U$22+($F68+($F68*0.5*($D68-1)))*(Z$3-1)</f>
        <v>19.64</v>
      </c>
      <c r="AA68" s="59">
        <f>Servant!$U$22+($F68+($F68*0.5*($D68-1)))*(AA$3-1)</f>
        <v>19.865000000000002</v>
      </c>
      <c r="AB68" s="59">
        <f>Servant!$U$22+($F68+($F68*0.5*($D68-1)))*(AB$3-1)</f>
        <v>20.09</v>
      </c>
      <c r="AC68" s="59">
        <f>Servant!$U$22+($F68+($F68*0.5*($D68-1)))*(AC$3-1)</f>
        <v>20.315000000000001</v>
      </c>
      <c r="AD68" s="59">
        <f>Servant!$U$22+($F68+($F68*0.5*($D68-1)))*(AD$3-1)</f>
        <v>20.54</v>
      </c>
      <c r="AE68" s="59">
        <f>Servant!$U$22+($F68+($F68*0.5*($D68-1)))*(AE$3-1)</f>
        <v>20.765000000000001</v>
      </c>
      <c r="AF68" s="59">
        <f>Servant!$U$22+($F68+($F68*0.5*($D68-1)))*(AF$3-1)</f>
        <v>20.990000000000002</v>
      </c>
      <c r="AG68" s="59">
        <f>Servant!$U$22+($F68+($F68*0.5*($D68-1)))*(AG$3-1)</f>
        <v>21.215</v>
      </c>
      <c r="AH68" s="59">
        <f>Servant!$U$22+($F68+($F68*0.5*($D68-1)))*(AH$3-1)</f>
        <v>21.44</v>
      </c>
      <c r="AI68" s="59">
        <f>Servant!$U$22+($F68+($F68*0.5*($D68-1)))*(AI$3-1)</f>
        <v>21.664999999999999</v>
      </c>
      <c r="AJ68" s="59">
        <f>Servant!$U$22+($F68+($F68*0.5*($D68-1)))*(AJ$3-1)</f>
        <v>21.89</v>
      </c>
      <c r="AK68" s="59">
        <f>Servant!$U$22+($F68+($F68*0.5*($D68-1)))*(AK$3-1)</f>
        <v>22.115000000000002</v>
      </c>
    </row>
    <row r="69" spans="2:37" x14ac:dyDescent="0.3">
      <c r="B69" s="287"/>
      <c r="C69" s="292"/>
      <c r="D69" s="58">
        <v>5</v>
      </c>
      <c r="E69" s="58">
        <f>ServantLevelUPdStatus!$I$22+(ServantLevelUPdStatus!$I$22*0.5*($D69-1))</f>
        <v>0.27</v>
      </c>
      <c r="F69" s="58">
        <f>F68</f>
        <v>0.09</v>
      </c>
      <c r="H69" s="59">
        <f>Servant!$U$22+($F69+($F69*0.5*($D69-1)))*(H$3-1)</f>
        <v>15.59</v>
      </c>
      <c r="I69" s="59">
        <f>Servant!$U$22+($F69+($F69*0.5*($D69-1)))*(I$3-1)</f>
        <v>15.86</v>
      </c>
      <c r="J69" s="59">
        <f>Servant!$U$22+($F69+($F69*0.5*($D69-1)))*(J$3-1)</f>
        <v>16.13</v>
      </c>
      <c r="K69" s="59">
        <f>Servant!$U$22+($F69+($F69*0.5*($D69-1)))*(K$3-1)</f>
        <v>16.399999999999999</v>
      </c>
      <c r="L69" s="59">
        <f>Servant!$U$22+($F69+($F69*0.5*($D69-1)))*(L$3-1)</f>
        <v>16.670000000000002</v>
      </c>
      <c r="M69" s="59">
        <f>Servant!$U$22+($F69+($F69*0.5*($D69-1)))*(M$3-1)</f>
        <v>16.940000000000001</v>
      </c>
      <c r="N69" s="59">
        <f>Servant!$U$22+($F69+($F69*0.5*($D69-1)))*(N$3-1)</f>
        <v>17.21</v>
      </c>
      <c r="O69" s="59">
        <f>Servant!$U$22+($F69+($F69*0.5*($D69-1)))*(O$3-1)</f>
        <v>17.48</v>
      </c>
      <c r="P69" s="59">
        <f>Servant!$U$22+($F69+($F69*0.5*($D69-1)))*(P$3-1)</f>
        <v>17.75</v>
      </c>
      <c r="Q69" s="59">
        <f>Servant!$U$22+($F69+($F69*0.5*($D69-1)))*(Q$3-1)</f>
        <v>18.02</v>
      </c>
      <c r="R69" s="59">
        <f>Servant!$U$22+($F69+($F69*0.5*($D69-1)))*(R$3-1)</f>
        <v>18.29</v>
      </c>
      <c r="S69" s="59">
        <f>Servant!$U$22+($F69+($F69*0.5*($D69-1)))*(S$3-1)</f>
        <v>18.559999999999999</v>
      </c>
      <c r="T69" s="59">
        <f>Servant!$U$22+($F69+($F69*0.5*($D69-1)))*(T$3-1)</f>
        <v>18.829999999999998</v>
      </c>
      <c r="U69" s="59">
        <f>Servant!$U$22+($F69+($F69*0.5*($D69-1)))*(U$3-1)</f>
        <v>19.100000000000001</v>
      </c>
      <c r="V69" s="59">
        <f>Servant!$U$22+($F69+($F69*0.5*($D69-1)))*(V$3-1)</f>
        <v>19.37</v>
      </c>
      <c r="W69" s="59">
        <f>Servant!$U$22+($F69+($F69*0.5*($D69-1)))*(W$3-1)</f>
        <v>19.64</v>
      </c>
      <c r="X69" s="59">
        <f>Servant!$U$22+($F69+($F69*0.5*($D69-1)))*(X$3-1)</f>
        <v>19.91</v>
      </c>
      <c r="Y69" s="59">
        <f>Servant!$U$22+($F69+($F69*0.5*($D69-1)))*(Y$3-1)</f>
        <v>20.18</v>
      </c>
      <c r="Z69" s="59">
        <f>Servant!$U$22+($F69+($F69*0.5*($D69-1)))*(Z$3-1)</f>
        <v>20.45</v>
      </c>
      <c r="AA69" s="59">
        <f>Servant!$U$22+($F69+($F69*0.5*($D69-1)))*(AA$3-1)</f>
        <v>20.72</v>
      </c>
      <c r="AB69" s="59">
        <f>Servant!$U$22+($F69+($F69*0.5*($D69-1)))*(AB$3-1)</f>
        <v>20.990000000000002</v>
      </c>
      <c r="AC69" s="59">
        <f>Servant!$U$22+($F69+($F69*0.5*($D69-1)))*(AC$3-1)</f>
        <v>21.259999999999998</v>
      </c>
      <c r="AD69" s="59">
        <f>Servant!$U$22+($F69+($F69*0.5*($D69-1)))*(AD$3-1)</f>
        <v>21.53</v>
      </c>
      <c r="AE69" s="59">
        <f>Servant!$U$22+($F69+($F69*0.5*($D69-1)))*(AE$3-1)</f>
        <v>21.8</v>
      </c>
      <c r="AF69" s="59">
        <f>Servant!$U$22+($F69+($F69*0.5*($D69-1)))*(AF$3-1)</f>
        <v>22.07</v>
      </c>
      <c r="AG69" s="59">
        <f>Servant!$U$22+($F69+($F69*0.5*($D69-1)))*(AG$3-1)</f>
        <v>22.34</v>
      </c>
      <c r="AH69" s="59">
        <f>Servant!$U$22+($F69+($F69*0.5*($D69-1)))*(AH$3-1)</f>
        <v>22.61</v>
      </c>
      <c r="AI69" s="59">
        <f>Servant!$U$22+($F69+($F69*0.5*($D69-1)))*(AI$3-1)</f>
        <v>22.880000000000003</v>
      </c>
      <c r="AJ69" s="59">
        <f>Servant!$U$22+($F69+($F69*0.5*($D69-1)))*(AJ$3-1)</f>
        <v>23.15</v>
      </c>
      <c r="AK69" s="59">
        <f>Servant!$U$22+($F69+($F69*0.5*($D69-1)))*(AK$3-1)</f>
        <v>23.42</v>
      </c>
    </row>
    <row r="70" spans="2:37" x14ac:dyDescent="0.3">
      <c r="B70" s="287"/>
      <c r="C70" s="292"/>
      <c r="D70" s="58">
        <v>6</v>
      </c>
      <c r="E70" s="58">
        <f>ServantLevelUPdStatus!$I$22+(ServantLevelUPdStatus!$I$22*0.5*($D70-1))</f>
        <v>0.31499999999999995</v>
      </c>
      <c r="F70" s="58">
        <f>F69</f>
        <v>0.09</v>
      </c>
      <c r="H70" s="59">
        <f>Servant!$U$22+($F70+($F70*0.5*($D70-1)))*(H$3-1)</f>
        <v>15.59</v>
      </c>
      <c r="I70" s="59">
        <f>Servant!$U$22+($F70+($F70*0.5*($D70-1)))*(I$3-1)</f>
        <v>15.904999999999999</v>
      </c>
      <c r="J70" s="59">
        <f>Servant!$U$22+($F70+($F70*0.5*($D70-1)))*(J$3-1)</f>
        <v>16.22</v>
      </c>
      <c r="K70" s="59">
        <f>Servant!$U$22+($F70+($F70*0.5*($D70-1)))*(K$3-1)</f>
        <v>16.535</v>
      </c>
      <c r="L70" s="59">
        <f>Servant!$U$22+($F70+($F70*0.5*($D70-1)))*(L$3-1)</f>
        <v>16.850000000000001</v>
      </c>
      <c r="M70" s="59">
        <f>Servant!$U$22+($F70+($F70*0.5*($D70-1)))*(M$3-1)</f>
        <v>17.164999999999999</v>
      </c>
      <c r="N70" s="59">
        <f>Servant!$U$22+($F70+($F70*0.5*($D70-1)))*(N$3-1)</f>
        <v>17.48</v>
      </c>
      <c r="O70" s="59">
        <f>Servant!$U$22+($F70+($F70*0.5*($D70-1)))*(O$3-1)</f>
        <v>17.794999999999998</v>
      </c>
      <c r="P70" s="59">
        <f>Servant!$U$22+($F70+($F70*0.5*($D70-1)))*(P$3-1)</f>
        <v>18.11</v>
      </c>
      <c r="Q70" s="59">
        <f>Servant!$U$22+($F70+($F70*0.5*($D70-1)))*(Q$3-1)</f>
        <v>18.425000000000001</v>
      </c>
      <c r="R70" s="59">
        <f>Servant!$U$22+($F70+($F70*0.5*($D70-1)))*(R$3-1)</f>
        <v>18.739999999999998</v>
      </c>
      <c r="S70" s="59">
        <f>Servant!$U$22+($F70+($F70*0.5*($D70-1)))*(S$3-1)</f>
        <v>19.055</v>
      </c>
      <c r="T70" s="59">
        <f>Servant!$U$22+($F70+($F70*0.5*($D70-1)))*(T$3-1)</f>
        <v>19.369999999999997</v>
      </c>
      <c r="U70" s="59">
        <f>Servant!$U$22+($F70+($F70*0.5*($D70-1)))*(U$3-1)</f>
        <v>19.684999999999999</v>
      </c>
      <c r="V70" s="59">
        <f>Servant!$U$22+($F70+($F70*0.5*($D70-1)))*(V$3-1)</f>
        <v>20</v>
      </c>
      <c r="W70" s="59">
        <f>Servant!$U$22+($F70+($F70*0.5*($D70-1)))*(W$3-1)</f>
        <v>20.314999999999998</v>
      </c>
      <c r="X70" s="59">
        <f>Servant!$U$22+($F70+($F70*0.5*($D70-1)))*(X$3-1)</f>
        <v>20.63</v>
      </c>
      <c r="Y70" s="59">
        <f>Servant!$U$22+($F70+($F70*0.5*($D70-1)))*(Y$3-1)</f>
        <v>20.945</v>
      </c>
      <c r="Z70" s="59">
        <f>Servant!$U$22+($F70+($F70*0.5*($D70-1)))*(Z$3-1)</f>
        <v>21.259999999999998</v>
      </c>
      <c r="AA70" s="59">
        <f>Servant!$U$22+($F70+($F70*0.5*($D70-1)))*(AA$3-1)</f>
        <v>21.574999999999999</v>
      </c>
      <c r="AB70" s="59">
        <f>Servant!$U$22+($F70+($F70*0.5*($D70-1)))*(AB$3-1)</f>
        <v>21.89</v>
      </c>
      <c r="AC70" s="59">
        <f>Servant!$U$22+($F70+($F70*0.5*($D70-1)))*(AC$3-1)</f>
        <v>22.204999999999998</v>
      </c>
      <c r="AD70" s="59">
        <f>Servant!$U$22+($F70+($F70*0.5*($D70-1)))*(AD$3-1)</f>
        <v>22.52</v>
      </c>
      <c r="AE70" s="59">
        <f>Servant!$U$22+($F70+($F70*0.5*($D70-1)))*(AE$3-1)</f>
        <v>22.835000000000001</v>
      </c>
      <c r="AF70" s="59">
        <f>Servant!$U$22+($F70+($F70*0.5*($D70-1)))*(AF$3-1)</f>
        <v>23.15</v>
      </c>
      <c r="AG70" s="59">
        <f>Servant!$U$22+($F70+($F70*0.5*($D70-1)))*(AG$3-1)</f>
        <v>23.464999999999996</v>
      </c>
      <c r="AH70" s="59">
        <f>Servant!$U$22+($F70+($F70*0.5*($D70-1)))*(AH$3-1)</f>
        <v>23.779999999999998</v>
      </c>
      <c r="AI70" s="59">
        <f>Servant!$U$22+($F70+($F70*0.5*($D70-1)))*(AI$3-1)</f>
        <v>24.094999999999999</v>
      </c>
      <c r="AJ70" s="59">
        <f>Servant!$U$22+($F70+($F70*0.5*($D70-1)))*(AJ$3-1)</f>
        <v>24.409999999999997</v>
      </c>
      <c r="AK70" s="59">
        <f>Servant!$U$22+($F70+($F70*0.5*($D70-1)))*(AK$3-1)</f>
        <v>24.724999999999998</v>
      </c>
    </row>
    <row r="72" spans="2:37" x14ac:dyDescent="0.3">
      <c r="B72" s="286" t="s">
        <v>250</v>
      </c>
      <c r="C72" s="289" t="s">
        <v>217</v>
      </c>
      <c r="D72" s="54">
        <v>1</v>
      </c>
      <c r="E72" s="54">
        <f>ServantLevelUPdStatus!$J$6+(ServantLevelUPdStatus!$J$6*0.5*($D72-1))</f>
        <v>0.113</v>
      </c>
      <c r="F72" s="54">
        <f>ServantLevelUPdStatus!J$6</f>
        <v>0.113</v>
      </c>
      <c r="H72" s="55">
        <f>Servant!$V$6+($F72+($F72*0.5*($D72-1)))*(H$3-1)</f>
        <v>180.20000000000002</v>
      </c>
      <c r="I72" s="55">
        <f>Servant!$V$6+($F72+($F72*0.5*($D72-1)))*(I$3-1)</f>
        <v>180.31300000000002</v>
      </c>
      <c r="J72" s="55">
        <f>Servant!$V$6+($F72+($F72*0.5*($D72-1)))*(J$3-1)</f>
        <v>180.42600000000002</v>
      </c>
      <c r="K72" s="55">
        <f>Servant!$V$6+($F72+($F72*0.5*($D72-1)))*(K$3-1)</f>
        <v>180.53900000000002</v>
      </c>
      <c r="L72" s="55">
        <f>Servant!$V$6+($F72+($F72*0.5*($D72-1)))*(L$3-1)</f>
        <v>180.65200000000002</v>
      </c>
      <c r="M72" s="55">
        <f>Servant!$V$6+($F72+($F72*0.5*($D72-1)))*(M$3-1)</f>
        <v>180.76500000000001</v>
      </c>
      <c r="N72" s="55">
        <f>Servant!$V$6+($F72+($F72*0.5*($D72-1)))*(N$3-1)</f>
        <v>180.87800000000001</v>
      </c>
      <c r="O72" s="55">
        <f>Servant!$V$6+($F72+($F72*0.5*($D72-1)))*(O$3-1)</f>
        <v>180.99100000000001</v>
      </c>
      <c r="P72" s="55">
        <f>Servant!$V$6+($F72+($F72*0.5*($D72-1)))*(P$3-1)</f>
        <v>181.10400000000001</v>
      </c>
      <c r="Q72" s="55">
        <f>Servant!$V$6+($F72+($F72*0.5*($D72-1)))*(Q$3-1)</f>
        <v>181.21700000000001</v>
      </c>
      <c r="R72" s="55">
        <f>Servant!$V$6+($F72+($F72*0.5*($D72-1)))*(R$3-1)</f>
        <v>181.33</v>
      </c>
      <c r="S72" s="55">
        <f>Servant!$V$6+($F72+($F72*0.5*($D72-1)))*(S$3-1)</f>
        <v>181.44300000000001</v>
      </c>
      <c r="T72" s="55">
        <f>Servant!$V$6+($F72+($F72*0.5*($D72-1)))*(T$3-1)</f>
        <v>181.55600000000001</v>
      </c>
      <c r="U72" s="55">
        <f>Servant!$V$6+($F72+($F72*0.5*($D72-1)))*(U$3-1)</f>
        <v>181.66900000000001</v>
      </c>
      <c r="V72" s="55">
        <f>Servant!$V$6+($F72+($F72*0.5*($D72-1)))*(V$3-1)</f>
        <v>181.78200000000001</v>
      </c>
      <c r="W72" s="55">
        <f>Servant!$V$6+($F72+($F72*0.5*($D72-1)))*(W$3-1)</f>
        <v>181.89500000000001</v>
      </c>
      <c r="X72" s="55">
        <f>Servant!$V$6+($F72+($F72*0.5*($D72-1)))*(X$3-1)</f>
        <v>182.00800000000001</v>
      </c>
      <c r="Y72" s="55">
        <f>Servant!$V$6+($F72+($F72*0.5*($D72-1)))*(Y$3-1)</f>
        <v>182.12100000000001</v>
      </c>
      <c r="Z72" s="55">
        <f>Servant!$V$6+($F72+($F72*0.5*($D72-1)))*(Z$3-1)</f>
        <v>182.23400000000001</v>
      </c>
      <c r="AA72" s="55">
        <f>Servant!$V$6+($F72+($F72*0.5*($D72-1)))*(AA$3-1)</f>
        <v>182.34700000000001</v>
      </c>
      <c r="AB72" s="55">
        <f>Servant!$V$6+($F72+($F72*0.5*($D72-1)))*(AB$3-1)</f>
        <v>182.46</v>
      </c>
      <c r="AC72" s="55">
        <f>Servant!$V$6+($F72+($F72*0.5*($D72-1)))*(AC$3-1)</f>
        <v>182.57300000000001</v>
      </c>
      <c r="AD72" s="55">
        <f>Servant!$V$6+($F72+($F72*0.5*($D72-1)))*(AD$3-1)</f>
        <v>182.68600000000001</v>
      </c>
      <c r="AE72" s="55">
        <f>Servant!$V$6+($F72+($F72*0.5*($D72-1)))*(AE$3-1)</f>
        <v>182.79900000000001</v>
      </c>
      <c r="AF72" s="55">
        <f>Servant!$V$6+($F72+($F72*0.5*($D72-1)))*(AF$3-1)</f>
        <v>182.91200000000001</v>
      </c>
      <c r="AG72" s="55">
        <f>Servant!$V$6+($F72+($F72*0.5*($D72-1)))*(AG$3-1)</f>
        <v>183.02500000000001</v>
      </c>
      <c r="AH72" s="55">
        <f>Servant!$V$6+($F72+($F72*0.5*($D72-1)))*(AH$3-1)</f>
        <v>183.13800000000001</v>
      </c>
      <c r="AI72" s="55">
        <f>Servant!$V$6+($F72+($F72*0.5*($D72-1)))*(AI$3-1)</f>
        <v>183.251</v>
      </c>
      <c r="AJ72" s="55">
        <f>Servant!$V$6+($F72+($F72*0.5*($D72-1)))*(AJ$3-1)</f>
        <v>183.364</v>
      </c>
      <c r="AK72" s="55">
        <f>Servant!$V$6+($F72+($F72*0.5*($D72-1)))*(AK$3-1)</f>
        <v>183.477</v>
      </c>
    </row>
    <row r="73" spans="2:37" x14ac:dyDescent="0.3">
      <c r="B73" s="287"/>
      <c r="C73" s="289"/>
      <c r="D73" s="54">
        <v>2</v>
      </c>
      <c r="E73" s="54">
        <f>ServantLevelUPdStatus!$J$6+(ServantLevelUPdStatus!$J$6*0.5*($D73-1))</f>
        <v>0.16950000000000001</v>
      </c>
      <c r="F73" s="54">
        <f>F72</f>
        <v>0.113</v>
      </c>
      <c r="H73" s="55">
        <f>Servant!$V$6+($F73+($F73*0.5*($D73-1)))*(H$3-1)</f>
        <v>180.20000000000002</v>
      </c>
      <c r="I73" s="55">
        <f>Servant!$V$6+($F73+($F73*0.5*($D73-1)))*(I$3-1)</f>
        <v>180.36950000000002</v>
      </c>
      <c r="J73" s="55">
        <f>Servant!$V$6+($F73+($F73*0.5*($D73-1)))*(J$3-1)</f>
        <v>180.53900000000002</v>
      </c>
      <c r="K73" s="55">
        <f>Servant!$V$6+($F73+($F73*0.5*($D73-1)))*(K$3-1)</f>
        <v>180.70850000000002</v>
      </c>
      <c r="L73" s="55">
        <f>Servant!$V$6+($F73+($F73*0.5*($D73-1)))*(L$3-1)</f>
        <v>180.87800000000001</v>
      </c>
      <c r="M73" s="55">
        <f>Servant!$V$6+($F73+($F73*0.5*($D73-1)))*(M$3-1)</f>
        <v>181.04750000000001</v>
      </c>
      <c r="N73" s="55">
        <f>Servant!$V$6+($F73+($F73*0.5*($D73-1)))*(N$3-1)</f>
        <v>181.21700000000001</v>
      </c>
      <c r="O73" s="55">
        <f>Servant!$V$6+($F73+($F73*0.5*($D73-1)))*(O$3-1)</f>
        <v>181.38650000000001</v>
      </c>
      <c r="P73" s="55">
        <f>Servant!$V$6+($F73+($F73*0.5*($D73-1)))*(P$3-1)</f>
        <v>181.55600000000001</v>
      </c>
      <c r="Q73" s="55">
        <f>Servant!$V$6+($F73+($F73*0.5*($D73-1)))*(Q$3-1)</f>
        <v>181.72550000000001</v>
      </c>
      <c r="R73" s="55">
        <f>Servant!$V$6+($F73+($F73*0.5*($D73-1)))*(R$3-1)</f>
        <v>181.89500000000001</v>
      </c>
      <c r="S73" s="55">
        <f>Servant!$V$6+($F73+($F73*0.5*($D73-1)))*(S$3-1)</f>
        <v>182.06450000000001</v>
      </c>
      <c r="T73" s="55">
        <f>Servant!$V$6+($F73+($F73*0.5*($D73-1)))*(T$3-1)</f>
        <v>182.23400000000001</v>
      </c>
      <c r="U73" s="55">
        <f>Servant!$V$6+($F73+($F73*0.5*($D73-1)))*(U$3-1)</f>
        <v>182.40350000000001</v>
      </c>
      <c r="V73" s="55">
        <f>Servant!$V$6+($F73+($F73*0.5*($D73-1)))*(V$3-1)</f>
        <v>182.57300000000001</v>
      </c>
      <c r="W73" s="55">
        <f>Servant!$V$6+($F73+($F73*0.5*($D73-1)))*(W$3-1)</f>
        <v>182.74250000000001</v>
      </c>
      <c r="X73" s="55">
        <f>Servant!$V$6+($F73+($F73*0.5*($D73-1)))*(X$3-1)</f>
        <v>182.91200000000001</v>
      </c>
      <c r="Y73" s="55">
        <f>Servant!$V$6+($F73+($F73*0.5*($D73-1)))*(Y$3-1)</f>
        <v>183.08150000000001</v>
      </c>
      <c r="Z73" s="55">
        <f>Servant!$V$6+($F73+($F73*0.5*($D73-1)))*(Z$3-1)</f>
        <v>183.251</v>
      </c>
      <c r="AA73" s="55">
        <f>Servant!$V$6+($F73+($F73*0.5*($D73-1)))*(AA$3-1)</f>
        <v>183.4205</v>
      </c>
      <c r="AB73" s="55">
        <f>Servant!$V$6+($F73+($F73*0.5*($D73-1)))*(AB$3-1)</f>
        <v>183.59</v>
      </c>
      <c r="AC73" s="55">
        <f>Servant!$V$6+($F73+($F73*0.5*($D73-1)))*(AC$3-1)</f>
        <v>183.75950000000003</v>
      </c>
      <c r="AD73" s="55">
        <f>Servant!$V$6+($F73+($F73*0.5*($D73-1)))*(AD$3-1)</f>
        <v>183.92900000000003</v>
      </c>
      <c r="AE73" s="55">
        <f>Servant!$V$6+($F73+($F73*0.5*($D73-1)))*(AE$3-1)</f>
        <v>184.09850000000003</v>
      </c>
      <c r="AF73" s="55">
        <f>Servant!$V$6+($F73+($F73*0.5*($D73-1)))*(AF$3-1)</f>
        <v>184.26800000000003</v>
      </c>
      <c r="AG73" s="55">
        <f>Servant!$V$6+($F73+($F73*0.5*($D73-1)))*(AG$3-1)</f>
        <v>184.43750000000003</v>
      </c>
      <c r="AH73" s="55">
        <f>Servant!$V$6+($F73+($F73*0.5*($D73-1)))*(AH$3-1)</f>
        <v>184.60700000000003</v>
      </c>
      <c r="AI73" s="55">
        <f>Servant!$V$6+($F73+($F73*0.5*($D73-1)))*(AI$3-1)</f>
        <v>184.77650000000003</v>
      </c>
      <c r="AJ73" s="55">
        <f>Servant!$V$6+($F73+($F73*0.5*($D73-1)))*(AJ$3-1)</f>
        <v>184.94600000000003</v>
      </c>
      <c r="AK73" s="55">
        <f>Servant!$V$6+($F73+($F73*0.5*($D73-1)))*(AK$3-1)</f>
        <v>185.11550000000003</v>
      </c>
    </row>
    <row r="74" spans="2:37" x14ac:dyDescent="0.3">
      <c r="B74" s="287"/>
      <c r="C74" s="289"/>
      <c r="D74" s="54">
        <v>3</v>
      </c>
      <c r="E74" s="54">
        <f>ServantLevelUPdStatus!$J$6+(ServantLevelUPdStatus!$J$6*0.5*($D74-1))</f>
        <v>0.22600000000000001</v>
      </c>
      <c r="F74" s="54">
        <f>F73</f>
        <v>0.113</v>
      </c>
      <c r="H74" s="55">
        <f>Servant!$V$6+($F74+($F74*0.5*($D74-1)))*(H$3-1)</f>
        <v>180.20000000000002</v>
      </c>
      <c r="I74" s="55">
        <f>Servant!$V$6+($F74+($F74*0.5*($D74-1)))*(I$3-1)</f>
        <v>180.42600000000002</v>
      </c>
      <c r="J74" s="55">
        <f>Servant!$V$6+($F74+($F74*0.5*($D74-1)))*(J$3-1)</f>
        <v>180.65200000000002</v>
      </c>
      <c r="K74" s="55">
        <f>Servant!$V$6+($F74+($F74*0.5*($D74-1)))*(K$3-1)</f>
        <v>180.87800000000001</v>
      </c>
      <c r="L74" s="55">
        <f>Servant!$V$6+($F74+($F74*0.5*($D74-1)))*(L$3-1)</f>
        <v>181.10400000000001</v>
      </c>
      <c r="M74" s="55">
        <f>Servant!$V$6+($F74+($F74*0.5*($D74-1)))*(M$3-1)</f>
        <v>181.33</v>
      </c>
      <c r="N74" s="55">
        <f>Servant!$V$6+($F74+($F74*0.5*($D74-1)))*(N$3-1)</f>
        <v>181.55600000000001</v>
      </c>
      <c r="O74" s="55">
        <f>Servant!$V$6+($F74+($F74*0.5*($D74-1)))*(O$3-1)</f>
        <v>181.78200000000001</v>
      </c>
      <c r="P74" s="55">
        <f>Servant!$V$6+($F74+($F74*0.5*($D74-1)))*(P$3-1)</f>
        <v>182.00800000000001</v>
      </c>
      <c r="Q74" s="55">
        <f>Servant!$V$6+($F74+($F74*0.5*($D74-1)))*(Q$3-1)</f>
        <v>182.23400000000001</v>
      </c>
      <c r="R74" s="55">
        <f>Servant!$V$6+($F74+($F74*0.5*($D74-1)))*(R$3-1)</f>
        <v>182.46</v>
      </c>
      <c r="S74" s="55">
        <f>Servant!$V$6+($F74+($F74*0.5*($D74-1)))*(S$3-1)</f>
        <v>182.68600000000001</v>
      </c>
      <c r="T74" s="55">
        <f>Servant!$V$6+($F74+($F74*0.5*($D74-1)))*(T$3-1)</f>
        <v>182.91200000000001</v>
      </c>
      <c r="U74" s="55">
        <f>Servant!$V$6+($F74+($F74*0.5*($D74-1)))*(U$3-1)</f>
        <v>183.13800000000001</v>
      </c>
      <c r="V74" s="55">
        <f>Servant!$V$6+($F74+($F74*0.5*($D74-1)))*(V$3-1)</f>
        <v>183.364</v>
      </c>
      <c r="W74" s="55">
        <f>Servant!$V$6+($F74+($F74*0.5*($D74-1)))*(W$3-1)</f>
        <v>183.59</v>
      </c>
      <c r="X74" s="55">
        <f>Servant!$V$6+($F74+($F74*0.5*($D74-1)))*(X$3-1)</f>
        <v>183.81600000000003</v>
      </c>
      <c r="Y74" s="55">
        <f>Servant!$V$6+($F74+($F74*0.5*($D74-1)))*(Y$3-1)</f>
        <v>184.04200000000003</v>
      </c>
      <c r="Z74" s="55">
        <f>Servant!$V$6+($F74+($F74*0.5*($D74-1)))*(Z$3-1)</f>
        <v>184.26800000000003</v>
      </c>
      <c r="AA74" s="55">
        <f>Servant!$V$6+($F74+($F74*0.5*($D74-1)))*(AA$3-1)</f>
        <v>184.49400000000003</v>
      </c>
      <c r="AB74" s="55">
        <f>Servant!$V$6+($F74+($F74*0.5*($D74-1)))*(AB$3-1)</f>
        <v>184.72000000000003</v>
      </c>
      <c r="AC74" s="55">
        <f>Servant!$V$6+($F74+($F74*0.5*($D74-1)))*(AC$3-1)</f>
        <v>184.94600000000003</v>
      </c>
      <c r="AD74" s="55">
        <f>Servant!$V$6+($F74+($F74*0.5*($D74-1)))*(AD$3-1)</f>
        <v>185.17200000000003</v>
      </c>
      <c r="AE74" s="55">
        <f>Servant!$V$6+($F74+($F74*0.5*($D74-1)))*(AE$3-1)</f>
        <v>185.39800000000002</v>
      </c>
      <c r="AF74" s="55">
        <f>Servant!$V$6+($F74+($F74*0.5*($D74-1)))*(AF$3-1)</f>
        <v>185.62400000000002</v>
      </c>
      <c r="AG74" s="55">
        <f>Servant!$V$6+($F74+($F74*0.5*($D74-1)))*(AG$3-1)</f>
        <v>185.85000000000002</v>
      </c>
      <c r="AH74" s="55">
        <f>Servant!$V$6+($F74+($F74*0.5*($D74-1)))*(AH$3-1)</f>
        <v>186.07600000000002</v>
      </c>
      <c r="AI74" s="55">
        <f>Servant!$V$6+($F74+($F74*0.5*($D74-1)))*(AI$3-1)</f>
        <v>186.30200000000002</v>
      </c>
      <c r="AJ74" s="55">
        <f>Servant!$V$6+($F74+($F74*0.5*($D74-1)))*(AJ$3-1)</f>
        <v>186.52800000000002</v>
      </c>
      <c r="AK74" s="55">
        <f>Servant!$V$6+($F74+($F74*0.5*($D74-1)))*(AK$3-1)</f>
        <v>186.75400000000002</v>
      </c>
    </row>
    <row r="75" spans="2:37" x14ac:dyDescent="0.3">
      <c r="B75" s="287"/>
      <c r="C75" s="290" t="s">
        <v>243</v>
      </c>
      <c r="D75" s="52">
        <v>2</v>
      </c>
      <c r="E75" s="52">
        <f>ServantLevelUPdStatus!$J$12+(ServantLevelUPdStatus!$J$12*0.5*($D75-1))</f>
        <v>0.2445</v>
      </c>
      <c r="F75" s="52">
        <f>ServantLevelUPdStatus!J$12</f>
        <v>0.16300000000000001</v>
      </c>
      <c r="H75" s="53">
        <f>Servant!$V$12+($F75+($F75*0.5*($D75-1)))*(H$3-1)</f>
        <v>183.4</v>
      </c>
      <c r="I75" s="53">
        <f>Servant!$V$12+($F75+($F75*0.5*($D75-1)))*(I$3-1)</f>
        <v>183.64449999999999</v>
      </c>
      <c r="J75" s="53">
        <f>Servant!$V$12+($F75+($F75*0.5*($D75-1)))*(J$3-1)</f>
        <v>183.88900000000001</v>
      </c>
      <c r="K75" s="53">
        <f>Servant!$V$12+($F75+($F75*0.5*($D75-1)))*(K$3-1)</f>
        <v>184.1335</v>
      </c>
      <c r="L75" s="53">
        <f>Servant!$V$12+($F75+($F75*0.5*($D75-1)))*(L$3-1)</f>
        <v>184.37800000000001</v>
      </c>
      <c r="M75" s="53">
        <f>Servant!$V$12+($F75+($F75*0.5*($D75-1)))*(M$3-1)</f>
        <v>184.6225</v>
      </c>
      <c r="N75" s="53">
        <f>Servant!$V$12+($F75+($F75*0.5*($D75-1)))*(N$3-1)</f>
        <v>184.86700000000002</v>
      </c>
      <c r="O75" s="53">
        <f>Servant!$V$12+($F75+($F75*0.5*($D75-1)))*(O$3-1)</f>
        <v>185.11150000000001</v>
      </c>
      <c r="P75" s="53">
        <f>Servant!$V$12+($F75+($F75*0.5*($D75-1)))*(P$3-1)</f>
        <v>185.35599999999999</v>
      </c>
      <c r="Q75" s="53">
        <f>Servant!$V$12+($F75+($F75*0.5*($D75-1)))*(Q$3-1)</f>
        <v>185.60050000000001</v>
      </c>
      <c r="R75" s="53">
        <f>Servant!$V$12+($F75+($F75*0.5*($D75-1)))*(R$3-1)</f>
        <v>185.845</v>
      </c>
      <c r="S75" s="53">
        <f>Servant!$V$12+($F75+($F75*0.5*($D75-1)))*(S$3-1)</f>
        <v>186.08950000000002</v>
      </c>
      <c r="T75" s="53">
        <f>Servant!$V$12+($F75+($F75*0.5*($D75-1)))*(T$3-1)</f>
        <v>186.334</v>
      </c>
      <c r="U75" s="53">
        <f>Servant!$V$12+($F75+($F75*0.5*($D75-1)))*(U$3-1)</f>
        <v>186.57850000000002</v>
      </c>
      <c r="V75" s="53">
        <f>Servant!$V$12+($F75+($F75*0.5*($D75-1)))*(V$3-1)</f>
        <v>186.82300000000001</v>
      </c>
      <c r="W75" s="53">
        <f>Servant!$V$12+($F75+($F75*0.5*($D75-1)))*(W$3-1)</f>
        <v>187.0675</v>
      </c>
      <c r="X75" s="53">
        <f>Servant!$V$12+($F75+($F75*0.5*($D75-1)))*(X$3-1)</f>
        <v>187.31200000000001</v>
      </c>
      <c r="Y75" s="53">
        <f>Servant!$V$12+($F75+($F75*0.5*($D75-1)))*(Y$3-1)</f>
        <v>187.5565</v>
      </c>
      <c r="Z75" s="53">
        <f>Servant!$V$12+($F75+($F75*0.5*($D75-1)))*(Z$3-1)</f>
        <v>187.80100000000002</v>
      </c>
      <c r="AA75" s="53">
        <f>Servant!$V$12+($F75+($F75*0.5*($D75-1)))*(AA$3-1)</f>
        <v>188.0455</v>
      </c>
      <c r="AB75" s="53">
        <f>Servant!$V$12+($F75+($F75*0.5*($D75-1)))*(AB$3-1)</f>
        <v>188.29</v>
      </c>
      <c r="AC75" s="53">
        <f>Servant!$V$12+($F75+($F75*0.5*($D75-1)))*(AC$3-1)</f>
        <v>188.53450000000001</v>
      </c>
      <c r="AD75" s="53">
        <f>Servant!$V$12+($F75+($F75*0.5*($D75-1)))*(AD$3-1)</f>
        <v>188.779</v>
      </c>
      <c r="AE75" s="53">
        <f>Servant!$V$12+($F75+($F75*0.5*($D75-1)))*(AE$3-1)</f>
        <v>189.02350000000001</v>
      </c>
      <c r="AF75" s="53">
        <f>Servant!$V$12+($F75+($F75*0.5*($D75-1)))*(AF$3-1)</f>
        <v>189.268</v>
      </c>
      <c r="AG75" s="53">
        <f>Servant!$V$12+($F75+($F75*0.5*($D75-1)))*(AG$3-1)</f>
        <v>189.51250000000002</v>
      </c>
      <c r="AH75" s="53">
        <f>Servant!$V$12+($F75+($F75*0.5*($D75-1)))*(AH$3-1)</f>
        <v>189.75700000000001</v>
      </c>
      <c r="AI75" s="53">
        <f>Servant!$V$12+($F75+($F75*0.5*($D75-1)))*(AI$3-1)</f>
        <v>190.00149999999999</v>
      </c>
      <c r="AJ75" s="53">
        <f>Servant!$V$12+($F75+($F75*0.5*($D75-1)))*(AJ$3-1)</f>
        <v>190.24600000000001</v>
      </c>
      <c r="AK75" s="53">
        <f>Servant!$V$12+($F75+($F75*0.5*($D75-1)))*(AK$3-1)</f>
        <v>190.4905</v>
      </c>
    </row>
    <row r="76" spans="2:37" x14ac:dyDescent="0.3">
      <c r="B76" s="287"/>
      <c r="C76" s="290"/>
      <c r="D76" s="52">
        <v>3</v>
      </c>
      <c r="E76" s="52">
        <f>ServantLevelUPdStatus!$J$12+(ServantLevelUPdStatus!$J$12*0.5*($D76-1))</f>
        <v>0.32600000000000001</v>
      </c>
      <c r="F76" s="52">
        <f>F75</f>
        <v>0.16300000000000001</v>
      </c>
      <c r="H76" s="53">
        <f>Servant!$V$12+($F76+($F76*0.5*($D76-1)))*(H$3-1)</f>
        <v>183.4</v>
      </c>
      <c r="I76" s="53">
        <f>Servant!$V$12+($F76+($F76*0.5*($D76-1)))*(I$3-1)</f>
        <v>183.726</v>
      </c>
      <c r="J76" s="53">
        <f>Servant!$V$12+($F76+($F76*0.5*($D76-1)))*(J$3-1)</f>
        <v>184.05199999999999</v>
      </c>
      <c r="K76" s="53">
        <f>Servant!$V$12+($F76+($F76*0.5*($D76-1)))*(K$3-1)</f>
        <v>184.37800000000001</v>
      </c>
      <c r="L76" s="53">
        <f>Servant!$V$12+($F76+($F76*0.5*($D76-1)))*(L$3-1)</f>
        <v>184.70400000000001</v>
      </c>
      <c r="M76" s="53">
        <f>Servant!$V$12+($F76+($F76*0.5*($D76-1)))*(M$3-1)</f>
        <v>185.03</v>
      </c>
      <c r="N76" s="53">
        <f>Servant!$V$12+($F76+($F76*0.5*($D76-1)))*(N$3-1)</f>
        <v>185.35599999999999</v>
      </c>
      <c r="O76" s="53">
        <f>Servant!$V$12+($F76+($F76*0.5*($D76-1)))*(O$3-1)</f>
        <v>185.68200000000002</v>
      </c>
      <c r="P76" s="53">
        <f>Servant!$V$12+($F76+($F76*0.5*($D76-1)))*(P$3-1)</f>
        <v>186.00800000000001</v>
      </c>
      <c r="Q76" s="53">
        <f>Servant!$V$12+($F76+($F76*0.5*($D76-1)))*(Q$3-1)</f>
        <v>186.334</v>
      </c>
      <c r="R76" s="53">
        <f>Servant!$V$12+($F76+($F76*0.5*($D76-1)))*(R$3-1)</f>
        <v>186.66</v>
      </c>
      <c r="S76" s="53">
        <f>Servant!$V$12+($F76+($F76*0.5*($D76-1)))*(S$3-1)</f>
        <v>186.98600000000002</v>
      </c>
      <c r="T76" s="53">
        <f>Servant!$V$12+($F76+($F76*0.5*($D76-1)))*(T$3-1)</f>
        <v>187.31200000000001</v>
      </c>
      <c r="U76" s="53">
        <f>Servant!$V$12+($F76+($F76*0.5*($D76-1)))*(U$3-1)</f>
        <v>187.63800000000001</v>
      </c>
      <c r="V76" s="53">
        <f>Servant!$V$12+($F76+($F76*0.5*($D76-1)))*(V$3-1)</f>
        <v>187.964</v>
      </c>
      <c r="W76" s="53">
        <f>Servant!$V$12+($F76+($F76*0.5*($D76-1)))*(W$3-1)</f>
        <v>188.29000000000002</v>
      </c>
      <c r="X76" s="53">
        <f>Servant!$V$12+($F76+($F76*0.5*($D76-1)))*(X$3-1)</f>
        <v>188.61600000000001</v>
      </c>
      <c r="Y76" s="53">
        <f>Servant!$V$12+($F76+($F76*0.5*($D76-1)))*(Y$3-1)</f>
        <v>188.94200000000001</v>
      </c>
      <c r="Z76" s="53">
        <f>Servant!$V$12+($F76+($F76*0.5*($D76-1)))*(Z$3-1)</f>
        <v>189.268</v>
      </c>
      <c r="AA76" s="53">
        <f>Servant!$V$12+($F76+($F76*0.5*($D76-1)))*(AA$3-1)</f>
        <v>189.59399999999999</v>
      </c>
      <c r="AB76" s="53">
        <f>Servant!$V$12+($F76+($F76*0.5*($D76-1)))*(AB$3-1)</f>
        <v>189.92000000000002</v>
      </c>
      <c r="AC76" s="53">
        <f>Servant!$V$12+($F76+($F76*0.5*($D76-1)))*(AC$3-1)</f>
        <v>190.24600000000001</v>
      </c>
      <c r="AD76" s="53">
        <f>Servant!$V$12+($F76+($F76*0.5*($D76-1)))*(AD$3-1)</f>
        <v>190.572</v>
      </c>
      <c r="AE76" s="53">
        <f>Servant!$V$12+($F76+($F76*0.5*($D76-1)))*(AE$3-1)</f>
        <v>190.898</v>
      </c>
      <c r="AF76" s="53">
        <f>Servant!$V$12+($F76+($F76*0.5*($D76-1)))*(AF$3-1)</f>
        <v>191.22400000000002</v>
      </c>
      <c r="AG76" s="53">
        <f>Servant!$V$12+($F76+($F76*0.5*($D76-1)))*(AG$3-1)</f>
        <v>191.55</v>
      </c>
      <c r="AH76" s="53">
        <f>Servant!$V$12+($F76+($F76*0.5*($D76-1)))*(AH$3-1)</f>
        <v>191.876</v>
      </c>
      <c r="AI76" s="53">
        <f>Servant!$V$12+($F76+($F76*0.5*($D76-1)))*(AI$3-1)</f>
        <v>192.202</v>
      </c>
      <c r="AJ76" s="53">
        <f>Servant!$V$12+($F76+($F76*0.5*($D76-1)))*(AJ$3-1)</f>
        <v>192.52800000000002</v>
      </c>
      <c r="AK76" s="53">
        <f>Servant!$V$12+($F76+($F76*0.5*($D76-1)))*(AK$3-1)</f>
        <v>192.85400000000001</v>
      </c>
    </row>
    <row r="77" spans="2:37" x14ac:dyDescent="0.3">
      <c r="B77" s="287"/>
      <c r="C77" s="290"/>
      <c r="D77" s="52">
        <v>4</v>
      </c>
      <c r="E77" s="52">
        <f>ServantLevelUPdStatus!$J$12+(ServantLevelUPdStatus!$J$12*0.5*($D77-1))</f>
        <v>0.40749999999999997</v>
      </c>
      <c r="F77" s="52">
        <f>F76</f>
        <v>0.16300000000000001</v>
      </c>
      <c r="H77" s="53">
        <f>Servant!$V$12+($F77+($F77*0.5*($D77-1)))*(H$3-1)</f>
        <v>183.4</v>
      </c>
      <c r="I77" s="53">
        <f>Servant!$V$12+($F77+($F77*0.5*($D77-1)))*(I$3-1)</f>
        <v>183.8075</v>
      </c>
      <c r="J77" s="53">
        <f>Servant!$V$12+($F77+($F77*0.5*($D77-1)))*(J$3-1)</f>
        <v>184.215</v>
      </c>
      <c r="K77" s="53">
        <f>Servant!$V$12+($F77+($F77*0.5*($D77-1)))*(K$3-1)</f>
        <v>184.6225</v>
      </c>
      <c r="L77" s="53">
        <f>Servant!$V$12+($F77+($F77*0.5*($D77-1)))*(L$3-1)</f>
        <v>185.03</v>
      </c>
      <c r="M77" s="53">
        <f>Servant!$V$12+($F77+($F77*0.5*($D77-1)))*(M$3-1)</f>
        <v>185.4375</v>
      </c>
      <c r="N77" s="53">
        <f>Servant!$V$12+($F77+($F77*0.5*($D77-1)))*(N$3-1)</f>
        <v>185.845</v>
      </c>
      <c r="O77" s="53">
        <f>Servant!$V$12+($F77+($F77*0.5*($D77-1)))*(O$3-1)</f>
        <v>186.2525</v>
      </c>
      <c r="P77" s="53">
        <f>Servant!$V$12+($F77+($F77*0.5*($D77-1)))*(P$3-1)</f>
        <v>186.66</v>
      </c>
      <c r="Q77" s="53">
        <f>Servant!$V$12+($F77+($F77*0.5*($D77-1)))*(Q$3-1)</f>
        <v>187.0675</v>
      </c>
      <c r="R77" s="53">
        <f>Servant!$V$12+($F77+($F77*0.5*($D77-1)))*(R$3-1)</f>
        <v>187.47499999999999</v>
      </c>
      <c r="S77" s="53">
        <f>Servant!$V$12+($F77+($F77*0.5*($D77-1)))*(S$3-1)</f>
        <v>187.88249999999999</v>
      </c>
      <c r="T77" s="53">
        <f>Servant!$V$12+($F77+($F77*0.5*($D77-1)))*(T$3-1)</f>
        <v>188.29</v>
      </c>
      <c r="U77" s="53">
        <f>Servant!$V$12+($F77+($F77*0.5*($D77-1)))*(U$3-1)</f>
        <v>188.69749999999999</v>
      </c>
      <c r="V77" s="53">
        <f>Servant!$V$12+($F77+($F77*0.5*($D77-1)))*(V$3-1)</f>
        <v>189.10500000000002</v>
      </c>
      <c r="W77" s="53">
        <f>Servant!$V$12+($F77+($F77*0.5*($D77-1)))*(W$3-1)</f>
        <v>189.51250000000002</v>
      </c>
      <c r="X77" s="53">
        <f>Servant!$V$12+($F77+($F77*0.5*($D77-1)))*(X$3-1)</f>
        <v>189.92000000000002</v>
      </c>
      <c r="Y77" s="53">
        <f>Servant!$V$12+($F77+($F77*0.5*($D77-1)))*(Y$3-1)</f>
        <v>190.32750000000001</v>
      </c>
      <c r="Z77" s="53">
        <f>Servant!$V$12+($F77+($F77*0.5*($D77-1)))*(Z$3-1)</f>
        <v>190.73500000000001</v>
      </c>
      <c r="AA77" s="53">
        <f>Servant!$V$12+($F77+($F77*0.5*($D77-1)))*(AA$3-1)</f>
        <v>191.14250000000001</v>
      </c>
      <c r="AB77" s="53">
        <f>Servant!$V$12+($F77+($F77*0.5*($D77-1)))*(AB$3-1)</f>
        <v>191.55</v>
      </c>
      <c r="AC77" s="53">
        <f>Servant!$V$12+($F77+($F77*0.5*($D77-1)))*(AC$3-1)</f>
        <v>191.95750000000001</v>
      </c>
      <c r="AD77" s="53">
        <f>Servant!$V$12+($F77+($F77*0.5*($D77-1)))*(AD$3-1)</f>
        <v>192.36500000000001</v>
      </c>
      <c r="AE77" s="53">
        <f>Servant!$V$12+($F77+($F77*0.5*($D77-1)))*(AE$3-1)</f>
        <v>192.77250000000001</v>
      </c>
      <c r="AF77" s="53">
        <f>Servant!$V$12+($F77+($F77*0.5*($D77-1)))*(AF$3-1)</f>
        <v>193.18</v>
      </c>
      <c r="AG77" s="53">
        <f>Servant!$V$12+($F77+($F77*0.5*($D77-1)))*(AG$3-1)</f>
        <v>193.58750000000001</v>
      </c>
      <c r="AH77" s="53">
        <f>Servant!$V$12+($F77+($F77*0.5*($D77-1)))*(AH$3-1)</f>
        <v>193.995</v>
      </c>
      <c r="AI77" s="53">
        <f>Servant!$V$12+($F77+($F77*0.5*($D77-1)))*(AI$3-1)</f>
        <v>194.4025</v>
      </c>
      <c r="AJ77" s="53">
        <f>Servant!$V$12+($F77+($F77*0.5*($D77-1)))*(AJ$3-1)</f>
        <v>194.81</v>
      </c>
      <c r="AK77" s="53">
        <f>Servant!$V$12+($F77+($F77*0.5*($D77-1)))*(AK$3-1)</f>
        <v>195.2175</v>
      </c>
    </row>
    <row r="78" spans="2:37" x14ac:dyDescent="0.3">
      <c r="B78" s="287"/>
      <c r="C78" s="291" t="s">
        <v>244</v>
      </c>
      <c r="D78" s="56">
        <v>3</v>
      </c>
      <c r="E78" s="56">
        <f>ServantLevelUPdStatus!$J$18+(ServantLevelUPdStatus!$J$18*0.5*($D78-1))</f>
        <v>0.42600000000000005</v>
      </c>
      <c r="F78" s="56">
        <f>ServantLevelUPdStatus!J$18</f>
        <v>0.21300000000000002</v>
      </c>
      <c r="H78" s="57">
        <f>Servant!$V$18+($F78+($F78*0.5*($D78-1)))*(H$3-1)</f>
        <v>188.9</v>
      </c>
      <c r="I78" s="57">
        <f>Servant!$V$18+($F78+($F78*0.5*($D78-1)))*(I$3-1)</f>
        <v>189.32599999999999</v>
      </c>
      <c r="J78" s="57">
        <f>Servant!$V$18+($F78+($F78*0.5*($D78-1)))*(J$3-1)</f>
        <v>189.75200000000001</v>
      </c>
      <c r="K78" s="57">
        <f>Servant!$V$18+($F78+($F78*0.5*($D78-1)))*(K$3-1)</f>
        <v>190.178</v>
      </c>
      <c r="L78" s="57">
        <f>Servant!$V$18+($F78+($F78*0.5*($D78-1)))*(L$3-1)</f>
        <v>190.60400000000001</v>
      </c>
      <c r="M78" s="57">
        <f>Servant!$V$18+($F78+($F78*0.5*($D78-1)))*(M$3-1)</f>
        <v>191.03</v>
      </c>
      <c r="N78" s="57">
        <f>Servant!$V$18+($F78+($F78*0.5*($D78-1)))*(N$3-1)</f>
        <v>191.45600000000002</v>
      </c>
      <c r="O78" s="57">
        <f>Servant!$V$18+($F78+($F78*0.5*($D78-1)))*(O$3-1)</f>
        <v>191.88200000000001</v>
      </c>
      <c r="P78" s="57">
        <f>Servant!$V$18+($F78+($F78*0.5*($D78-1)))*(P$3-1)</f>
        <v>192.30799999999999</v>
      </c>
      <c r="Q78" s="57">
        <f>Servant!$V$18+($F78+($F78*0.5*($D78-1)))*(Q$3-1)</f>
        <v>192.73400000000001</v>
      </c>
      <c r="R78" s="57">
        <f>Servant!$V$18+($F78+($F78*0.5*($D78-1)))*(R$3-1)</f>
        <v>193.16</v>
      </c>
      <c r="S78" s="57">
        <f>Servant!$V$18+($F78+($F78*0.5*($D78-1)))*(S$3-1)</f>
        <v>193.58600000000001</v>
      </c>
      <c r="T78" s="57">
        <f>Servant!$V$18+($F78+($F78*0.5*($D78-1)))*(T$3-1)</f>
        <v>194.012</v>
      </c>
      <c r="U78" s="57">
        <f>Servant!$V$18+($F78+($F78*0.5*($D78-1)))*(U$3-1)</f>
        <v>194.43800000000002</v>
      </c>
      <c r="V78" s="57">
        <f>Servant!$V$18+($F78+($F78*0.5*($D78-1)))*(V$3-1)</f>
        <v>194.864</v>
      </c>
      <c r="W78" s="57">
        <f>Servant!$V$18+($F78+($F78*0.5*($D78-1)))*(W$3-1)</f>
        <v>195.29000000000002</v>
      </c>
      <c r="X78" s="57">
        <f>Servant!$V$18+($F78+($F78*0.5*($D78-1)))*(X$3-1)</f>
        <v>195.71600000000001</v>
      </c>
      <c r="Y78" s="57">
        <f>Servant!$V$18+($F78+($F78*0.5*($D78-1)))*(Y$3-1)</f>
        <v>196.142</v>
      </c>
      <c r="Z78" s="57">
        <f>Servant!$V$18+($F78+($F78*0.5*($D78-1)))*(Z$3-1)</f>
        <v>196.56800000000001</v>
      </c>
      <c r="AA78" s="57">
        <f>Servant!$V$18+($F78+($F78*0.5*($D78-1)))*(AA$3-1)</f>
        <v>196.994</v>
      </c>
      <c r="AB78" s="57">
        <f>Servant!$V$18+($F78+($F78*0.5*($D78-1)))*(AB$3-1)</f>
        <v>197.42000000000002</v>
      </c>
      <c r="AC78" s="57">
        <f>Servant!$V$18+($F78+($F78*0.5*($D78-1)))*(AC$3-1)</f>
        <v>197.846</v>
      </c>
      <c r="AD78" s="57">
        <f>Servant!$V$18+($F78+($F78*0.5*($D78-1)))*(AD$3-1)</f>
        <v>198.27200000000002</v>
      </c>
      <c r="AE78" s="57">
        <f>Servant!$V$18+($F78+($F78*0.5*($D78-1)))*(AE$3-1)</f>
        <v>198.69800000000001</v>
      </c>
      <c r="AF78" s="57">
        <f>Servant!$V$18+($F78+($F78*0.5*($D78-1)))*(AF$3-1)</f>
        <v>199.124</v>
      </c>
      <c r="AG78" s="57">
        <f>Servant!$V$18+($F78+($F78*0.5*($D78-1)))*(AG$3-1)</f>
        <v>199.55</v>
      </c>
      <c r="AH78" s="57">
        <f>Servant!$V$18+($F78+($F78*0.5*($D78-1)))*(AH$3-1)</f>
        <v>199.976</v>
      </c>
      <c r="AI78" s="57">
        <f>Servant!$V$18+($F78+($F78*0.5*($D78-1)))*(AI$3-1)</f>
        <v>200.40200000000002</v>
      </c>
      <c r="AJ78" s="57">
        <f>Servant!$V$18+($F78+($F78*0.5*($D78-1)))*(AJ$3-1)</f>
        <v>200.828</v>
      </c>
      <c r="AK78" s="57">
        <f>Servant!$V$18+($F78+($F78*0.5*($D78-1)))*(AK$3-1)</f>
        <v>201.25400000000002</v>
      </c>
    </row>
    <row r="79" spans="2:37" x14ac:dyDescent="0.3">
      <c r="B79" s="287"/>
      <c r="C79" s="291"/>
      <c r="D79" s="56">
        <v>4</v>
      </c>
      <c r="E79" s="56">
        <f>ServantLevelUPdStatus!$J$18+(ServantLevelUPdStatus!$J$18*0.5*($D79-1))</f>
        <v>0.53249999999999997</v>
      </c>
      <c r="F79" s="56">
        <f>F78</f>
        <v>0.21300000000000002</v>
      </c>
      <c r="H79" s="57">
        <f>Servant!$V$18+($F79+($F79*0.5*($D79-1)))*(H$3-1)</f>
        <v>188.9</v>
      </c>
      <c r="I79" s="57">
        <f>Servant!$V$18+($F79+($F79*0.5*($D79-1)))*(I$3-1)</f>
        <v>189.4325</v>
      </c>
      <c r="J79" s="57">
        <f>Servant!$V$18+($F79+($F79*0.5*($D79-1)))*(J$3-1)</f>
        <v>189.965</v>
      </c>
      <c r="K79" s="57">
        <f>Servant!$V$18+($F79+($F79*0.5*($D79-1)))*(K$3-1)</f>
        <v>190.4975</v>
      </c>
      <c r="L79" s="57">
        <f>Servant!$V$18+($F79+($F79*0.5*($D79-1)))*(L$3-1)</f>
        <v>191.03</v>
      </c>
      <c r="M79" s="57">
        <f>Servant!$V$18+($F79+($F79*0.5*($D79-1)))*(M$3-1)</f>
        <v>191.5625</v>
      </c>
      <c r="N79" s="57">
        <f>Servant!$V$18+($F79+($F79*0.5*($D79-1)))*(N$3-1)</f>
        <v>192.095</v>
      </c>
      <c r="O79" s="57">
        <f>Servant!$V$18+($F79+($F79*0.5*($D79-1)))*(O$3-1)</f>
        <v>192.6275</v>
      </c>
      <c r="P79" s="57">
        <f>Servant!$V$18+($F79+($F79*0.5*($D79-1)))*(P$3-1)</f>
        <v>193.16</v>
      </c>
      <c r="Q79" s="57">
        <f>Servant!$V$18+($F79+($F79*0.5*($D79-1)))*(Q$3-1)</f>
        <v>193.6925</v>
      </c>
      <c r="R79" s="57">
        <f>Servant!$V$18+($F79+($F79*0.5*($D79-1)))*(R$3-1)</f>
        <v>194.22499999999999</v>
      </c>
      <c r="S79" s="57">
        <f>Servant!$V$18+($F79+($F79*0.5*($D79-1)))*(S$3-1)</f>
        <v>194.75749999999999</v>
      </c>
      <c r="T79" s="57">
        <f>Servant!$V$18+($F79+($F79*0.5*($D79-1)))*(T$3-1)</f>
        <v>195.29</v>
      </c>
      <c r="U79" s="57">
        <f>Servant!$V$18+($F79+($F79*0.5*($D79-1)))*(U$3-1)</f>
        <v>195.82249999999999</v>
      </c>
      <c r="V79" s="57">
        <f>Servant!$V$18+($F79+($F79*0.5*($D79-1)))*(V$3-1)</f>
        <v>196.35500000000002</v>
      </c>
      <c r="W79" s="57">
        <f>Servant!$V$18+($F79+($F79*0.5*($D79-1)))*(W$3-1)</f>
        <v>196.88750000000002</v>
      </c>
      <c r="X79" s="57">
        <f>Servant!$V$18+($F79+($F79*0.5*($D79-1)))*(X$3-1)</f>
        <v>197.42000000000002</v>
      </c>
      <c r="Y79" s="57">
        <f>Servant!$V$18+($F79+($F79*0.5*($D79-1)))*(Y$3-1)</f>
        <v>197.95250000000001</v>
      </c>
      <c r="Z79" s="57">
        <f>Servant!$V$18+($F79+($F79*0.5*($D79-1)))*(Z$3-1)</f>
        <v>198.48500000000001</v>
      </c>
      <c r="AA79" s="57">
        <f>Servant!$V$18+($F79+($F79*0.5*($D79-1)))*(AA$3-1)</f>
        <v>199.01750000000001</v>
      </c>
      <c r="AB79" s="57">
        <f>Servant!$V$18+($F79+($F79*0.5*($D79-1)))*(AB$3-1)</f>
        <v>199.55</v>
      </c>
      <c r="AC79" s="57">
        <f>Servant!$V$18+($F79+($F79*0.5*($D79-1)))*(AC$3-1)</f>
        <v>200.08250000000001</v>
      </c>
      <c r="AD79" s="57">
        <f>Servant!$V$18+($F79+($F79*0.5*($D79-1)))*(AD$3-1)</f>
        <v>200.61500000000001</v>
      </c>
      <c r="AE79" s="57">
        <f>Servant!$V$18+($F79+($F79*0.5*($D79-1)))*(AE$3-1)</f>
        <v>201.14750000000001</v>
      </c>
      <c r="AF79" s="57">
        <f>Servant!$V$18+($F79+($F79*0.5*($D79-1)))*(AF$3-1)</f>
        <v>201.68</v>
      </c>
      <c r="AG79" s="57">
        <f>Servant!$V$18+($F79+($F79*0.5*($D79-1)))*(AG$3-1)</f>
        <v>202.21250000000001</v>
      </c>
      <c r="AH79" s="57">
        <f>Servant!$V$18+($F79+($F79*0.5*($D79-1)))*(AH$3-1)</f>
        <v>202.745</v>
      </c>
      <c r="AI79" s="57">
        <f>Servant!$V$18+($F79+($F79*0.5*($D79-1)))*(AI$3-1)</f>
        <v>203.2775</v>
      </c>
      <c r="AJ79" s="57">
        <f>Servant!$V$18+($F79+($F79*0.5*($D79-1)))*(AJ$3-1)</f>
        <v>203.81</v>
      </c>
      <c r="AK79" s="57">
        <f>Servant!$V$18+($F79+($F79*0.5*($D79-1)))*(AK$3-1)</f>
        <v>204.3425</v>
      </c>
    </row>
    <row r="80" spans="2:37" x14ac:dyDescent="0.3">
      <c r="B80" s="287"/>
      <c r="C80" s="291"/>
      <c r="D80" s="56">
        <v>5</v>
      </c>
      <c r="E80" s="56">
        <f>ServantLevelUPdStatus!$J$18+(ServantLevelUPdStatus!$J$18*0.5*($D80-1))</f>
        <v>0.63900000000000001</v>
      </c>
      <c r="F80" s="56">
        <f>F79</f>
        <v>0.21300000000000002</v>
      </c>
      <c r="H80" s="57">
        <f>Servant!$V$18+($F80+($F80*0.5*($D80-1)))*(H$3-1)</f>
        <v>188.9</v>
      </c>
      <c r="I80" s="57">
        <f>Servant!$V$18+($F80+($F80*0.5*($D80-1)))*(I$3-1)</f>
        <v>189.53900000000002</v>
      </c>
      <c r="J80" s="57">
        <f>Servant!$V$18+($F80+($F80*0.5*($D80-1)))*(J$3-1)</f>
        <v>190.178</v>
      </c>
      <c r="K80" s="57">
        <f>Servant!$V$18+($F80+($F80*0.5*($D80-1)))*(K$3-1)</f>
        <v>190.81700000000001</v>
      </c>
      <c r="L80" s="57">
        <f>Servant!$V$18+($F80+($F80*0.5*($D80-1)))*(L$3-1)</f>
        <v>191.45600000000002</v>
      </c>
      <c r="M80" s="57">
        <f>Servant!$V$18+($F80+($F80*0.5*($D80-1)))*(M$3-1)</f>
        <v>192.095</v>
      </c>
      <c r="N80" s="57">
        <f>Servant!$V$18+($F80+($F80*0.5*($D80-1)))*(N$3-1)</f>
        <v>192.73400000000001</v>
      </c>
      <c r="O80" s="57">
        <f>Servant!$V$18+($F80+($F80*0.5*($D80-1)))*(O$3-1)</f>
        <v>193.37300000000002</v>
      </c>
      <c r="P80" s="57">
        <f>Servant!$V$18+($F80+($F80*0.5*($D80-1)))*(P$3-1)</f>
        <v>194.012</v>
      </c>
      <c r="Q80" s="57">
        <f>Servant!$V$18+($F80+($F80*0.5*($D80-1)))*(Q$3-1)</f>
        <v>194.65100000000001</v>
      </c>
      <c r="R80" s="57">
        <f>Servant!$V$18+($F80+($F80*0.5*($D80-1)))*(R$3-1)</f>
        <v>195.29000000000002</v>
      </c>
      <c r="S80" s="57">
        <f>Servant!$V$18+($F80+($F80*0.5*($D80-1)))*(S$3-1)</f>
        <v>195.929</v>
      </c>
      <c r="T80" s="57">
        <f>Servant!$V$18+($F80+($F80*0.5*($D80-1)))*(T$3-1)</f>
        <v>196.56800000000001</v>
      </c>
      <c r="U80" s="57">
        <f>Servant!$V$18+($F80+($F80*0.5*($D80-1)))*(U$3-1)</f>
        <v>197.20699999999999</v>
      </c>
      <c r="V80" s="57">
        <f>Servant!$V$18+($F80+($F80*0.5*($D80-1)))*(V$3-1)</f>
        <v>197.846</v>
      </c>
      <c r="W80" s="57">
        <f>Servant!$V$18+($F80+($F80*0.5*($D80-1)))*(W$3-1)</f>
        <v>198.48500000000001</v>
      </c>
      <c r="X80" s="57">
        <f>Servant!$V$18+($F80+($F80*0.5*($D80-1)))*(X$3-1)</f>
        <v>199.124</v>
      </c>
      <c r="Y80" s="57">
        <f>Servant!$V$18+($F80+($F80*0.5*($D80-1)))*(Y$3-1)</f>
        <v>199.76300000000001</v>
      </c>
      <c r="Z80" s="57">
        <f>Servant!$V$18+($F80+($F80*0.5*($D80-1)))*(Z$3-1)</f>
        <v>200.40200000000002</v>
      </c>
      <c r="AA80" s="57">
        <f>Servant!$V$18+($F80+($F80*0.5*($D80-1)))*(AA$3-1)</f>
        <v>201.041</v>
      </c>
      <c r="AB80" s="57">
        <f>Servant!$V$18+($F80+($F80*0.5*($D80-1)))*(AB$3-1)</f>
        <v>201.68</v>
      </c>
      <c r="AC80" s="57">
        <f>Servant!$V$18+($F80+($F80*0.5*($D80-1)))*(AC$3-1)</f>
        <v>202.31900000000002</v>
      </c>
      <c r="AD80" s="57">
        <f>Servant!$V$18+($F80+($F80*0.5*($D80-1)))*(AD$3-1)</f>
        <v>202.958</v>
      </c>
      <c r="AE80" s="57">
        <f>Servant!$V$18+($F80+($F80*0.5*($D80-1)))*(AE$3-1)</f>
        <v>203.59700000000001</v>
      </c>
      <c r="AF80" s="57">
        <f>Servant!$V$18+($F80+($F80*0.5*($D80-1)))*(AF$3-1)</f>
        <v>204.23600000000002</v>
      </c>
      <c r="AG80" s="57">
        <f>Servant!$V$18+($F80+($F80*0.5*($D80-1)))*(AG$3-1)</f>
        <v>204.875</v>
      </c>
      <c r="AH80" s="57">
        <f>Servant!$V$18+($F80+($F80*0.5*($D80-1)))*(AH$3-1)</f>
        <v>205.51400000000001</v>
      </c>
      <c r="AI80" s="57">
        <f>Servant!$V$18+($F80+($F80*0.5*($D80-1)))*(AI$3-1)</f>
        <v>206.15300000000002</v>
      </c>
      <c r="AJ80" s="57">
        <f>Servant!$V$18+($F80+($F80*0.5*($D80-1)))*(AJ$3-1)</f>
        <v>206.792</v>
      </c>
      <c r="AK80" s="57">
        <f>Servant!$V$18+($F80+($F80*0.5*($D80-1)))*(AK$3-1)</f>
        <v>207.43100000000001</v>
      </c>
    </row>
    <row r="81" spans="2:37" x14ac:dyDescent="0.3">
      <c r="B81" s="287"/>
      <c r="C81" s="292" t="s">
        <v>245</v>
      </c>
      <c r="D81" s="58">
        <v>4</v>
      </c>
      <c r="E81" s="58">
        <f>ServantLevelUPdStatus!$J$22+(ServantLevelUPdStatus!$J$22*0.5*($D81-1))</f>
        <v>0.65749999999999997</v>
      </c>
      <c r="F81" s="58">
        <f>ServantLevelUPdStatus!J$22</f>
        <v>0.26300000000000001</v>
      </c>
      <c r="H81" s="59">
        <f>Servant!$V$22+($F81+($F81*0.5*($D81-1)))*(H$3-1)</f>
        <v>195.23699999999999</v>
      </c>
      <c r="I81" s="59">
        <f>Servant!$V$22+($F81+($F81*0.5*($D81-1)))*(I$3-1)</f>
        <v>195.89449999999999</v>
      </c>
      <c r="J81" s="59">
        <f>Servant!$V$22+($F81+($F81*0.5*($D81-1)))*(J$3-1)</f>
        <v>196.55199999999999</v>
      </c>
      <c r="K81" s="59">
        <f>Servant!$V$22+($F81+($F81*0.5*($D81-1)))*(K$3-1)</f>
        <v>197.20949999999999</v>
      </c>
      <c r="L81" s="59">
        <f>Servant!$V$22+($F81+($F81*0.5*($D81-1)))*(L$3-1)</f>
        <v>197.86699999999999</v>
      </c>
      <c r="M81" s="59">
        <f>Servant!$V$22+($F81+($F81*0.5*($D81-1)))*(M$3-1)</f>
        <v>198.52449999999999</v>
      </c>
      <c r="N81" s="59">
        <f>Servant!$V$22+($F81+($F81*0.5*($D81-1)))*(N$3-1)</f>
        <v>199.18199999999999</v>
      </c>
      <c r="O81" s="59">
        <f>Servant!$V$22+($F81+($F81*0.5*($D81-1)))*(O$3-1)</f>
        <v>199.83949999999999</v>
      </c>
      <c r="P81" s="59">
        <f>Servant!$V$22+($F81+($F81*0.5*($D81-1)))*(P$3-1)</f>
        <v>200.49699999999999</v>
      </c>
      <c r="Q81" s="59">
        <f>Servant!$V$22+($F81+($F81*0.5*($D81-1)))*(Q$3-1)</f>
        <v>201.15449999999998</v>
      </c>
      <c r="R81" s="59">
        <f>Servant!$V$22+($F81+($F81*0.5*($D81-1)))*(R$3-1)</f>
        <v>201.81199999999998</v>
      </c>
      <c r="S81" s="59">
        <f>Servant!$V$22+($F81+($F81*0.5*($D81-1)))*(S$3-1)</f>
        <v>202.46949999999998</v>
      </c>
      <c r="T81" s="59">
        <f>Servant!$V$22+($F81+($F81*0.5*($D81-1)))*(T$3-1)</f>
        <v>203.12699999999998</v>
      </c>
      <c r="U81" s="59">
        <f>Servant!$V$22+($F81+($F81*0.5*($D81-1)))*(U$3-1)</f>
        <v>203.78449999999998</v>
      </c>
      <c r="V81" s="59">
        <f>Servant!$V$22+($F81+($F81*0.5*($D81-1)))*(V$3-1)</f>
        <v>204.44200000000001</v>
      </c>
      <c r="W81" s="59">
        <f>Servant!$V$22+($F81+($F81*0.5*($D81-1)))*(W$3-1)</f>
        <v>205.09950000000001</v>
      </c>
      <c r="X81" s="59">
        <f>Servant!$V$22+($F81+($F81*0.5*($D81-1)))*(X$3-1)</f>
        <v>205.75700000000001</v>
      </c>
      <c r="Y81" s="59">
        <f>Servant!$V$22+($F81+($F81*0.5*($D81-1)))*(Y$3-1)</f>
        <v>206.4145</v>
      </c>
      <c r="Z81" s="59">
        <f>Servant!$V$22+($F81+($F81*0.5*($D81-1)))*(Z$3-1)</f>
        <v>207.072</v>
      </c>
      <c r="AA81" s="59">
        <f>Servant!$V$22+($F81+($F81*0.5*($D81-1)))*(AA$3-1)</f>
        <v>207.7295</v>
      </c>
      <c r="AB81" s="59">
        <f>Servant!$V$22+($F81+($F81*0.5*($D81-1)))*(AB$3-1)</f>
        <v>208.387</v>
      </c>
      <c r="AC81" s="59">
        <f>Servant!$V$22+($F81+($F81*0.5*($D81-1)))*(AC$3-1)</f>
        <v>209.0445</v>
      </c>
      <c r="AD81" s="59">
        <f>Servant!$V$22+($F81+($F81*0.5*($D81-1)))*(AD$3-1)</f>
        <v>209.702</v>
      </c>
      <c r="AE81" s="59">
        <f>Servant!$V$22+($F81+($F81*0.5*($D81-1)))*(AE$3-1)</f>
        <v>210.3595</v>
      </c>
      <c r="AF81" s="59">
        <f>Servant!$V$22+($F81+($F81*0.5*($D81-1)))*(AF$3-1)</f>
        <v>211.017</v>
      </c>
      <c r="AG81" s="59">
        <f>Servant!$V$22+($F81+($F81*0.5*($D81-1)))*(AG$3-1)</f>
        <v>211.67449999999999</v>
      </c>
      <c r="AH81" s="59">
        <f>Servant!$V$22+($F81+($F81*0.5*($D81-1)))*(AH$3-1)</f>
        <v>212.33199999999999</v>
      </c>
      <c r="AI81" s="59">
        <f>Servant!$V$22+($F81+($F81*0.5*($D81-1)))*(AI$3-1)</f>
        <v>212.98949999999999</v>
      </c>
      <c r="AJ81" s="59">
        <f>Servant!$V$22+($F81+($F81*0.5*($D81-1)))*(AJ$3-1)</f>
        <v>213.64699999999999</v>
      </c>
      <c r="AK81" s="59">
        <f>Servant!$V$22+($F81+($F81*0.5*($D81-1)))*(AK$3-1)</f>
        <v>214.30449999999999</v>
      </c>
    </row>
    <row r="82" spans="2:37" x14ac:dyDescent="0.3">
      <c r="B82" s="287"/>
      <c r="C82" s="292"/>
      <c r="D82" s="58">
        <v>5</v>
      </c>
      <c r="E82" s="58">
        <f>ServantLevelUPdStatus!$J$22+(ServantLevelUPdStatus!$J$22*0.5*($D82-1))</f>
        <v>0.78900000000000003</v>
      </c>
      <c r="F82" s="58">
        <f>F81</f>
        <v>0.26300000000000001</v>
      </c>
      <c r="H82" s="59">
        <f>Servant!$V$22+($F82+($F82*0.5*($D82-1)))*(H$3-1)</f>
        <v>195.23699999999999</v>
      </c>
      <c r="I82" s="59">
        <f>Servant!$V$22+($F82+($F82*0.5*($D82-1)))*(I$3-1)</f>
        <v>196.02599999999998</v>
      </c>
      <c r="J82" s="59">
        <f>Servant!$V$22+($F82+($F82*0.5*($D82-1)))*(J$3-1)</f>
        <v>196.815</v>
      </c>
      <c r="K82" s="59">
        <f>Servant!$V$22+($F82+($F82*0.5*($D82-1)))*(K$3-1)</f>
        <v>197.60399999999998</v>
      </c>
      <c r="L82" s="59">
        <f>Servant!$V$22+($F82+($F82*0.5*($D82-1)))*(L$3-1)</f>
        <v>198.393</v>
      </c>
      <c r="M82" s="59">
        <f>Servant!$V$22+($F82+($F82*0.5*($D82-1)))*(M$3-1)</f>
        <v>199.18199999999999</v>
      </c>
      <c r="N82" s="59">
        <f>Servant!$V$22+($F82+($F82*0.5*($D82-1)))*(N$3-1)</f>
        <v>199.971</v>
      </c>
      <c r="O82" s="59">
        <f>Servant!$V$22+($F82+($F82*0.5*($D82-1)))*(O$3-1)</f>
        <v>200.76</v>
      </c>
      <c r="P82" s="59">
        <f>Servant!$V$22+($F82+($F82*0.5*($D82-1)))*(P$3-1)</f>
        <v>201.54900000000001</v>
      </c>
      <c r="Q82" s="59">
        <f>Servant!$V$22+($F82+($F82*0.5*($D82-1)))*(Q$3-1)</f>
        <v>202.33799999999999</v>
      </c>
      <c r="R82" s="59">
        <f>Servant!$V$22+($F82+($F82*0.5*($D82-1)))*(R$3-1)</f>
        <v>203.12700000000001</v>
      </c>
      <c r="S82" s="59">
        <f>Servant!$V$22+($F82+($F82*0.5*($D82-1)))*(S$3-1)</f>
        <v>203.916</v>
      </c>
      <c r="T82" s="59">
        <f>Servant!$V$22+($F82+($F82*0.5*($D82-1)))*(T$3-1)</f>
        <v>204.70499999999998</v>
      </c>
      <c r="U82" s="59">
        <f>Servant!$V$22+($F82+($F82*0.5*($D82-1)))*(U$3-1)</f>
        <v>205.494</v>
      </c>
      <c r="V82" s="59">
        <f>Servant!$V$22+($F82+($F82*0.5*($D82-1)))*(V$3-1)</f>
        <v>206.28299999999999</v>
      </c>
      <c r="W82" s="59">
        <f>Servant!$V$22+($F82+($F82*0.5*($D82-1)))*(W$3-1)</f>
        <v>207.072</v>
      </c>
      <c r="X82" s="59">
        <f>Servant!$V$22+($F82+($F82*0.5*($D82-1)))*(X$3-1)</f>
        <v>207.86099999999999</v>
      </c>
      <c r="Y82" s="59">
        <f>Servant!$V$22+($F82+($F82*0.5*($D82-1)))*(Y$3-1)</f>
        <v>208.65</v>
      </c>
      <c r="Z82" s="59">
        <f>Servant!$V$22+($F82+($F82*0.5*($D82-1)))*(Z$3-1)</f>
        <v>209.43899999999999</v>
      </c>
      <c r="AA82" s="59">
        <f>Servant!$V$22+($F82+($F82*0.5*($D82-1)))*(AA$3-1)</f>
        <v>210.22800000000001</v>
      </c>
      <c r="AB82" s="59">
        <f>Servant!$V$22+($F82+($F82*0.5*($D82-1)))*(AB$3-1)</f>
        <v>211.017</v>
      </c>
      <c r="AC82" s="59">
        <f>Servant!$V$22+($F82+($F82*0.5*($D82-1)))*(AC$3-1)</f>
        <v>211.80599999999998</v>
      </c>
      <c r="AD82" s="59">
        <f>Servant!$V$22+($F82+($F82*0.5*($D82-1)))*(AD$3-1)</f>
        <v>212.595</v>
      </c>
      <c r="AE82" s="59">
        <f>Servant!$V$22+($F82+($F82*0.5*($D82-1)))*(AE$3-1)</f>
        <v>213.38399999999999</v>
      </c>
      <c r="AF82" s="59">
        <f>Servant!$V$22+($F82+($F82*0.5*($D82-1)))*(AF$3-1)</f>
        <v>214.173</v>
      </c>
      <c r="AG82" s="59">
        <f>Servant!$V$22+($F82+($F82*0.5*($D82-1)))*(AG$3-1)</f>
        <v>214.96199999999999</v>
      </c>
      <c r="AH82" s="59">
        <f>Servant!$V$22+($F82+($F82*0.5*($D82-1)))*(AH$3-1)</f>
        <v>215.751</v>
      </c>
      <c r="AI82" s="59">
        <f>Servant!$V$22+($F82+($F82*0.5*($D82-1)))*(AI$3-1)</f>
        <v>216.54</v>
      </c>
      <c r="AJ82" s="59">
        <f>Servant!$V$22+($F82+($F82*0.5*($D82-1)))*(AJ$3-1)</f>
        <v>217.32900000000001</v>
      </c>
      <c r="AK82" s="59">
        <f>Servant!$V$22+($F82+($F82*0.5*($D82-1)))*(AK$3-1)</f>
        <v>218.11799999999999</v>
      </c>
    </row>
    <row r="83" spans="2:37" x14ac:dyDescent="0.3">
      <c r="B83" s="287"/>
      <c r="C83" s="292"/>
      <c r="D83" s="58">
        <v>6</v>
      </c>
      <c r="E83" s="58">
        <f>ServantLevelUPdStatus!$J$22+(ServantLevelUPdStatus!$J$22*0.5*($D83-1))</f>
        <v>0.92049999999999998</v>
      </c>
      <c r="F83" s="58">
        <f>F82</f>
        <v>0.26300000000000001</v>
      </c>
      <c r="H83" s="59">
        <f>Servant!$V$22+($F83+($F83*0.5*($D83-1)))*(H$3-1)</f>
        <v>195.23699999999999</v>
      </c>
      <c r="I83" s="59">
        <f>Servant!$V$22+($F83+($F83*0.5*($D83-1)))*(I$3-1)</f>
        <v>196.1575</v>
      </c>
      <c r="J83" s="59">
        <f>Servant!$V$22+($F83+($F83*0.5*($D83-1)))*(J$3-1)</f>
        <v>197.078</v>
      </c>
      <c r="K83" s="59">
        <f>Servant!$V$22+($F83+($F83*0.5*($D83-1)))*(K$3-1)</f>
        <v>197.99850000000001</v>
      </c>
      <c r="L83" s="59">
        <f>Servant!$V$22+($F83+($F83*0.5*($D83-1)))*(L$3-1)</f>
        <v>198.91899999999998</v>
      </c>
      <c r="M83" s="59">
        <f>Servant!$V$22+($F83+($F83*0.5*($D83-1)))*(M$3-1)</f>
        <v>199.83949999999999</v>
      </c>
      <c r="N83" s="59">
        <f>Servant!$V$22+($F83+($F83*0.5*($D83-1)))*(N$3-1)</f>
        <v>200.76</v>
      </c>
      <c r="O83" s="59">
        <f>Servant!$V$22+($F83+($F83*0.5*($D83-1)))*(O$3-1)</f>
        <v>201.68049999999999</v>
      </c>
      <c r="P83" s="59">
        <f>Servant!$V$22+($F83+($F83*0.5*($D83-1)))*(P$3-1)</f>
        <v>202.601</v>
      </c>
      <c r="Q83" s="59">
        <f>Servant!$V$22+($F83+($F83*0.5*($D83-1)))*(Q$3-1)</f>
        <v>203.5215</v>
      </c>
      <c r="R83" s="59">
        <f>Servant!$V$22+($F83+($F83*0.5*($D83-1)))*(R$3-1)</f>
        <v>204.44200000000001</v>
      </c>
      <c r="S83" s="59">
        <f>Servant!$V$22+($F83+($F83*0.5*($D83-1)))*(S$3-1)</f>
        <v>205.36249999999998</v>
      </c>
      <c r="T83" s="59">
        <f>Servant!$V$22+($F83+($F83*0.5*($D83-1)))*(T$3-1)</f>
        <v>206.28299999999999</v>
      </c>
      <c r="U83" s="59">
        <f>Servant!$V$22+($F83+($F83*0.5*($D83-1)))*(U$3-1)</f>
        <v>207.20349999999999</v>
      </c>
      <c r="V83" s="59">
        <f>Servant!$V$22+($F83+($F83*0.5*($D83-1)))*(V$3-1)</f>
        <v>208.124</v>
      </c>
      <c r="W83" s="59">
        <f>Servant!$V$22+($F83+($F83*0.5*($D83-1)))*(W$3-1)</f>
        <v>209.0445</v>
      </c>
      <c r="X83" s="59">
        <f>Servant!$V$22+($F83+($F83*0.5*($D83-1)))*(X$3-1)</f>
        <v>209.965</v>
      </c>
      <c r="Y83" s="59">
        <f>Servant!$V$22+($F83+($F83*0.5*($D83-1)))*(Y$3-1)</f>
        <v>210.88550000000001</v>
      </c>
      <c r="Z83" s="59">
        <f>Servant!$V$22+($F83+($F83*0.5*($D83-1)))*(Z$3-1)</f>
        <v>211.80599999999998</v>
      </c>
      <c r="AA83" s="59">
        <f>Servant!$V$22+($F83+($F83*0.5*($D83-1)))*(AA$3-1)</f>
        <v>212.72649999999999</v>
      </c>
      <c r="AB83" s="59">
        <f>Servant!$V$22+($F83+($F83*0.5*($D83-1)))*(AB$3-1)</f>
        <v>213.64699999999999</v>
      </c>
      <c r="AC83" s="59">
        <f>Servant!$V$22+($F83+($F83*0.5*($D83-1)))*(AC$3-1)</f>
        <v>214.5675</v>
      </c>
      <c r="AD83" s="59">
        <f>Servant!$V$22+($F83+($F83*0.5*($D83-1)))*(AD$3-1)</f>
        <v>215.488</v>
      </c>
      <c r="AE83" s="59">
        <f>Servant!$V$22+($F83+($F83*0.5*($D83-1)))*(AE$3-1)</f>
        <v>216.4085</v>
      </c>
      <c r="AF83" s="59">
        <f>Servant!$V$22+($F83+($F83*0.5*($D83-1)))*(AF$3-1)</f>
        <v>217.32900000000001</v>
      </c>
      <c r="AG83" s="59">
        <f>Servant!$V$22+($F83+($F83*0.5*($D83-1)))*(AG$3-1)</f>
        <v>218.24949999999998</v>
      </c>
      <c r="AH83" s="59">
        <f>Servant!$V$22+($F83+($F83*0.5*($D83-1)))*(AH$3-1)</f>
        <v>219.17</v>
      </c>
      <c r="AI83" s="59">
        <f>Servant!$V$22+($F83+($F83*0.5*($D83-1)))*(AI$3-1)</f>
        <v>220.09049999999999</v>
      </c>
      <c r="AJ83" s="59">
        <f>Servant!$V$22+($F83+($F83*0.5*($D83-1)))*(AJ$3-1)</f>
        <v>221.011</v>
      </c>
      <c r="AK83" s="59">
        <f>Servant!$V$22+($F83+($F83*0.5*($D83-1)))*(AK$3-1)</f>
        <v>221.9315</v>
      </c>
    </row>
    <row r="85" spans="2:37" ht="16.5" customHeight="1" x14ac:dyDescent="0.3">
      <c r="B85" s="286" t="s">
        <v>271</v>
      </c>
      <c r="C85" s="289" t="s">
        <v>217</v>
      </c>
      <c r="D85" s="54">
        <v>1</v>
      </c>
      <c r="E85" s="54">
        <f>ServantLevelUPdStatus!$K$6+(ServantLevelUPdStatus!$K$6*0.5*($D85-1))</f>
        <v>3.5999999999999997E-2</v>
      </c>
      <c r="F85" s="54">
        <f>ServantLevelUPdStatus!K$6</f>
        <v>3.5999999999999997E-2</v>
      </c>
      <c r="H85" s="55">
        <f>Servant!$W$6+($F85+($F85*0.5*($D85-1)))*(H$3-1)</f>
        <v>3.9760000000000004</v>
      </c>
      <c r="I85" s="55">
        <f>Servant!$W$6+($F85+($F85*0.5*($D85-1)))*(I$3-1)</f>
        <v>4.0120000000000005</v>
      </c>
      <c r="J85" s="55">
        <f>Servant!$W$6+($F85+($F85*0.5*($D85-1)))*(J$3-1)</f>
        <v>4.048</v>
      </c>
      <c r="K85" s="55">
        <f>Servant!$W$6+($F85+($F85*0.5*($D85-1)))*(K$3-1)</f>
        <v>4.0840000000000005</v>
      </c>
      <c r="L85" s="55">
        <f>Servant!$W$6+($F85+($F85*0.5*($D85-1)))*(L$3-1)</f>
        <v>4.12</v>
      </c>
      <c r="M85" s="55">
        <f>Servant!$W$6+($F85+($F85*0.5*($D85-1)))*(M$3-1)</f>
        <v>4.1560000000000006</v>
      </c>
      <c r="N85" s="55">
        <f>Servant!$W$6+($F85+($F85*0.5*($D85-1)))*(N$3-1)</f>
        <v>4.1920000000000002</v>
      </c>
      <c r="O85" s="55">
        <f>Servant!$W$6+($F85+($F85*0.5*($D85-1)))*(O$3-1)</f>
        <v>4.2280000000000006</v>
      </c>
      <c r="P85" s="55">
        <f>Servant!$W$6+($F85+($F85*0.5*($D85-1)))*(P$3-1)</f>
        <v>4.2640000000000002</v>
      </c>
      <c r="Q85" s="55">
        <f>Servant!$W$6+($F85+($F85*0.5*($D85-1)))*(Q$3-1)</f>
        <v>4.3000000000000007</v>
      </c>
      <c r="R85" s="55">
        <f>Servant!$W$6+($F85+($F85*0.5*($D85-1)))*(R$3-1)</f>
        <v>4.3360000000000003</v>
      </c>
      <c r="S85" s="55">
        <f>Servant!$W$6+($F85+($F85*0.5*($D85-1)))*(S$3-1)</f>
        <v>4.3720000000000008</v>
      </c>
      <c r="T85" s="55">
        <f>Servant!$W$6+($F85+($F85*0.5*($D85-1)))*(T$3-1)</f>
        <v>4.4080000000000004</v>
      </c>
      <c r="U85" s="55">
        <f>Servant!$W$6+($F85+($F85*0.5*($D85-1)))*(U$3-1)</f>
        <v>4.4440000000000008</v>
      </c>
      <c r="V85" s="55">
        <f>Servant!$W$6+($F85+($F85*0.5*($D85-1)))*(V$3-1)</f>
        <v>4.4800000000000004</v>
      </c>
      <c r="W85" s="55">
        <f>Servant!$W$6+($F85+($F85*0.5*($D85-1)))*(W$3-1)</f>
        <v>4.516</v>
      </c>
      <c r="X85" s="55">
        <f>Servant!$W$6+($F85+($F85*0.5*($D85-1)))*(X$3-1)</f>
        <v>4.5520000000000005</v>
      </c>
      <c r="Y85" s="55">
        <f>Servant!$W$6+($F85+($F85*0.5*($D85-1)))*(Y$3-1)</f>
        <v>4.5880000000000001</v>
      </c>
      <c r="Z85" s="55">
        <f>Servant!$W$6+($F85+($F85*0.5*($D85-1)))*(Z$3-1)</f>
        <v>4.6240000000000006</v>
      </c>
      <c r="AA85" s="55">
        <f>Servant!$W$6+($F85+($F85*0.5*($D85-1)))*(AA$3-1)</f>
        <v>4.66</v>
      </c>
      <c r="AB85" s="55">
        <f>Servant!$W$6+($F85+($F85*0.5*($D85-1)))*(AB$3-1)</f>
        <v>4.6960000000000006</v>
      </c>
      <c r="AC85" s="55">
        <f>Servant!$W$6+($F85+($F85*0.5*($D85-1)))*(AC$3-1)</f>
        <v>4.7320000000000002</v>
      </c>
      <c r="AD85" s="55">
        <f>Servant!$W$6+($F85+($F85*0.5*($D85-1)))*(AD$3-1)</f>
        <v>4.7680000000000007</v>
      </c>
      <c r="AE85" s="55">
        <f>Servant!$W$6+($F85+($F85*0.5*($D85-1)))*(AE$3-1)</f>
        <v>4.8040000000000003</v>
      </c>
      <c r="AF85" s="55">
        <f>Servant!$W$6+($F85+($F85*0.5*($D85-1)))*(AF$3-1)</f>
        <v>4.84</v>
      </c>
      <c r="AG85" s="55">
        <f>Servant!$W$6+($F85+($F85*0.5*($D85-1)))*(AG$3-1)</f>
        <v>4.8760000000000003</v>
      </c>
      <c r="AH85" s="55">
        <f>Servant!$W$6+($F85+($F85*0.5*($D85-1)))*(AH$3-1)</f>
        <v>4.9120000000000008</v>
      </c>
      <c r="AI85" s="55">
        <f>Servant!$W$6+($F85+($F85*0.5*($D85-1)))*(AI$3-1)</f>
        <v>4.9480000000000004</v>
      </c>
      <c r="AJ85" s="55">
        <f>Servant!$W$6+($F85+($F85*0.5*($D85-1)))*(AJ$3-1)</f>
        <v>4.984</v>
      </c>
      <c r="AK85" s="55">
        <f>Servant!$W$6+($F85+($F85*0.5*($D85-1)))*(AK$3-1)</f>
        <v>5.0200000000000005</v>
      </c>
    </row>
    <row r="86" spans="2:37" x14ac:dyDescent="0.3">
      <c r="B86" s="287"/>
      <c r="C86" s="289"/>
      <c r="D86" s="54">
        <v>2</v>
      </c>
      <c r="E86" s="54">
        <f>ServantLevelUPdStatus!$K$6+(ServantLevelUPdStatus!$K$6*0.5*($D86-1))</f>
        <v>5.3999999999999992E-2</v>
      </c>
      <c r="F86" s="54">
        <f>F85</f>
        <v>3.5999999999999997E-2</v>
      </c>
      <c r="H86" s="55">
        <f>Servant!$W$6+($F86+($F86*0.5*($D86-1)))*(H$3-1)</f>
        <v>3.9760000000000004</v>
      </c>
      <c r="I86" s="55">
        <f>Servant!$W$6+($F86+($F86*0.5*($D86-1)))*(I$3-1)</f>
        <v>4.03</v>
      </c>
      <c r="J86" s="55">
        <f>Servant!$W$6+($F86+($F86*0.5*($D86-1)))*(J$3-1)</f>
        <v>4.0840000000000005</v>
      </c>
      <c r="K86" s="55">
        <f>Servant!$W$6+($F86+($F86*0.5*($D86-1)))*(K$3-1)</f>
        <v>4.1380000000000008</v>
      </c>
      <c r="L86" s="55">
        <f>Servant!$W$6+($F86+($F86*0.5*($D86-1)))*(L$3-1)</f>
        <v>4.1920000000000002</v>
      </c>
      <c r="M86" s="55">
        <f>Servant!$W$6+($F86+($F86*0.5*($D86-1)))*(M$3-1)</f>
        <v>4.2460000000000004</v>
      </c>
      <c r="N86" s="55">
        <f>Servant!$W$6+($F86+($F86*0.5*($D86-1)))*(N$3-1)</f>
        <v>4.3000000000000007</v>
      </c>
      <c r="O86" s="55">
        <f>Servant!$W$6+($F86+($F86*0.5*($D86-1)))*(O$3-1)</f>
        <v>4.3540000000000001</v>
      </c>
      <c r="P86" s="55">
        <f>Servant!$W$6+($F86+($F86*0.5*($D86-1)))*(P$3-1)</f>
        <v>4.4080000000000004</v>
      </c>
      <c r="Q86" s="55">
        <f>Servant!$W$6+($F86+($F86*0.5*($D86-1)))*(Q$3-1)</f>
        <v>4.4620000000000006</v>
      </c>
      <c r="R86" s="55">
        <f>Servant!$W$6+($F86+($F86*0.5*($D86-1)))*(R$3-1)</f>
        <v>4.516</v>
      </c>
      <c r="S86" s="55">
        <f>Servant!$W$6+($F86+($F86*0.5*($D86-1)))*(S$3-1)</f>
        <v>4.57</v>
      </c>
      <c r="T86" s="55">
        <f>Servant!$W$6+($F86+($F86*0.5*($D86-1)))*(T$3-1)</f>
        <v>4.6240000000000006</v>
      </c>
      <c r="U86" s="55">
        <f>Servant!$W$6+($F86+($F86*0.5*($D86-1)))*(U$3-1)</f>
        <v>4.6780000000000008</v>
      </c>
      <c r="V86" s="55">
        <f>Servant!$W$6+($F86+($F86*0.5*($D86-1)))*(V$3-1)</f>
        <v>4.7320000000000002</v>
      </c>
      <c r="W86" s="55">
        <f>Servant!$W$6+($F86+($F86*0.5*($D86-1)))*(W$3-1)</f>
        <v>4.7860000000000005</v>
      </c>
      <c r="X86" s="55">
        <f>Servant!$W$6+($F86+($F86*0.5*($D86-1)))*(X$3-1)</f>
        <v>4.84</v>
      </c>
      <c r="Y86" s="55">
        <f>Servant!$W$6+($F86+($F86*0.5*($D86-1)))*(Y$3-1)</f>
        <v>4.8940000000000001</v>
      </c>
      <c r="Z86" s="55">
        <f>Servant!$W$6+($F86+($F86*0.5*($D86-1)))*(Z$3-1)</f>
        <v>4.9480000000000004</v>
      </c>
      <c r="AA86" s="55">
        <f>Servant!$W$6+($F86+($F86*0.5*($D86-1)))*(AA$3-1)</f>
        <v>5.0020000000000007</v>
      </c>
      <c r="AB86" s="55">
        <f>Servant!$W$6+($F86+($F86*0.5*($D86-1)))*(AB$3-1)</f>
        <v>5.056</v>
      </c>
      <c r="AC86" s="55">
        <f>Servant!$W$6+($F86+($F86*0.5*($D86-1)))*(AC$3-1)</f>
        <v>5.1100000000000003</v>
      </c>
      <c r="AD86" s="55">
        <f>Servant!$W$6+($F86+($F86*0.5*($D86-1)))*(AD$3-1)</f>
        <v>5.1639999999999997</v>
      </c>
      <c r="AE86" s="55">
        <f>Servant!$W$6+($F86+($F86*0.5*($D86-1)))*(AE$3-1)</f>
        <v>5.218</v>
      </c>
      <c r="AF86" s="55">
        <f>Servant!$W$6+($F86+($F86*0.5*($D86-1)))*(AF$3-1)</f>
        <v>5.2720000000000002</v>
      </c>
      <c r="AG86" s="55">
        <f>Servant!$W$6+($F86+($F86*0.5*($D86-1)))*(AG$3-1)</f>
        <v>5.3260000000000005</v>
      </c>
      <c r="AH86" s="55">
        <f>Servant!$W$6+($F86+($F86*0.5*($D86-1)))*(AH$3-1)</f>
        <v>5.3800000000000008</v>
      </c>
      <c r="AI86" s="55">
        <f>Servant!$W$6+($F86+($F86*0.5*($D86-1)))*(AI$3-1)</f>
        <v>5.4340000000000002</v>
      </c>
      <c r="AJ86" s="55">
        <f>Servant!$W$6+($F86+($F86*0.5*($D86-1)))*(AJ$3-1)</f>
        <v>5.4880000000000004</v>
      </c>
      <c r="AK86" s="55">
        <f>Servant!$W$6+($F86+($F86*0.5*($D86-1)))*(AK$3-1)</f>
        <v>5.5419999999999998</v>
      </c>
    </row>
    <row r="87" spans="2:37" x14ac:dyDescent="0.3">
      <c r="B87" s="287"/>
      <c r="C87" s="289"/>
      <c r="D87" s="54">
        <v>3</v>
      </c>
      <c r="E87" s="54">
        <f>ServantLevelUPdStatus!$K$6+(ServantLevelUPdStatus!$K$6*0.5*($D87-1))</f>
        <v>7.1999999999999995E-2</v>
      </c>
      <c r="F87" s="54">
        <f>F86</f>
        <v>3.5999999999999997E-2</v>
      </c>
      <c r="H87" s="55">
        <f>Servant!$W$6+($F87+($F87*0.5*($D87-1)))*(H$3-1)</f>
        <v>3.9760000000000004</v>
      </c>
      <c r="I87" s="55">
        <f>Servant!$W$6+($F87+($F87*0.5*($D87-1)))*(I$3-1)</f>
        <v>4.048</v>
      </c>
      <c r="J87" s="55">
        <f>Servant!$W$6+($F87+($F87*0.5*($D87-1)))*(J$3-1)</f>
        <v>4.12</v>
      </c>
      <c r="K87" s="55">
        <f>Servant!$W$6+($F87+($F87*0.5*($D87-1)))*(K$3-1)</f>
        <v>4.1920000000000002</v>
      </c>
      <c r="L87" s="55">
        <f>Servant!$W$6+($F87+($F87*0.5*($D87-1)))*(L$3-1)</f>
        <v>4.2640000000000002</v>
      </c>
      <c r="M87" s="55">
        <f>Servant!$W$6+($F87+($F87*0.5*($D87-1)))*(M$3-1)</f>
        <v>4.3360000000000003</v>
      </c>
      <c r="N87" s="55">
        <f>Servant!$W$6+($F87+($F87*0.5*($D87-1)))*(N$3-1)</f>
        <v>4.4080000000000004</v>
      </c>
      <c r="O87" s="55">
        <f>Servant!$W$6+($F87+($F87*0.5*($D87-1)))*(O$3-1)</f>
        <v>4.4800000000000004</v>
      </c>
      <c r="P87" s="55">
        <f>Servant!$W$6+($F87+($F87*0.5*($D87-1)))*(P$3-1)</f>
        <v>4.5520000000000005</v>
      </c>
      <c r="Q87" s="55">
        <f>Servant!$W$6+($F87+($F87*0.5*($D87-1)))*(Q$3-1)</f>
        <v>4.6240000000000006</v>
      </c>
      <c r="R87" s="55">
        <f>Servant!$W$6+($F87+($F87*0.5*($D87-1)))*(R$3-1)</f>
        <v>4.6960000000000006</v>
      </c>
      <c r="S87" s="55">
        <f>Servant!$W$6+($F87+($F87*0.5*($D87-1)))*(S$3-1)</f>
        <v>4.7680000000000007</v>
      </c>
      <c r="T87" s="55">
        <f>Servant!$W$6+($F87+($F87*0.5*($D87-1)))*(T$3-1)</f>
        <v>4.84</v>
      </c>
      <c r="U87" s="55">
        <f>Servant!$W$6+($F87+($F87*0.5*($D87-1)))*(U$3-1)</f>
        <v>4.9120000000000008</v>
      </c>
      <c r="V87" s="55">
        <f>Servant!$W$6+($F87+($F87*0.5*($D87-1)))*(V$3-1)</f>
        <v>4.984</v>
      </c>
      <c r="W87" s="55">
        <f>Servant!$W$6+($F87+($F87*0.5*($D87-1)))*(W$3-1)</f>
        <v>5.056</v>
      </c>
      <c r="X87" s="55">
        <f>Servant!$W$6+($F87+($F87*0.5*($D87-1)))*(X$3-1)</f>
        <v>5.1280000000000001</v>
      </c>
      <c r="Y87" s="55">
        <f>Servant!$W$6+($F87+($F87*0.5*($D87-1)))*(Y$3-1)</f>
        <v>5.2</v>
      </c>
      <c r="Z87" s="55">
        <f>Servant!$W$6+($F87+($F87*0.5*($D87-1)))*(Z$3-1)</f>
        <v>5.2720000000000002</v>
      </c>
      <c r="AA87" s="55">
        <f>Servant!$W$6+($F87+($F87*0.5*($D87-1)))*(AA$3-1)</f>
        <v>5.3440000000000003</v>
      </c>
      <c r="AB87" s="55">
        <f>Servant!$W$6+($F87+($F87*0.5*($D87-1)))*(AB$3-1)</f>
        <v>5.4160000000000004</v>
      </c>
      <c r="AC87" s="55">
        <f>Servant!$W$6+($F87+($F87*0.5*($D87-1)))*(AC$3-1)</f>
        <v>5.4880000000000004</v>
      </c>
      <c r="AD87" s="55">
        <f>Servant!$W$6+($F87+($F87*0.5*($D87-1)))*(AD$3-1)</f>
        <v>5.5600000000000005</v>
      </c>
      <c r="AE87" s="55">
        <f>Servant!$W$6+($F87+($F87*0.5*($D87-1)))*(AE$3-1)</f>
        <v>5.6320000000000006</v>
      </c>
      <c r="AF87" s="55">
        <f>Servant!$W$6+($F87+($F87*0.5*($D87-1)))*(AF$3-1)</f>
        <v>5.7040000000000006</v>
      </c>
      <c r="AG87" s="55">
        <f>Servant!$W$6+($F87+($F87*0.5*($D87-1)))*(AG$3-1)</f>
        <v>5.7759999999999998</v>
      </c>
      <c r="AH87" s="55">
        <f>Servant!$W$6+($F87+($F87*0.5*($D87-1)))*(AH$3-1)</f>
        <v>5.8480000000000008</v>
      </c>
      <c r="AI87" s="55">
        <f>Servant!$W$6+($F87+($F87*0.5*($D87-1)))*(AI$3-1)</f>
        <v>5.92</v>
      </c>
      <c r="AJ87" s="55">
        <f>Servant!$W$6+($F87+($F87*0.5*($D87-1)))*(AJ$3-1)</f>
        <v>5.9920000000000009</v>
      </c>
      <c r="AK87" s="55">
        <f>Servant!$W$6+($F87+($F87*0.5*($D87-1)))*(AK$3-1)</f>
        <v>6.0640000000000001</v>
      </c>
    </row>
    <row r="88" spans="2:37" x14ac:dyDescent="0.3">
      <c r="B88" s="287"/>
      <c r="C88" s="290" t="s">
        <v>243</v>
      </c>
      <c r="D88" s="52">
        <v>2</v>
      </c>
      <c r="E88" s="52">
        <f>ServantLevelUPdStatus!$K$12+(ServantLevelUPdStatus!$K$12*0.5*($D88-1))</f>
        <v>7.5000000000000011E-2</v>
      </c>
      <c r="F88" s="52">
        <f>ServantLevelUPdStatus!K$12</f>
        <v>0.05</v>
      </c>
      <c r="H88" s="53">
        <f>Servant!$W$12+($F88+($F88*0.5*($D88-1)))*(H$3-1)</f>
        <v>6.6470000000000002</v>
      </c>
      <c r="I88" s="53">
        <f>Servant!$W$12+($F88+($F88*0.5*($D88-1)))*(I$3-1)</f>
        <v>6.7220000000000004</v>
      </c>
      <c r="J88" s="53">
        <f>Servant!$W$12+($F88+($F88*0.5*($D88-1)))*(J$3-1)</f>
        <v>6.7970000000000006</v>
      </c>
      <c r="K88" s="53">
        <f>Servant!$W$12+($F88+($F88*0.5*($D88-1)))*(K$3-1)</f>
        <v>6.8719999999999999</v>
      </c>
      <c r="L88" s="53">
        <f>Servant!$W$12+($F88+($F88*0.5*($D88-1)))*(L$3-1)</f>
        <v>6.9470000000000001</v>
      </c>
      <c r="M88" s="53">
        <f>Servant!$W$12+($F88+($F88*0.5*($D88-1)))*(M$3-1)</f>
        <v>7.0220000000000002</v>
      </c>
      <c r="N88" s="53">
        <f>Servant!$W$12+($F88+($F88*0.5*($D88-1)))*(N$3-1)</f>
        <v>7.0970000000000004</v>
      </c>
      <c r="O88" s="53">
        <f>Servant!$W$12+($F88+($F88*0.5*($D88-1)))*(O$3-1)</f>
        <v>7.1720000000000006</v>
      </c>
      <c r="P88" s="53">
        <f>Servant!$W$12+($F88+($F88*0.5*($D88-1)))*(P$3-1)</f>
        <v>7.2469999999999999</v>
      </c>
      <c r="Q88" s="53">
        <f>Servant!$W$12+($F88+($F88*0.5*($D88-1)))*(Q$3-1)</f>
        <v>7.3220000000000001</v>
      </c>
      <c r="R88" s="53">
        <f>Servant!$W$12+($F88+($F88*0.5*($D88-1)))*(R$3-1)</f>
        <v>7.3970000000000002</v>
      </c>
      <c r="S88" s="53">
        <f>Servant!$W$12+($F88+($F88*0.5*($D88-1)))*(S$3-1)</f>
        <v>7.4720000000000004</v>
      </c>
      <c r="T88" s="53">
        <f>Servant!$W$12+($F88+($F88*0.5*($D88-1)))*(T$3-1)</f>
        <v>7.5470000000000006</v>
      </c>
      <c r="U88" s="53">
        <f>Servant!$W$12+($F88+($F88*0.5*($D88-1)))*(U$3-1)</f>
        <v>7.6219999999999999</v>
      </c>
      <c r="V88" s="53">
        <f>Servant!$W$12+($F88+($F88*0.5*($D88-1)))*(V$3-1)</f>
        <v>7.697000000000001</v>
      </c>
      <c r="W88" s="53">
        <f>Servant!$W$12+($F88+($F88*0.5*($D88-1)))*(W$3-1)</f>
        <v>7.7720000000000002</v>
      </c>
      <c r="X88" s="53">
        <f>Servant!$W$12+($F88+($F88*0.5*($D88-1)))*(X$3-1)</f>
        <v>7.8470000000000004</v>
      </c>
      <c r="Y88" s="53">
        <f>Servant!$W$12+($F88+($F88*0.5*($D88-1)))*(Y$3-1)</f>
        <v>7.9220000000000006</v>
      </c>
      <c r="Z88" s="53">
        <f>Servant!$W$12+($F88+($F88*0.5*($D88-1)))*(Z$3-1)</f>
        <v>7.9969999999999999</v>
      </c>
      <c r="AA88" s="53">
        <f>Servant!$W$12+($F88+($F88*0.5*($D88-1)))*(AA$3-1)</f>
        <v>8.072000000000001</v>
      </c>
      <c r="AB88" s="53">
        <f>Servant!$W$12+($F88+($F88*0.5*($D88-1)))*(AB$3-1)</f>
        <v>8.1470000000000002</v>
      </c>
      <c r="AC88" s="53">
        <f>Servant!$W$12+($F88+($F88*0.5*($D88-1)))*(AC$3-1)</f>
        <v>8.2220000000000013</v>
      </c>
      <c r="AD88" s="53">
        <f>Servant!$W$12+($F88+($F88*0.5*($D88-1)))*(AD$3-1)</f>
        <v>8.2970000000000006</v>
      </c>
      <c r="AE88" s="53">
        <f>Servant!$W$12+($F88+($F88*0.5*($D88-1)))*(AE$3-1)</f>
        <v>8.3719999999999999</v>
      </c>
      <c r="AF88" s="53">
        <f>Servant!$W$12+($F88+($F88*0.5*($D88-1)))*(AF$3-1)</f>
        <v>8.447000000000001</v>
      </c>
      <c r="AG88" s="53">
        <f>Servant!$W$12+($F88+($F88*0.5*($D88-1)))*(AG$3-1)</f>
        <v>8.5220000000000002</v>
      </c>
      <c r="AH88" s="53">
        <f>Servant!$W$12+($F88+($F88*0.5*($D88-1)))*(AH$3-1)</f>
        <v>8.5970000000000013</v>
      </c>
      <c r="AI88" s="53">
        <f>Servant!$W$12+($F88+($F88*0.5*($D88-1)))*(AI$3-1)</f>
        <v>8.6720000000000006</v>
      </c>
      <c r="AJ88" s="53">
        <f>Servant!$W$12+($F88+($F88*0.5*($D88-1)))*(AJ$3-1)</f>
        <v>8.7469999999999999</v>
      </c>
      <c r="AK88" s="53">
        <f>Servant!$W$12+($F88+($F88*0.5*($D88-1)))*(AK$3-1)</f>
        <v>8.822000000000001</v>
      </c>
    </row>
    <row r="89" spans="2:37" x14ac:dyDescent="0.3">
      <c r="B89" s="287"/>
      <c r="C89" s="290"/>
      <c r="D89" s="52">
        <v>3</v>
      </c>
      <c r="E89" s="52">
        <f>ServantLevelUPdStatus!$K$12+(ServantLevelUPdStatus!$K$12*0.5*($D89-1))</f>
        <v>0.1</v>
      </c>
      <c r="F89" s="52">
        <f>F88</f>
        <v>0.05</v>
      </c>
      <c r="H89" s="53">
        <f>Servant!$W$12+($F89+($F89*0.5*($D89-1)))*(H$3-1)</f>
        <v>6.6470000000000002</v>
      </c>
      <c r="I89" s="53">
        <f>Servant!$W$12+($F89+($F89*0.5*($D89-1)))*(I$3-1)</f>
        <v>6.7469999999999999</v>
      </c>
      <c r="J89" s="53">
        <f>Servant!$W$12+($F89+($F89*0.5*($D89-1)))*(J$3-1)</f>
        <v>6.8470000000000004</v>
      </c>
      <c r="K89" s="53">
        <f>Servant!$W$12+($F89+($F89*0.5*($D89-1)))*(K$3-1)</f>
        <v>6.9470000000000001</v>
      </c>
      <c r="L89" s="53">
        <f>Servant!$W$12+($F89+($F89*0.5*($D89-1)))*(L$3-1)</f>
        <v>7.0470000000000006</v>
      </c>
      <c r="M89" s="53">
        <f>Servant!$W$12+($F89+($F89*0.5*($D89-1)))*(M$3-1)</f>
        <v>7.1470000000000002</v>
      </c>
      <c r="N89" s="53">
        <f>Servant!$W$12+($F89+($F89*0.5*($D89-1)))*(N$3-1)</f>
        <v>7.2469999999999999</v>
      </c>
      <c r="O89" s="53">
        <f>Servant!$W$12+($F89+($F89*0.5*($D89-1)))*(O$3-1)</f>
        <v>7.3470000000000004</v>
      </c>
      <c r="P89" s="53">
        <f>Servant!$W$12+($F89+($F89*0.5*($D89-1)))*(P$3-1)</f>
        <v>7.4470000000000001</v>
      </c>
      <c r="Q89" s="53">
        <f>Servant!$W$12+($F89+($F89*0.5*($D89-1)))*(Q$3-1)</f>
        <v>7.5470000000000006</v>
      </c>
      <c r="R89" s="53">
        <f>Servant!$W$12+($F89+($F89*0.5*($D89-1)))*(R$3-1)</f>
        <v>7.6470000000000002</v>
      </c>
      <c r="S89" s="53">
        <f>Servant!$W$12+($F89+($F89*0.5*($D89-1)))*(S$3-1)</f>
        <v>7.7469999999999999</v>
      </c>
      <c r="T89" s="53">
        <f>Servant!$W$12+($F89+($F89*0.5*($D89-1)))*(T$3-1)</f>
        <v>7.8470000000000004</v>
      </c>
      <c r="U89" s="53">
        <f>Servant!$W$12+($F89+($F89*0.5*($D89-1)))*(U$3-1)</f>
        <v>7.9470000000000001</v>
      </c>
      <c r="V89" s="53">
        <f>Servant!$W$12+($F89+($F89*0.5*($D89-1)))*(V$3-1)</f>
        <v>8.0470000000000006</v>
      </c>
      <c r="W89" s="53">
        <f>Servant!$W$12+($F89+($F89*0.5*($D89-1)))*(W$3-1)</f>
        <v>8.1470000000000002</v>
      </c>
      <c r="X89" s="53">
        <f>Servant!$W$12+($F89+($F89*0.5*($D89-1)))*(X$3-1)</f>
        <v>8.2469999999999999</v>
      </c>
      <c r="Y89" s="53">
        <f>Servant!$W$12+($F89+($F89*0.5*($D89-1)))*(Y$3-1)</f>
        <v>8.3470000000000013</v>
      </c>
      <c r="Z89" s="53">
        <f>Servant!$W$12+($F89+($F89*0.5*($D89-1)))*(Z$3-1)</f>
        <v>8.447000000000001</v>
      </c>
      <c r="AA89" s="53">
        <f>Servant!$W$12+($F89+($F89*0.5*($D89-1)))*(AA$3-1)</f>
        <v>8.5470000000000006</v>
      </c>
      <c r="AB89" s="53">
        <f>Servant!$W$12+($F89+($F89*0.5*($D89-1)))*(AB$3-1)</f>
        <v>8.6470000000000002</v>
      </c>
      <c r="AC89" s="53">
        <f>Servant!$W$12+($F89+($F89*0.5*($D89-1)))*(AC$3-1)</f>
        <v>8.7469999999999999</v>
      </c>
      <c r="AD89" s="53">
        <f>Servant!$W$12+($F89+($F89*0.5*($D89-1)))*(AD$3-1)</f>
        <v>8.8470000000000013</v>
      </c>
      <c r="AE89" s="53">
        <f>Servant!$W$12+($F89+($F89*0.5*($D89-1)))*(AE$3-1)</f>
        <v>8.947000000000001</v>
      </c>
      <c r="AF89" s="53">
        <f>Servant!$W$12+($F89+($F89*0.5*($D89-1)))*(AF$3-1)</f>
        <v>9.0470000000000006</v>
      </c>
      <c r="AG89" s="53">
        <f>Servant!$W$12+($F89+($F89*0.5*($D89-1)))*(AG$3-1)</f>
        <v>9.1470000000000002</v>
      </c>
      <c r="AH89" s="53">
        <f>Servant!$W$12+($F89+($F89*0.5*($D89-1)))*(AH$3-1)</f>
        <v>9.2469999999999999</v>
      </c>
      <c r="AI89" s="53">
        <f>Servant!$W$12+($F89+($F89*0.5*($D89-1)))*(AI$3-1)</f>
        <v>9.3470000000000013</v>
      </c>
      <c r="AJ89" s="53">
        <f>Servant!$W$12+($F89+($F89*0.5*($D89-1)))*(AJ$3-1)</f>
        <v>9.447000000000001</v>
      </c>
      <c r="AK89" s="53">
        <f>Servant!$W$12+($F89+($F89*0.5*($D89-1)))*(AK$3-1)</f>
        <v>9.5470000000000006</v>
      </c>
    </row>
    <row r="90" spans="2:37" x14ac:dyDescent="0.3">
      <c r="B90" s="287"/>
      <c r="C90" s="290"/>
      <c r="D90" s="52">
        <v>4</v>
      </c>
      <c r="E90" s="52">
        <f>ServantLevelUPdStatus!$K$12+(ServantLevelUPdStatus!$K$12*0.5*($D90-1))</f>
        <v>0.125</v>
      </c>
      <c r="F90" s="52">
        <f>F89</f>
        <v>0.05</v>
      </c>
      <c r="H90" s="53">
        <f>Servant!$W$12+($F90+($F90*0.5*($D90-1)))*(H$3-1)</f>
        <v>6.6470000000000002</v>
      </c>
      <c r="I90" s="53">
        <f>Servant!$W$12+($F90+($F90*0.5*($D90-1)))*(I$3-1)</f>
        <v>6.7720000000000002</v>
      </c>
      <c r="J90" s="53">
        <f>Servant!$W$12+($F90+($F90*0.5*($D90-1)))*(J$3-1)</f>
        <v>6.8970000000000002</v>
      </c>
      <c r="K90" s="53">
        <f>Servant!$W$12+($F90+($F90*0.5*($D90-1)))*(K$3-1)</f>
        <v>7.0220000000000002</v>
      </c>
      <c r="L90" s="53">
        <f>Servant!$W$12+($F90+($F90*0.5*($D90-1)))*(L$3-1)</f>
        <v>7.1470000000000002</v>
      </c>
      <c r="M90" s="53">
        <f>Servant!$W$12+($F90+($F90*0.5*($D90-1)))*(M$3-1)</f>
        <v>7.2720000000000002</v>
      </c>
      <c r="N90" s="53">
        <f>Servant!$W$12+($F90+($F90*0.5*($D90-1)))*(N$3-1)</f>
        <v>7.3970000000000002</v>
      </c>
      <c r="O90" s="53">
        <f>Servant!$W$12+($F90+($F90*0.5*($D90-1)))*(O$3-1)</f>
        <v>7.5220000000000002</v>
      </c>
      <c r="P90" s="53">
        <f>Servant!$W$12+($F90+($F90*0.5*($D90-1)))*(P$3-1)</f>
        <v>7.6470000000000002</v>
      </c>
      <c r="Q90" s="53">
        <f>Servant!$W$12+($F90+($F90*0.5*($D90-1)))*(Q$3-1)</f>
        <v>7.7720000000000002</v>
      </c>
      <c r="R90" s="53">
        <f>Servant!$W$12+($F90+($F90*0.5*($D90-1)))*(R$3-1)</f>
        <v>7.8970000000000002</v>
      </c>
      <c r="S90" s="53">
        <f>Servant!$W$12+($F90+($F90*0.5*($D90-1)))*(S$3-1)</f>
        <v>8.0220000000000002</v>
      </c>
      <c r="T90" s="53">
        <f>Servant!$W$12+($F90+($F90*0.5*($D90-1)))*(T$3-1)</f>
        <v>8.1470000000000002</v>
      </c>
      <c r="U90" s="53">
        <f>Servant!$W$12+($F90+($F90*0.5*($D90-1)))*(U$3-1)</f>
        <v>8.2720000000000002</v>
      </c>
      <c r="V90" s="53">
        <f>Servant!$W$12+($F90+($F90*0.5*($D90-1)))*(V$3-1)</f>
        <v>8.3970000000000002</v>
      </c>
      <c r="W90" s="53">
        <f>Servant!$W$12+($F90+($F90*0.5*($D90-1)))*(W$3-1)</f>
        <v>8.5220000000000002</v>
      </c>
      <c r="X90" s="53">
        <f>Servant!$W$12+($F90+($F90*0.5*($D90-1)))*(X$3-1)</f>
        <v>8.6470000000000002</v>
      </c>
      <c r="Y90" s="53">
        <f>Servant!$W$12+($F90+($F90*0.5*($D90-1)))*(Y$3-1)</f>
        <v>8.7720000000000002</v>
      </c>
      <c r="Z90" s="53">
        <f>Servant!$W$12+($F90+($F90*0.5*($D90-1)))*(Z$3-1)</f>
        <v>8.8970000000000002</v>
      </c>
      <c r="AA90" s="53">
        <f>Servant!$W$12+($F90+($F90*0.5*($D90-1)))*(AA$3-1)</f>
        <v>9.0220000000000002</v>
      </c>
      <c r="AB90" s="53">
        <f>Servant!$W$12+($F90+($F90*0.5*($D90-1)))*(AB$3-1)</f>
        <v>9.1470000000000002</v>
      </c>
      <c r="AC90" s="53">
        <f>Servant!$W$12+($F90+($F90*0.5*($D90-1)))*(AC$3-1)</f>
        <v>9.2720000000000002</v>
      </c>
      <c r="AD90" s="53">
        <f>Servant!$W$12+($F90+($F90*0.5*($D90-1)))*(AD$3-1)</f>
        <v>9.3970000000000002</v>
      </c>
      <c r="AE90" s="53">
        <f>Servant!$W$12+($F90+($F90*0.5*($D90-1)))*(AE$3-1)</f>
        <v>9.5220000000000002</v>
      </c>
      <c r="AF90" s="53">
        <f>Servant!$W$12+($F90+($F90*0.5*($D90-1)))*(AF$3-1)</f>
        <v>9.6470000000000002</v>
      </c>
      <c r="AG90" s="53">
        <f>Servant!$W$12+($F90+($F90*0.5*($D90-1)))*(AG$3-1)</f>
        <v>9.7720000000000002</v>
      </c>
      <c r="AH90" s="53">
        <f>Servant!$W$12+($F90+($F90*0.5*($D90-1)))*(AH$3-1)</f>
        <v>9.8970000000000002</v>
      </c>
      <c r="AI90" s="53">
        <f>Servant!$W$12+($F90+($F90*0.5*($D90-1)))*(AI$3-1)</f>
        <v>10.022</v>
      </c>
      <c r="AJ90" s="53">
        <f>Servant!$W$12+($F90+($F90*0.5*($D90-1)))*(AJ$3-1)</f>
        <v>10.147</v>
      </c>
      <c r="AK90" s="53">
        <f>Servant!$W$12+($F90+($F90*0.5*($D90-1)))*(AK$3-1)</f>
        <v>10.272</v>
      </c>
    </row>
    <row r="91" spans="2:37" x14ac:dyDescent="0.3">
      <c r="B91" s="287"/>
      <c r="C91" s="291" t="s">
        <v>244</v>
      </c>
      <c r="D91" s="56">
        <v>3</v>
      </c>
      <c r="E91" s="56">
        <f>ServantLevelUPdStatus!$K$18+(ServantLevelUPdStatus!$K$18*0.5*($D91-1))</f>
        <v>0.14000000000000001</v>
      </c>
      <c r="F91" s="56">
        <f>ServantLevelUPdStatus!K$18</f>
        <v>7.0000000000000007E-2</v>
      </c>
      <c r="H91" s="57">
        <f>Servant!$W$18+($F91+($F91*0.5*($D91-1)))*(H$3-1)</f>
        <v>9.3040000000000056</v>
      </c>
      <c r="I91" s="57">
        <f>Servant!$W$18+($F91+($F91*0.5*($D91-1)))*(I$3-1)</f>
        <v>9.4440000000000062</v>
      </c>
      <c r="J91" s="57">
        <f>Servant!$W$18+($F91+($F91*0.5*($D91-1)))*(J$3-1)</f>
        <v>9.584000000000005</v>
      </c>
      <c r="K91" s="57">
        <f>Servant!$W$18+($F91+($F91*0.5*($D91-1)))*(K$3-1)</f>
        <v>9.7240000000000055</v>
      </c>
      <c r="L91" s="57">
        <f>Servant!$W$18+($F91+($F91*0.5*($D91-1)))*(L$3-1)</f>
        <v>9.8640000000000061</v>
      </c>
      <c r="M91" s="57">
        <f>Servant!$W$18+($F91+($F91*0.5*($D91-1)))*(M$3-1)</f>
        <v>10.004000000000005</v>
      </c>
      <c r="N91" s="57">
        <f>Servant!$W$18+($F91+($F91*0.5*($D91-1)))*(N$3-1)</f>
        <v>10.144000000000005</v>
      </c>
      <c r="O91" s="57">
        <f>Servant!$W$18+($F91+($F91*0.5*($D91-1)))*(O$3-1)</f>
        <v>10.284000000000006</v>
      </c>
      <c r="P91" s="57">
        <f>Servant!$W$18+($F91+($F91*0.5*($D91-1)))*(P$3-1)</f>
        <v>10.424000000000007</v>
      </c>
      <c r="Q91" s="57">
        <f>Servant!$W$18+($F91+($F91*0.5*($D91-1)))*(Q$3-1)</f>
        <v>10.564000000000005</v>
      </c>
      <c r="R91" s="57">
        <f>Servant!$W$18+($F91+($F91*0.5*($D91-1)))*(R$3-1)</f>
        <v>10.704000000000006</v>
      </c>
      <c r="S91" s="57">
        <f>Servant!$W$18+($F91+($F91*0.5*($D91-1)))*(S$3-1)</f>
        <v>10.844000000000005</v>
      </c>
      <c r="T91" s="57">
        <f>Servant!$W$18+($F91+($F91*0.5*($D91-1)))*(T$3-1)</f>
        <v>10.984000000000005</v>
      </c>
      <c r="U91" s="57">
        <f>Servant!$W$18+($F91+($F91*0.5*($D91-1)))*(U$3-1)</f>
        <v>11.124000000000006</v>
      </c>
      <c r="V91" s="57">
        <f>Servant!$W$18+($F91+($F91*0.5*($D91-1)))*(V$3-1)</f>
        <v>11.264000000000006</v>
      </c>
      <c r="W91" s="57">
        <f>Servant!$W$18+($F91+($F91*0.5*($D91-1)))*(W$3-1)</f>
        <v>11.404000000000005</v>
      </c>
      <c r="X91" s="57">
        <f>Servant!$W$18+($F91+($F91*0.5*($D91-1)))*(X$3-1)</f>
        <v>11.544000000000006</v>
      </c>
      <c r="Y91" s="57">
        <f>Servant!$W$18+($F91+($F91*0.5*($D91-1)))*(Y$3-1)</f>
        <v>11.684000000000006</v>
      </c>
      <c r="Z91" s="57">
        <f>Servant!$W$18+($F91+($F91*0.5*($D91-1)))*(Z$3-1)</f>
        <v>11.824000000000005</v>
      </c>
      <c r="AA91" s="57">
        <f>Servant!$W$18+($F91+($F91*0.5*($D91-1)))*(AA$3-1)</f>
        <v>11.964000000000006</v>
      </c>
      <c r="AB91" s="57">
        <f>Servant!$W$18+($F91+($F91*0.5*($D91-1)))*(AB$3-1)</f>
        <v>12.104000000000006</v>
      </c>
      <c r="AC91" s="57">
        <f>Servant!$W$18+($F91+($F91*0.5*($D91-1)))*(AC$3-1)</f>
        <v>12.244000000000007</v>
      </c>
      <c r="AD91" s="57">
        <f>Servant!$W$18+($F91+($F91*0.5*($D91-1)))*(AD$3-1)</f>
        <v>12.384000000000006</v>
      </c>
      <c r="AE91" s="57">
        <f>Servant!$W$18+($F91+($F91*0.5*($D91-1)))*(AE$3-1)</f>
        <v>12.524000000000006</v>
      </c>
      <c r="AF91" s="57">
        <f>Servant!$W$18+($F91+($F91*0.5*($D91-1)))*(AF$3-1)</f>
        <v>12.664000000000005</v>
      </c>
      <c r="AG91" s="57">
        <f>Servant!$W$18+($F91+($F91*0.5*($D91-1)))*(AG$3-1)</f>
        <v>12.804000000000006</v>
      </c>
      <c r="AH91" s="57">
        <f>Servant!$W$18+($F91+($F91*0.5*($D91-1)))*(AH$3-1)</f>
        <v>12.944000000000006</v>
      </c>
      <c r="AI91" s="57">
        <f>Servant!$W$18+($F91+($F91*0.5*($D91-1)))*(AI$3-1)</f>
        <v>13.084000000000007</v>
      </c>
      <c r="AJ91" s="57">
        <f>Servant!$W$18+($F91+($F91*0.5*($D91-1)))*(AJ$3-1)</f>
        <v>13.224000000000006</v>
      </c>
      <c r="AK91" s="57">
        <f>Servant!$W$18+($F91+($F91*0.5*($D91-1)))*(AK$3-1)</f>
        <v>13.364000000000006</v>
      </c>
    </row>
    <row r="92" spans="2:37" x14ac:dyDescent="0.3">
      <c r="B92" s="287"/>
      <c r="C92" s="291"/>
      <c r="D92" s="56">
        <v>4</v>
      </c>
      <c r="E92" s="56">
        <f>ServantLevelUPdStatus!$K$18+(ServantLevelUPdStatus!$K$18*0.5*($D92-1))</f>
        <v>0.17500000000000002</v>
      </c>
      <c r="F92" s="56">
        <f>F91</f>
        <v>7.0000000000000007E-2</v>
      </c>
      <c r="H92" s="57">
        <f>Servant!$W$18+($F92+($F92*0.5*($D92-1)))*(H$3-1)</f>
        <v>9.3040000000000056</v>
      </c>
      <c r="I92" s="57">
        <f>Servant!$W$18+($F92+($F92*0.5*($D92-1)))*(I$3-1)</f>
        <v>9.4790000000000063</v>
      </c>
      <c r="J92" s="57">
        <f>Servant!$W$18+($F92+($F92*0.5*($D92-1)))*(J$3-1)</f>
        <v>9.6540000000000052</v>
      </c>
      <c r="K92" s="57">
        <f>Servant!$W$18+($F92+($F92*0.5*($D92-1)))*(K$3-1)</f>
        <v>9.829000000000006</v>
      </c>
      <c r="L92" s="57">
        <f>Servant!$W$18+($F92+($F92*0.5*($D92-1)))*(L$3-1)</f>
        <v>10.004000000000005</v>
      </c>
      <c r="M92" s="57">
        <f>Servant!$W$18+($F92+($F92*0.5*($D92-1)))*(M$3-1)</f>
        <v>10.179000000000006</v>
      </c>
      <c r="N92" s="57">
        <f>Servant!$W$18+($F92+($F92*0.5*($D92-1)))*(N$3-1)</f>
        <v>10.354000000000006</v>
      </c>
      <c r="O92" s="57">
        <f>Servant!$W$18+($F92+($F92*0.5*($D92-1)))*(O$3-1)</f>
        <v>10.529000000000005</v>
      </c>
      <c r="P92" s="57">
        <f>Servant!$W$18+($F92+($F92*0.5*($D92-1)))*(P$3-1)</f>
        <v>10.704000000000006</v>
      </c>
      <c r="Q92" s="57">
        <f>Servant!$W$18+($F92+($F92*0.5*($D92-1)))*(Q$3-1)</f>
        <v>10.879000000000005</v>
      </c>
      <c r="R92" s="57">
        <f>Servant!$W$18+($F92+($F92*0.5*($D92-1)))*(R$3-1)</f>
        <v>11.054000000000006</v>
      </c>
      <c r="S92" s="57">
        <f>Servant!$W$18+($F92+($F92*0.5*($D92-1)))*(S$3-1)</f>
        <v>11.229000000000006</v>
      </c>
      <c r="T92" s="57">
        <f>Servant!$W$18+($F92+($F92*0.5*($D92-1)))*(T$3-1)</f>
        <v>11.404000000000005</v>
      </c>
      <c r="U92" s="57">
        <f>Servant!$W$18+($F92+($F92*0.5*($D92-1)))*(U$3-1)</f>
        <v>11.579000000000006</v>
      </c>
      <c r="V92" s="57">
        <f>Servant!$W$18+($F92+($F92*0.5*($D92-1)))*(V$3-1)</f>
        <v>11.754000000000005</v>
      </c>
      <c r="W92" s="57">
        <f>Servant!$W$18+($F92+($F92*0.5*($D92-1)))*(W$3-1)</f>
        <v>11.929000000000006</v>
      </c>
      <c r="X92" s="57">
        <f>Servant!$W$18+($F92+($F92*0.5*($D92-1)))*(X$3-1)</f>
        <v>12.104000000000006</v>
      </c>
      <c r="Y92" s="57">
        <f>Servant!$W$18+($F92+($F92*0.5*($D92-1)))*(Y$3-1)</f>
        <v>12.279000000000005</v>
      </c>
      <c r="Z92" s="57">
        <f>Servant!$W$18+($F92+($F92*0.5*($D92-1)))*(Z$3-1)</f>
        <v>12.454000000000006</v>
      </c>
      <c r="AA92" s="57">
        <f>Servant!$W$18+($F92+($F92*0.5*($D92-1)))*(AA$3-1)</f>
        <v>12.629000000000005</v>
      </c>
      <c r="AB92" s="57">
        <f>Servant!$W$18+($F92+($F92*0.5*($D92-1)))*(AB$3-1)</f>
        <v>12.804000000000006</v>
      </c>
      <c r="AC92" s="57">
        <f>Servant!$W$18+($F92+($F92*0.5*($D92-1)))*(AC$3-1)</f>
        <v>12.979000000000006</v>
      </c>
      <c r="AD92" s="57">
        <f>Servant!$W$18+($F92+($F92*0.5*($D92-1)))*(AD$3-1)</f>
        <v>13.154000000000007</v>
      </c>
      <c r="AE92" s="57">
        <f>Servant!$W$18+($F92+($F92*0.5*($D92-1)))*(AE$3-1)</f>
        <v>13.329000000000006</v>
      </c>
      <c r="AF92" s="57">
        <f>Servant!$W$18+($F92+($F92*0.5*($D92-1)))*(AF$3-1)</f>
        <v>13.504000000000005</v>
      </c>
      <c r="AG92" s="57">
        <f>Servant!$W$18+($F92+($F92*0.5*($D92-1)))*(AG$3-1)</f>
        <v>13.679000000000006</v>
      </c>
      <c r="AH92" s="57">
        <f>Servant!$W$18+($F92+($F92*0.5*($D92-1)))*(AH$3-1)</f>
        <v>13.854000000000006</v>
      </c>
      <c r="AI92" s="57">
        <f>Servant!$W$18+($F92+($F92*0.5*($D92-1)))*(AI$3-1)</f>
        <v>14.029000000000007</v>
      </c>
      <c r="AJ92" s="57">
        <f>Servant!$W$18+($F92+($F92*0.5*($D92-1)))*(AJ$3-1)</f>
        <v>14.204000000000006</v>
      </c>
      <c r="AK92" s="57">
        <f>Servant!$W$18+($F92+($F92*0.5*($D92-1)))*(AK$3-1)</f>
        <v>14.379000000000005</v>
      </c>
    </row>
    <row r="93" spans="2:37" x14ac:dyDescent="0.3">
      <c r="B93" s="287"/>
      <c r="C93" s="291"/>
      <c r="D93" s="56">
        <v>5</v>
      </c>
      <c r="E93" s="56">
        <f>ServantLevelUPdStatus!$K$18+(ServantLevelUPdStatus!$K$18*0.5*($D93-1))</f>
        <v>0.21000000000000002</v>
      </c>
      <c r="F93" s="56">
        <f>F92</f>
        <v>7.0000000000000007E-2</v>
      </c>
      <c r="H93" s="57">
        <f>Servant!$W$18+($F93+($F93*0.5*($D93-1)))*(H$3-1)</f>
        <v>9.3040000000000056</v>
      </c>
      <c r="I93" s="57">
        <f>Servant!$W$18+($F93+($F93*0.5*($D93-1)))*(I$3-1)</f>
        <v>9.5140000000000065</v>
      </c>
      <c r="J93" s="57">
        <f>Servant!$W$18+($F93+($F93*0.5*($D93-1)))*(J$3-1)</f>
        <v>9.7240000000000055</v>
      </c>
      <c r="K93" s="57">
        <f>Servant!$W$18+($F93+($F93*0.5*($D93-1)))*(K$3-1)</f>
        <v>9.9340000000000064</v>
      </c>
      <c r="L93" s="57">
        <f>Servant!$W$18+($F93+($F93*0.5*($D93-1)))*(L$3-1)</f>
        <v>10.144000000000005</v>
      </c>
      <c r="M93" s="57">
        <f>Servant!$W$18+($F93+($F93*0.5*($D93-1)))*(M$3-1)</f>
        <v>10.354000000000006</v>
      </c>
      <c r="N93" s="57">
        <f>Servant!$W$18+($F93+($F93*0.5*($D93-1)))*(N$3-1)</f>
        <v>10.564000000000005</v>
      </c>
      <c r="O93" s="57">
        <f>Servant!$W$18+($F93+($F93*0.5*($D93-1)))*(O$3-1)</f>
        <v>10.774000000000006</v>
      </c>
      <c r="P93" s="57">
        <f>Servant!$W$18+($F93+($F93*0.5*($D93-1)))*(P$3-1)</f>
        <v>10.984000000000005</v>
      </c>
      <c r="Q93" s="57">
        <f>Servant!$W$18+($F93+($F93*0.5*($D93-1)))*(Q$3-1)</f>
        <v>11.194000000000006</v>
      </c>
      <c r="R93" s="57">
        <f>Servant!$W$18+($F93+($F93*0.5*($D93-1)))*(R$3-1)</f>
        <v>11.404000000000005</v>
      </c>
      <c r="S93" s="57">
        <f>Servant!$W$18+($F93+($F93*0.5*($D93-1)))*(S$3-1)</f>
        <v>11.614000000000006</v>
      </c>
      <c r="T93" s="57">
        <f>Servant!$W$18+($F93+($F93*0.5*($D93-1)))*(T$3-1)</f>
        <v>11.824000000000005</v>
      </c>
      <c r="U93" s="57">
        <f>Servant!$W$18+($F93+($F93*0.5*($D93-1)))*(U$3-1)</f>
        <v>12.034000000000006</v>
      </c>
      <c r="V93" s="57">
        <f>Servant!$W$18+($F93+($F93*0.5*($D93-1)))*(V$3-1)</f>
        <v>12.244000000000007</v>
      </c>
      <c r="W93" s="57">
        <f>Servant!$W$18+($F93+($F93*0.5*($D93-1)))*(W$3-1)</f>
        <v>12.454000000000006</v>
      </c>
      <c r="X93" s="57">
        <f>Servant!$W$18+($F93+($F93*0.5*($D93-1)))*(X$3-1)</f>
        <v>12.664000000000005</v>
      </c>
      <c r="Y93" s="57">
        <f>Servant!$W$18+($F93+($F93*0.5*($D93-1)))*(Y$3-1)</f>
        <v>12.874000000000006</v>
      </c>
      <c r="Z93" s="57">
        <f>Servant!$W$18+($F93+($F93*0.5*($D93-1)))*(Z$3-1)</f>
        <v>13.084000000000007</v>
      </c>
      <c r="AA93" s="57">
        <f>Servant!$W$18+($F93+($F93*0.5*($D93-1)))*(AA$3-1)</f>
        <v>13.294000000000006</v>
      </c>
      <c r="AB93" s="57">
        <f>Servant!$W$18+($F93+($F93*0.5*($D93-1)))*(AB$3-1)</f>
        <v>13.504000000000005</v>
      </c>
      <c r="AC93" s="57">
        <f>Servant!$W$18+($F93+($F93*0.5*($D93-1)))*(AC$3-1)</f>
        <v>13.714000000000006</v>
      </c>
      <c r="AD93" s="57">
        <f>Servant!$W$18+($F93+($F93*0.5*($D93-1)))*(AD$3-1)</f>
        <v>13.924000000000007</v>
      </c>
      <c r="AE93" s="57">
        <f>Servant!$W$18+($F93+($F93*0.5*($D93-1)))*(AE$3-1)</f>
        <v>14.134000000000006</v>
      </c>
      <c r="AF93" s="57">
        <f>Servant!$W$18+($F93+($F93*0.5*($D93-1)))*(AF$3-1)</f>
        <v>14.344000000000007</v>
      </c>
      <c r="AG93" s="57">
        <f>Servant!$W$18+($F93+($F93*0.5*($D93-1)))*(AG$3-1)</f>
        <v>14.554000000000006</v>
      </c>
      <c r="AH93" s="57">
        <f>Servant!$W$18+($F93+($F93*0.5*($D93-1)))*(AH$3-1)</f>
        <v>14.764000000000006</v>
      </c>
      <c r="AI93" s="57">
        <f>Servant!$W$18+($F93+($F93*0.5*($D93-1)))*(AI$3-1)</f>
        <v>14.974000000000007</v>
      </c>
      <c r="AJ93" s="57">
        <f>Servant!$W$18+($F93+($F93*0.5*($D93-1)))*(AJ$3-1)</f>
        <v>15.184000000000006</v>
      </c>
      <c r="AK93" s="57">
        <f>Servant!$W$18+($F93+($F93*0.5*($D93-1)))*(AK$3-1)</f>
        <v>15.394000000000005</v>
      </c>
    </row>
    <row r="94" spans="2:37" x14ac:dyDescent="0.3">
      <c r="B94" s="287"/>
      <c r="C94" s="292" t="s">
        <v>245</v>
      </c>
      <c r="D94" s="58">
        <v>4</v>
      </c>
      <c r="E94" s="58">
        <f>ServantLevelUPdStatus!$K$22+(ServantLevelUPdStatus!$K$22*0.5*($D94-1))</f>
        <v>0.22500000000000001</v>
      </c>
      <c r="F94" s="58">
        <f>ServantLevelUPdStatus!K$22</f>
        <v>0.09</v>
      </c>
      <c r="H94" s="59">
        <f>Servant!$W$22+($F94+($F94*0.5*($D94-1)))*(H$3-1)</f>
        <v>14.568</v>
      </c>
      <c r="I94" s="59">
        <f>Servant!$W$22+($F94+($F94*0.5*($D94-1)))*(I$3-1)</f>
        <v>14.792999999999999</v>
      </c>
      <c r="J94" s="59">
        <f>Servant!$W$22+($F94+($F94*0.5*($D94-1)))*(J$3-1)</f>
        <v>15.017999999999999</v>
      </c>
      <c r="K94" s="59">
        <f>Servant!$W$22+($F94+($F94*0.5*($D94-1)))*(K$3-1)</f>
        <v>15.243</v>
      </c>
      <c r="L94" s="59">
        <f>Servant!$W$22+($F94+($F94*0.5*($D94-1)))*(L$3-1)</f>
        <v>15.468</v>
      </c>
      <c r="M94" s="59">
        <f>Servant!$W$22+($F94+($F94*0.5*($D94-1)))*(M$3-1)</f>
        <v>15.693</v>
      </c>
      <c r="N94" s="59">
        <f>Servant!$W$22+($F94+($F94*0.5*($D94-1)))*(N$3-1)</f>
        <v>15.917999999999999</v>
      </c>
      <c r="O94" s="59">
        <f>Servant!$W$22+($F94+($F94*0.5*($D94-1)))*(O$3-1)</f>
        <v>16.143000000000001</v>
      </c>
      <c r="P94" s="59">
        <f>Servant!$W$22+($F94+($F94*0.5*($D94-1)))*(P$3-1)</f>
        <v>16.367999999999999</v>
      </c>
      <c r="Q94" s="59">
        <f>Servant!$W$22+($F94+($F94*0.5*($D94-1)))*(Q$3-1)</f>
        <v>16.593</v>
      </c>
      <c r="R94" s="59">
        <f>Servant!$W$22+($F94+($F94*0.5*($D94-1)))*(R$3-1)</f>
        <v>16.817999999999998</v>
      </c>
      <c r="S94" s="59">
        <f>Servant!$W$22+($F94+($F94*0.5*($D94-1)))*(S$3-1)</f>
        <v>17.042999999999999</v>
      </c>
      <c r="T94" s="59">
        <f>Servant!$W$22+($F94+($F94*0.5*($D94-1)))*(T$3-1)</f>
        <v>17.268000000000001</v>
      </c>
      <c r="U94" s="59">
        <f>Servant!$W$22+($F94+($F94*0.5*($D94-1)))*(U$3-1)</f>
        <v>17.492999999999999</v>
      </c>
      <c r="V94" s="59">
        <f>Servant!$W$22+($F94+($F94*0.5*($D94-1)))*(V$3-1)</f>
        <v>17.718</v>
      </c>
      <c r="W94" s="59">
        <f>Servant!$W$22+($F94+($F94*0.5*($D94-1)))*(W$3-1)</f>
        <v>17.942999999999998</v>
      </c>
      <c r="X94" s="59">
        <f>Servant!$W$22+($F94+($F94*0.5*($D94-1)))*(X$3-1)</f>
        <v>18.167999999999999</v>
      </c>
      <c r="Y94" s="59">
        <f>Servant!$W$22+($F94+($F94*0.5*($D94-1)))*(Y$3-1)</f>
        <v>18.393000000000001</v>
      </c>
      <c r="Z94" s="59">
        <f>Servant!$W$22+($F94+($F94*0.5*($D94-1)))*(Z$3-1)</f>
        <v>18.617999999999999</v>
      </c>
      <c r="AA94" s="59">
        <f>Servant!$W$22+($F94+($F94*0.5*($D94-1)))*(AA$3-1)</f>
        <v>18.843</v>
      </c>
      <c r="AB94" s="59">
        <f>Servant!$W$22+($F94+($F94*0.5*($D94-1)))*(AB$3-1)</f>
        <v>19.067999999999998</v>
      </c>
      <c r="AC94" s="59">
        <f>Servant!$W$22+($F94+($F94*0.5*($D94-1)))*(AC$3-1)</f>
        <v>19.292999999999999</v>
      </c>
      <c r="AD94" s="59">
        <f>Servant!$W$22+($F94+($F94*0.5*($D94-1)))*(AD$3-1)</f>
        <v>19.518000000000001</v>
      </c>
      <c r="AE94" s="59">
        <f>Servant!$W$22+($F94+($F94*0.5*($D94-1)))*(AE$3-1)</f>
        <v>19.742999999999999</v>
      </c>
      <c r="AF94" s="59">
        <f>Servant!$W$22+($F94+($F94*0.5*($D94-1)))*(AF$3-1)</f>
        <v>19.968</v>
      </c>
      <c r="AG94" s="59">
        <f>Servant!$W$22+($F94+($F94*0.5*($D94-1)))*(AG$3-1)</f>
        <v>20.192999999999998</v>
      </c>
      <c r="AH94" s="59">
        <f>Servant!$W$22+($F94+($F94*0.5*($D94-1)))*(AH$3-1)</f>
        <v>20.417999999999999</v>
      </c>
      <c r="AI94" s="59">
        <f>Servant!$W$22+($F94+($F94*0.5*($D94-1)))*(AI$3-1)</f>
        <v>20.643000000000001</v>
      </c>
      <c r="AJ94" s="59">
        <f>Servant!$W$22+($F94+($F94*0.5*($D94-1)))*(AJ$3-1)</f>
        <v>20.867999999999999</v>
      </c>
      <c r="AK94" s="59">
        <f>Servant!$W$22+($F94+($F94*0.5*($D94-1)))*(AK$3-1)</f>
        <v>21.093</v>
      </c>
    </row>
    <row r="95" spans="2:37" x14ac:dyDescent="0.3">
      <c r="B95" s="287"/>
      <c r="C95" s="292"/>
      <c r="D95" s="58">
        <v>5</v>
      </c>
      <c r="E95" s="58">
        <f>ServantLevelUPdStatus!$K$22+(ServantLevelUPdStatus!$K$22*0.5*($D95-1))</f>
        <v>0.27</v>
      </c>
      <c r="F95" s="58">
        <f>F94</f>
        <v>0.09</v>
      </c>
      <c r="H95" s="59">
        <f>Servant!$W$22+($F95+($F95*0.5*($D95-1)))*(H$3-1)</f>
        <v>14.568</v>
      </c>
      <c r="I95" s="59">
        <f>Servant!$W$22+($F95+($F95*0.5*($D95-1)))*(I$3-1)</f>
        <v>14.837999999999999</v>
      </c>
      <c r="J95" s="59">
        <f>Servant!$W$22+($F95+($F95*0.5*($D95-1)))*(J$3-1)</f>
        <v>15.108000000000001</v>
      </c>
      <c r="K95" s="59">
        <f>Servant!$W$22+($F95+($F95*0.5*($D95-1)))*(K$3-1)</f>
        <v>15.378</v>
      </c>
      <c r="L95" s="59">
        <f>Servant!$W$22+($F95+($F95*0.5*($D95-1)))*(L$3-1)</f>
        <v>15.648</v>
      </c>
      <c r="M95" s="59">
        <f>Servant!$W$22+($F95+($F95*0.5*($D95-1)))*(M$3-1)</f>
        <v>15.917999999999999</v>
      </c>
      <c r="N95" s="59">
        <f>Servant!$W$22+($F95+($F95*0.5*($D95-1)))*(N$3-1)</f>
        <v>16.187999999999999</v>
      </c>
      <c r="O95" s="59">
        <f>Servant!$W$22+($F95+($F95*0.5*($D95-1)))*(O$3-1)</f>
        <v>16.457999999999998</v>
      </c>
      <c r="P95" s="59">
        <f>Servant!$W$22+($F95+($F95*0.5*($D95-1)))*(P$3-1)</f>
        <v>16.728000000000002</v>
      </c>
      <c r="Q95" s="59">
        <f>Servant!$W$22+($F95+($F95*0.5*($D95-1)))*(Q$3-1)</f>
        <v>16.998000000000001</v>
      </c>
      <c r="R95" s="59">
        <f>Servant!$W$22+($F95+($F95*0.5*($D95-1)))*(R$3-1)</f>
        <v>17.268000000000001</v>
      </c>
      <c r="S95" s="59">
        <f>Servant!$W$22+($F95+($F95*0.5*($D95-1)))*(S$3-1)</f>
        <v>17.538</v>
      </c>
      <c r="T95" s="59">
        <f>Servant!$W$22+($F95+($F95*0.5*($D95-1)))*(T$3-1)</f>
        <v>17.808</v>
      </c>
      <c r="U95" s="59">
        <f>Servant!$W$22+($F95+($F95*0.5*($D95-1)))*(U$3-1)</f>
        <v>18.077999999999999</v>
      </c>
      <c r="V95" s="59">
        <f>Servant!$W$22+($F95+($F95*0.5*($D95-1)))*(V$3-1)</f>
        <v>18.347999999999999</v>
      </c>
      <c r="W95" s="59">
        <f>Servant!$W$22+($F95+($F95*0.5*($D95-1)))*(W$3-1)</f>
        <v>18.618000000000002</v>
      </c>
      <c r="X95" s="59">
        <f>Servant!$W$22+($F95+($F95*0.5*($D95-1)))*(X$3-1)</f>
        <v>18.887999999999998</v>
      </c>
      <c r="Y95" s="59">
        <f>Servant!$W$22+($F95+($F95*0.5*($D95-1)))*(Y$3-1)</f>
        <v>19.158000000000001</v>
      </c>
      <c r="Z95" s="59">
        <f>Servant!$W$22+($F95+($F95*0.5*($D95-1)))*(Z$3-1)</f>
        <v>19.428000000000001</v>
      </c>
      <c r="AA95" s="59">
        <f>Servant!$W$22+($F95+($F95*0.5*($D95-1)))*(AA$3-1)</f>
        <v>19.698</v>
      </c>
      <c r="AB95" s="59">
        <f>Servant!$W$22+($F95+($F95*0.5*($D95-1)))*(AB$3-1)</f>
        <v>19.968</v>
      </c>
      <c r="AC95" s="59">
        <f>Servant!$W$22+($F95+($F95*0.5*($D95-1)))*(AC$3-1)</f>
        <v>20.238</v>
      </c>
      <c r="AD95" s="59">
        <f>Servant!$W$22+($F95+($F95*0.5*($D95-1)))*(AD$3-1)</f>
        <v>20.507999999999999</v>
      </c>
      <c r="AE95" s="59">
        <f>Servant!$W$22+($F95+($F95*0.5*($D95-1)))*(AE$3-1)</f>
        <v>20.777999999999999</v>
      </c>
      <c r="AF95" s="59">
        <f>Servant!$W$22+($F95+($F95*0.5*($D95-1)))*(AF$3-1)</f>
        <v>21.048000000000002</v>
      </c>
      <c r="AG95" s="59">
        <f>Servant!$W$22+($F95+($F95*0.5*($D95-1)))*(AG$3-1)</f>
        <v>21.317999999999998</v>
      </c>
      <c r="AH95" s="59">
        <f>Servant!$W$22+($F95+($F95*0.5*($D95-1)))*(AH$3-1)</f>
        <v>21.588000000000001</v>
      </c>
      <c r="AI95" s="59">
        <f>Servant!$W$22+($F95+($F95*0.5*($D95-1)))*(AI$3-1)</f>
        <v>21.858000000000001</v>
      </c>
      <c r="AJ95" s="59">
        <f>Servant!$W$22+($F95+($F95*0.5*($D95-1)))*(AJ$3-1)</f>
        <v>22.128</v>
      </c>
      <c r="AK95" s="59">
        <f>Servant!$W$22+($F95+($F95*0.5*($D95-1)))*(AK$3-1)</f>
        <v>22.398</v>
      </c>
    </row>
    <row r="96" spans="2:37" x14ac:dyDescent="0.3">
      <c r="B96" s="287"/>
      <c r="C96" s="292"/>
      <c r="D96" s="58">
        <v>6</v>
      </c>
      <c r="E96" s="58">
        <f>ServantLevelUPdStatus!$K$22+(ServantLevelUPdStatus!$K$22*0.5*($D96-1))</f>
        <v>0.31499999999999995</v>
      </c>
      <c r="F96" s="58">
        <f>F95</f>
        <v>0.09</v>
      </c>
      <c r="H96" s="59">
        <f>Servant!$W$22+($F96+($F96*0.5*($D96-1)))*(H$3-1)</f>
        <v>14.568</v>
      </c>
      <c r="I96" s="59">
        <f>Servant!$W$22+($F96+($F96*0.5*($D96-1)))*(I$3-1)</f>
        <v>14.882999999999999</v>
      </c>
      <c r="J96" s="59">
        <f>Servant!$W$22+($F96+($F96*0.5*($D96-1)))*(J$3-1)</f>
        <v>15.198</v>
      </c>
      <c r="K96" s="59">
        <f>Servant!$W$22+($F96+($F96*0.5*($D96-1)))*(K$3-1)</f>
        <v>15.513</v>
      </c>
      <c r="L96" s="59">
        <f>Servant!$W$22+($F96+($F96*0.5*($D96-1)))*(L$3-1)</f>
        <v>15.827999999999999</v>
      </c>
      <c r="M96" s="59">
        <f>Servant!$W$22+($F96+($F96*0.5*($D96-1)))*(M$3-1)</f>
        <v>16.143000000000001</v>
      </c>
      <c r="N96" s="59">
        <f>Servant!$W$22+($F96+($F96*0.5*($D96-1)))*(N$3-1)</f>
        <v>16.457999999999998</v>
      </c>
      <c r="O96" s="59">
        <f>Servant!$W$22+($F96+($F96*0.5*($D96-1)))*(O$3-1)</f>
        <v>16.773</v>
      </c>
      <c r="P96" s="59">
        <f>Servant!$W$22+($F96+($F96*0.5*($D96-1)))*(P$3-1)</f>
        <v>17.088000000000001</v>
      </c>
      <c r="Q96" s="59">
        <f>Servant!$W$22+($F96+($F96*0.5*($D96-1)))*(Q$3-1)</f>
        <v>17.402999999999999</v>
      </c>
      <c r="R96" s="59">
        <f>Servant!$W$22+($F96+($F96*0.5*($D96-1)))*(R$3-1)</f>
        <v>17.718</v>
      </c>
      <c r="S96" s="59">
        <f>Servant!$W$22+($F96+($F96*0.5*($D96-1)))*(S$3-1)</f>
        <v>18.032999999999998</v>
      </c>
      <c r="T96" s="59">
        <f>Servant!$W$22+($F96+($F96*0.5*($D96-1)))*(T$3-1)</f>
        <v>18.347999999999999</v>
      </c>
      <c r="U96" s="59">
        <f>Servant!$W$22+($F96+($F96*0.5*($D96-1)))*(U$3-1)</f>
        <v>18.662999999999997</v>
      </c>
      <c r="V96" s="59">
        <f>Servant!$W$22+($F96+($F96*0.5*($D96-1)))*(V$3-1)</f>
        <v>18.977999999999998</v>
      </c>
      <c r="W96" s="59">
        <f>Servant!$W$22+($F96+($F96*0.5*($D96-1)))*(W$3-1)</f>
        <v>19.292999999999999</v>
      </c>
      <c r="X96" s="59">
        <f>Servant!$W$22+($F96+($F96*0.5*($D96-1)))*(X$3-1)</f>
        <v>19.607999999999997</v>
      </c>
      <c r="Y96" s="59">
        <f>Servant!$W$22+($F96+($F96*0.5*($D96-1)))*(Y$3-1)</f>
        <v>19.922999999999998</v>
      </c>
      <c r="Z96" s="59">
        <f>Servant!$W$22+($F96+($F96*0.5*($D96-1)))*(Z$3-1)</f>
        <v>20.238</v>
      </c>
      <c r="AA96" s="59">
        <f>Servant!$W$22+($F96+($F96*0.5*($D96-1)))*(AA$3-1)</f>
        <v>20.552999999999997</v>
      </c>
      <c r="AB96" s="59">
        <f>Servant!$W$22+($F96+($F96*0.5*($D96-1)))*(AB$3-1)</f>
        <v>20.867999999999999</v>
      </c>
      <c r="AC96" s="59">
        <f>Servant!$W$22+($F96+($F96*0.5*($D96-1)))*(AC$3-1)</f>
        <v>21.183</v>
      </c>
      <c r="AD96" s="59">
        <f>Servant!$W$22+($F96+($F96*0.5*($D96-1)))*(AD$3-1)</f>
        <v>21.497999999999998</v>
      </c>
      <c r="AE96" s="59">
        <f>Servant!$W$22+($F96+($F96*0.5*($D96-1)))*(AE$3-1)</f>
        <v>21.812999999999999</v>
      </c>
      <c r="AF96" s="59">
        <f>Servant!$W$22+($F96+($F96*0.5*($D96-1)))*(AF$3-1)</f>
        <v>22.128</v>
      </c>
      <c r="AG96" s="59">
        <f>Servant!$W$22+($F96+($F96*0.5*($D96-1)))*(AG$3-1)</f>
        <v>22.442999999999998</v>
      </c>
      <c r="AH96" s="59">
        <f>Servant!$W$22+($F96+($F96*0.5*($D96-1)))*(AH$3-1)</f>
        <v>22.757999999999996</v>
      </c>
      <c r="AI96" s="59">
        <f>Servant!$W$22+($F96+($F96*0.5*($D96-1)))*(AI$3-1)</f>
        <v>23.073</v>
      </c>
      <c r="AJ96" s="59">
        <f>Servant!$W$22+($F96+($F96*0.5*($D96-1)))*(AJ$3-1)</f>
        <v>23.387999999999998</v>
      </c>
      <c r="AK96" s="59">
        <f>Servant!$W$22+($F96+($F96*0.5*($D96-1)))*(AK$3-1)</f>
        <v>23.702999999999996</v>
      </c>
    </row>
    <row r="98" spans="2:37" x14ac:dyDescent="0.3">
      <c r="B98" s="286" t="s">
        <v>251</v>
      </c>
      <c r="C98" s="289" t="s">
        <v>217</v>
      </c>
      <c r="D98" s="54">
        <v>1</v>
      </c>
      <c r="E98" s="54">
        <f>ServantLevelUPdStatus!$L$6+(ServantLevelUPdStatus!$L$6*0.5*($D98-1))</f>
        <v>0.13</v>
      </c>
      <c r="F98" s="54">
        <f>ServantLevelUPdStatus!L$6</f>
        <v>0.13</v>
      </c>
      <c r="H98" s="55">
        <f>Servant!$X$6+($F98+($F98*0.5*($D98-1)))*(H$3-1)</f>
        <v>1.0129999999999999</v>
      </c>
      <c r="I98" s="55">
        <f>Servant!$X$6+($F98+($F98*0.5*($D98-1)))*(I$3-1)</f>
        <v>1.1429999999999998</v>
      </c>
      <c r="J98" s="55">
        <f>Servant!$X$6+($F98+($F98*0.5*($D98-1)))*(J$3-1)</f>
        <v>1.2729999999999999</v>
      </c>
      <c r="K98" s="55">
        <f>Servant!$X$6+($F98+($F98*0.5*($D98-1)))*(K$3-1)</f>
        <v>1.403</v>
      </c>
      <c r="L98" s="55">
        <f>Servant!$X$6+($F98+($F98*0.5*($D98-1)))*(L$3-1)</f>
        <v>1.5329999999999999</v>
      </c>
      <c r="M98" s="55">
        <f>Servant!$X$6+($F98+($F98*0.5*($D98-1)))*(M$3-1)</f>
        <v>1.6629999999999998</v>
      </c>
      <c r="N98" s="55">
        <f>Servant!$X$6+($F98+($F98*0.5*($D98-1)))*(N$3-1)</f>
        <v>1.7929999999999999</v>
      </c>
      <c r="O98" s="55">
        <f>Servant!$X$6+($F98+($F98*0.5*($D98-1)))*(O$3-1)</f>
        <v>1.923</v>
      </c>
      <c r="P98" s="55">
        <f>Servant!$X$6+($F98+($F98*0.5*($D98-1)))*(P$3-1)</f>
        <v>2.0529999999999999</v>
      </c>
      <c r="Q98" s="55">
        <f>Servant!$X$6+($F98+($F98*0.5*($D98-1)))*(Q$3-1)</f>
        <v>2.1829999999999998</v>
      </c>
      <c r="R98" s="55">
        <f>Servant!$X$6+($F98+($F98*0.5*($D98-1)))*(R$3-1)</f>
        <v>2.3129999999999997</v>
      </c>
      <c r="S98" s="55">
        <f>Servant!$X$6+($F98+($F98*0.5*($D98-1)))*(S$3-1)</f>
        <v>2.4430000000000001</v>
      </c>
      <c r="T98" s="55">
        <f>Servant!$X$6+($F98+($F98*0.5*($D98-1)))*(T$3-1)</f>
        <v>2.573</v>
      </c>
      <c r="U98" s="55">
        <f>Servant!$X$6+($F98+($F98*0.5*($D98-1)))*(U$3-1)</f>
        <v>2.7029999999999998</v>
      </c>
      <c r="V98" s="55">
        <f>Servant!$X$6+($F98+($F98*0.5*($D98-1)))*(V$3-1)</f>
        <v>2.8330000000000002</v>
      </c>
      <c r="W98" s="55">
        <f>Servant!$X$6+($F98+($F98*0.5*($D98-1)))*(W$3-1)</f>
        <v>2.9630000000000001</v>
      </c>
      <c r="X98" s="55">
        <f>Servant!$X$6+($F98+($F98*0.5*($D98-1)))*(X$3-1)</f>
        <v>3.093</v>
      </c>
      <c r="Y98" s="55">
        <f>Servant!$X$6+($F98+($F98*0.5*($D98-1)))*(Y$3-1)</f>
        <v>3.2229999999999999</v>
      </c>
      <c r="Z98" s="55">
        <f>Servant!$X$6+($F98+($F98*0.5*($D98-1)))*(Z$3-1)</f>
        <v>3.3529999999999998</v>
      </c>
      <c r="AA98" s="55">
        <f>Servant!$X$6+($F98+($F98*0.5*($D98-1)))*(AA$3-1)</f>
        <v>3.4830000000000001</v>
      </c>
      <c r="AB98" s="55">
        <f>Servant!$X$6+($F98+($F98*0.5*($D98-1)))*(AB$3-1)</f>
        <v>3.613</v>
      </c>
      <c r="AC98" s="55">
        <f>Servant!$X$6+($F98+($F98*0.5*($D98-1)))*(AC$3-1)</f>
        <v>3.7429999999999999</v>
      </c>
      <c r="AD98" s="55">
        <f>Servant!$X$6+($F98+($F98*0.5*($D98-1)))*(AD$3-1)</f>
        <v>3.8730000000000002</v>
      </c>
      <c r="AE98" s="55">
        <f>Servant!$X$6+($F98+($F98*0.5*($D98-1)))*(AE$3-1)</f>
        <v>4.0030000000000001</v>
      </c>
      <c r="AF98" s="55">
        <f>Servant!$X$6+($F98+($F98*0.5*($D98-1)))*(AF$3-1)</f>
        <v>4.133</v>
      </c>
      <c r="AG98" s="55">
        <f>Servant!$X$6+($F98+($F98*0.5*($D98-1)))*(AG$3-1)</f>
        <v>4.2629999999999999</v>
      </c>
      <c r="AH98" s="55">
        <f>Servant!$X$6+($F98+($F98*0.5*($D98-1)))*(AH$3-1)</f>
        <v>4.3929999999999998</v>
      </c>
      <c r="AI98" s="55">
        <f>Servant!$X$6+($F98+($F98*0.5*($D98-1)))*(AI$3-1)</f>
        <v>4.5229999999999997</v>
      </c>
      <c r="AJ98" s="55">
        <f>Servant!$X$6+($F98+($F98*0.5*($D98-1)))*(AJ$3-1)</f>
        <v>4.6530000000000005</v>
      </c>
      <c r="AK98" s="55">
        <f>Servant!$X$6+($F98+($F98*0.5*($D98-1)))*(AK$3-1)</f>
        <v>4.7829999999999995</v>
      </c>
    </row>
    <row r="99" spans="2:37" x14ac:dyDescent="0.3">
      <c r="B99" s="287"/>
      <c r="C99" s="289"/>
      <c r="D99" s="54">
        <v>2</v>
      </c>
      <c r="E99" s="54">
        <f>ServantLevelUPdStatus!$L$6+(ServantLevelUPdStatus!$L$6*0.5*($D99-1))</f>
        <v>0.19500000000000001</v>
      </c>
      <c r="F99" s="54">
        <f>F98</f>
        <v>0.13</v>
      </c>
      <c r="H99" s="55">
        <f>Servant!$X$6+($F99+($F99*0.5*($D99-1)))*(H$3-1)</f>
        <v>1.0129999999999999</v>
      </c>
      <c r="I99" s="55">
        <f>Servant!$X$6+($F99+($F99*0.5*($D99-1)))*(I$3-1)</f>
        <v>1.208</v>
      </c>
      <c r="J99" s="55">
        <f>Servant!$X$6+($F99+($F99*0.5*($D99-1)))*(J$3-1)</f>
        <v>1.403</v>
      </c>
      <c r="K99" s="55">
        <f>Servant!$X$6+($F99+($F99*0.5*($D99-1)))*(K$3-1)</f>
        <v>1.5979999999999999</v>
      </c>
      <c r="L99" s="55">
        <f>Servant!$X$6+($F99+($F99*0.5*($D99-1)))*(L$3-1)</f>
        <v>1.7929999999999999</v>
      </c>
      <c r="M99" s="55">
        <f>Servant!$X$6+($F99+($F99*0.5*($D99-1)))*(M$3-1)</f>
        <v>1.988</v>
      </c>
      <c r="N99" s="55">
        <f>Servant!$X$6+($F99+($F99*0.5*($D99-1)))*(N$3-1)</f>
        <v>2.1829999999999998</v>
      </c>
      <c r="O99" s="55">
        <f>Servant!$X$6+($F99+($F99*0.5*($D99-1)))*(O$3-1)</f>
        <v>2.3780000000000001</v>
      </c>
      <c r="P99" s="55">
        <f>Servant!$X$6+($F99+($F99*0.5*($D99-1)))*(P$3-1)</f>
        <v>2.573</v>
      </c>
      <c r="Q99" s="55">
        <f>Servant!$X$6+($F99+($F99*0.5*($D99-1)))*(Q$3-1)</f>
        <v>2.7679999999999998</v>
      </c>
      <c r="R99" s="55">
        <f>Servant!$X$6+($F99+($F99*0.5*($D99-1)))*(R$3-1)</f>
        <v>2.9630000000000001</v>
      </c>
      <c r="S99" s="55">
        <f>Servant!$X$6+($F99+($F99*0.5*($D99-1)))*(S$3-1)</f>
        <v>3.1579999999999999</v>
      </c>
      <c r="T99" s="55">
        <f>Servant!$X$6+($F99+($F99*0.5*($D99-1)))*(T$3-1)</f>
        <v>3.3529999999999998</v>
      </c>
      <c r="U99" s="55">
        <f>Servant!$X$6+($F99+($F99*0.5*($D99-1)))*(U$3-1)</f>
        <v>3.548</v>
      </c>
      <c r="V99" s="55">
        <f>Servant!$X$6+($F99+($F99*0.5*($D99-1)))*(V$3-1)</f>
        <v>3.7429999999999999</v>
      </c>
      <c r="W99" s="55">
        <f>Servant!$X$6+($F99+($F99*0.5*($D99-1)))*(W$3-1)</f>
        <v>3.9380000000000002</v>
      </c>
      <c r="X99" s="55">
        <f>Servant!$X$6+($F99+($F99*0.5*($D99-1)))*(X$3-1)</f>
        <v>4.133</v>
      </c>
      <c r="Y99" s="55">
        <f>Servant!$X$6+($F99+($F99*0.5*($D99-1)))*(Y$3-1)</f>
        <v>4.3279999999999994</v>
      </c>
      <c r="Z99" s="55">
        <f>Servant!$X$6+($F99+($F99*0.5*($D99-1)))*(Z$3-1)</f>
        <v>4.5229999999999997</v>
      </c>
      <c r="AA99" s="55">
        <f>Servant!$X$6+($F99+($F99*0.5*($D99-1)))*(AA$3-1)</f>
        <v>4.718</v>
      </c>
      <c r="AB99" s="55">
        <f>Servant!$X$6+($F99+($F99*0.5*($D99-1)))*(AB$3-1)</f>
        <v>4.9130000000000003</v>
      </c>
      <c r="AC99" s="55">
        <f>Servant!$X$6+($F99+($F99*0.5*($D99-1)))*(AC$3-1)</f>
        <v>5.1079999999999997</v>
      </c>
      <c r="AD99" s="55">
        <f>Servant!$X$6+($F99+($F99*0.5*($D99-1)))*(AD$3-1)</f>
        <v>5.3029999999999999</v>
      </c>
      <c r="AE99" s="55">
        <f>Servant!$X$6+($F99+($F99*0.5*($D99-1)))*(AE$3-1)</f>
        <v>5.4980000000000002</v>
      </c>
      <c r="AF99" s="55">
        <f>Servant!$X$6+($F99+($F99*0.5*($D99-1)))*(AF$3-1)</f>
        <v>5.6929999999999996</v>
      </c>
      <c r="AG99" s="55">
        <f>Servant!$X$6+($F99+($F99*0.5*($D99-1)))*(AG$3-1)</f>
        <v>5.8879999999999999</v>
      </c>
      <c r="AH99" s="55">
        <f>Servant!$X$6+($F99+($F99*0.5*($D99-1)))*(AH$3-1)</f>
        <v>6.0830000000000002</v>
      </c>
      <c r="AI99" s="55">
        <f>Servant!$X$6+($F99+($F99*0.5*($D99-1)))*(AI$3-1)</f>
        <v>6.2780000000000005</v>
      </c>
      <c r="AJ99" s="55">
        <f>Servant!$X$6+($F99+($F99*0.5*($D99-1)))*(AJ$3-1)</f>
        <v>6.4729999999999999</v>
      </c>
      <c r="AK99" s="55">
        <f>Servant!$X$6+($F99+($F99*0.5*($D99-1)))*(AK$3-1)</f>
        <v>6.6680000000000001</v>
      </c>
    </row>
    <row r="100" spans="2:37" x14ac:dyDescent="0.3">
      <c r="B100" s="287"/>
      <c r="C100" s="289"/>
      <c r="D100" s="54">
        <v>3</v>
      </c>
      <c r="E100" s="54">
        <f>ServantLevelUPdStatus!$L$6+(ServantLevelUPdStatus!$L$6*0.5*($D100-1))</f>
        <v>0.26</v>
      </c>
      <c r="F100" s="54">
        <f>F99</f>
        <v>0.13</v>
      </c>
      <c r="H100" s="55">
        <f>Servant!$X$6+($F100+($F100*0.5*($D100-1)))*(H$3-1)</f>
        <v>1.0129999999999999</v>
      </c>
      <c r="I100" s="55">
        <f>Servant!$X$6+($F100+($F100*0.5*($D100-1)))*(I$3-1)</f>
        <v>1.2729999999999999</v>
      </c>
      <c r="J100" s="55">
        <f>Servant!$X$6+($F100+($F100*0.5*($D100-1)))*(J$3-1)</f>
        <v>1.5329999999999999</v>
      </c>
      <c r="K100" s="55">
        <f>Servant!$X$6+($F100+($F100*0.5*($D100-1)))*(K$3-1)</f>
        <v>1.7929999999999999</v>
      </c>
      <c r="L100" s="55">
        <f>Servant!$X$6+($F100+($F100*0.5*($D100-1)))*(L$3-1)</f>
        <v>2.0529999999999999</v>
      </c>
      <c r="M100" s="55">
        <f>Servant!$X$6+($F100+($F100*0.5*($D100-1)))*(M$3-1)</f>
        <v>2.3129999999999997</v>
      </c>
      <c r="N100" s="55">
        <f>Servant!$X$6+($F100+($F100*0.5*($D100-1)))*(N$3-1)</f>
        <v>2.573</v>
      </c>
      <c r="O100" s="55">
        <f>Servant!$X$6+($F100+($F100*0.5*($D100-1)))*(O$3-1)</f>
        <v>2.8330000000000002</v>
      </c>
      <c r="P100" s="55">
        <f>Servant!$X$6+($F100+($F100*0.5*($D100-1)))*(P$3-1)</f>
        <v>3.093</v>
      </c>
      <c r="Q100" s="55">
        <f>Servant!$X$6+($F100+($F100*0.5*($D100-1)))*(Q$3-1)</f>
        <v>3.3529999999999998</v>
      </c>
      <c r="R100" s="55">
        <f>Servant!$X$6+($F100+($F100*0.5*($D100-1)))*(R$3-1)</f>
        <v>3.613</v>
      </c>
      <c r="S100" s="55">
        <f>Servant!$X$6+($F100+($F100*0.5*($D100-1)))*(S$3-1)</f>
        <v>3.8730000000000002</v>
      </c>
      <c r="T100" s="55">
        <f>Servant!$X$6+($F100+($F100*0.5*($D100-1)))*(T$3-1)</f>
        <v>4.133</v>
      </c>
      <c r="U100" s="55">
        <f>Servant!$X$6+($F100+($F100*0.5*($D100-1)))*(U$3-1)</f>
        <v>4.3929999999999998</v>
      </c>
      <c r="V100" s="55">
        <f>Servant!$X$6+($F100+($F100*0.5*($D100-1)))*(V$3-1)</f>
        <v>4.6530000000000005</v>
      </c>
      <c r="W100" s="55">
        <f>Servant!$X$6+($F100+($F100*0.5*($D100-1)))*(W$3-1)</f>
        <v>4.9130000000000003</v>
      </c>
      <c r="X100" s="55">
        <f>Servant!$X$6+($F100+($F100*0.5*($D100-1)))*(X$3-1)</f>
        <v>5.173</v>
      </c>
      <c r="Y100" s="55">
        <f>Servant!$X$6+($F100+($F100*0.5*($D100-1)))*(Y$3-1)</f>
        <v>5.4329999999999998</v>
      </c>
      <c r="Z100" s="55">
        <f>Servant!$X$6+($F100+($F100*0.5*($D100-1)))*(Z$3-1)</f>
        <v>5.6929999999999996</v>
      </c>
      <c r="AA100" s="55">
        <f>Servant!$X$6+($F100+($F100*0.5*($D100-1)))*(AA$3-1)</f>
        <v>5.9530000000000003</v>
      </c>
      <c r="AB100" s="55">
        <f>Servant!$X$6+($F100+($F100*0.5*($D100-1)))*(AB$3-1)</f>
        <v>6.2130000000000001</v>
      </c>
      <c r="AC100" s="55">
        <f>Servant!$X$6+($F100+($F100*0.5*($D100-1)))*(AC$3-1)</f>
        <v>6.4729999999999999</v>
      </c>
      <c r="AD100" s="55">
        <f>Servant!$X$6+($F100+($F100*0.5*($D100-1)))*(AD$3-1)</f>
        <v>6.7330000000000005</v>
      </c>
      <c r="AE100" s="55">
        <f>Servant!$X$6+($F100+($F100*0.5*($D100-1)))*(AE$3-1)</f>
        <v>6.9930000000000003</v>
      </c>
      <c r="AF100" s="55">
        <f>Servant!$X$6+($F100+($F100*0.5*($D100-1)))*(AF$3-1)</f>
        <v>7.2530000000000001</v>
      </c>
      <c r="AG100" s="55">
        <f>Servant!$X$6+($F100+($F100*0.5*($D100-1)))*(AG$3-1)</f>
        <v>7.5129999999999999</v>
      </c>
      <c r="AH100" s="55">
        <f>Servant!$X$6+($F100+($F100*0.5*($D100-1)))*(AH$3-1)</f>
        <v>7.7729999999999997</v>
      </c>
      <c r="AI100" s="55">
        <f>Servant!$X$6+($F100+($F100*0.5*($D100-1)))*(AI$3-1)</f>
        <v>8.0330000000000013</v>
      </c>
      <c r="AJ100" s="55">
        <f>Servant!$X$6+($F100+($F100*0.5*($D100-1)))*(AJ$3-1)</f>
        <v>8.2929999999999993</v>
      </c>
      <c r="AK100" s="55">
        <f>Servant!$X$6+($F100+($F100*0.5*($D100-1)))*(AK$3-1)</f>
        <v>8.5530000000000008</v>
      </c>
    </row>
    <row r="101" spans="2:37" x14ac:dyDescent="0.3">
      <c r="B101" s="287"/>
      <c r="C101" s="290" t="s">
        <v>243</v>
      </c>
      <c r="D101" s="52">
        <v>2</v>
      </c>
      <c r="E101" s="52">
        <f>ServantLevelUPdStatus!$L$12+(ServantLevelUPdStatus!$L$12*0.5*($D101-1))</f>
        <v>0.22499999999999998</v>
      </c>
      <c r="F101" s="52">
        <f>ServantLevelUPdStatus!L$12</f>
        <v>0.15</v>
      </c>
      <c r="H101" s="53">
        <f>Servant!$X$12+($F101+($F101*0.5*($D101-1)))*(H$3-1)</f>
        <v>2.0790000000000002</v>
      </c>
      <c r="I101" s="53">
        <f>Servant!$X$12+($F101+($F101*0.5*($D101-1)))*(I$3-1)</f>
        <v>2.3040000000000003</v>
      </c>
      <c r="J101" s="53">
        <f>Servant!$X$12+($F101+($F101*0.5*($D101-1)))*(J$3-1)</f>
        <v>2.5289999999999999</v>
      </c>
      <c r="K101" s="53">
        <f>Servant!$X$12+($F101+($F101*0.5*($D101-1)))*(K$3-1)</f>
        <v>2.754</v>
      </c>
      <c r="L101" s="53">
        <f>Servant!$X$12+($F101+($F101*0.5*($D101-1)))*(L$3-1)</f>
        <v>2.9790000000000001</v>
      </c>
      <c r="M101" s="53">
        <f>Servant!$X$12+($F101+($F101*0.5*($D101-1)))*(M$3-1)</f>
        <v>3.2040000000000002</v>
      </c>
      <c r="N101" s="53">
        <f>Servant!$X$12+($F101+($F101*0.5*($D101-1)))*(N$3-1)</f>
        <v>3.4290000000000003</v>
      </c>
      <c r="O101" s="53">
        <f>Servant!$X$12+($F101+($F101*0.5*($D101-1)))*(O$3-1)</f>
        <v>3.6539999999999999</v>
      </c>
      <c r="P101" s="53">
        <f>Servant!$X$12+($F101+($F101*0.5*($D101-1)))*(P$3-1)</f>
        <v>3.879</v>
      </c>
      <c r="Q101" s="53">
        <f>Servant!$X$12+($F101+($F101*0.5*($D101-1)))*(Q$3-1)</f>
        <v>4.1040000000000001</v>
      </c>
      <c r="R101" s="53">
        <f>Servant!$X$12+($F101+($F101*0.5*($D101-1)))*(R$3-1)</f>
        <v>4.3290000000000006</v>
      </c>
      <c r="S101" s="53">
        <f>Servant!$X$12+($F101+($F101*0.5*($D101-1)))*(S$3-1)</f>
        <v>4.5540000000000003</v>
      </c>
      <c r="T101" s="53">
        <f>Servant!$X$12+($F101+($F101*0.5*($D101-1)))*(T$3-1)</f>
        <v>4.7789999999999999</v>
      </c>
      <c r="U101" s="53">
        <f>Servant!$X$12+($F101+($F101*0.5*($D101-1)))*(U$3-1)</f>
        <v>5.0039999999999996</v>
      </c>
      <c r="V101" s="53">
        <f>Servant!$X$12+($F101+($F101*0.5*($D101-1)))*(V$3-1)</f>
        <v>5.2289999999999992</v>
      </c>
      <c r="W101" s="53">
        <f>Servant!$X$12+($F101+($F101*0.5*($D101-1)))*(W$3-1)</f>
        <v>5.4539999999999997</v>
      </c>
      <c r="X101" s="53">
        <f>Servant!$X$12+($F101+($F101*0.5*($D101-1)))*(X$3-1)</f>
        <v>5.6790000000000003</v>
      </c>
      <c r="Y101" s="53">
        <f>Servant!$X$12+($F101+($F101*0.5*($D101-1)))*(Y$3-1)</f>
        <v>5.9039999999999999</v>
      </c>
      <c r="Z101" s="53">
        <f>Servant!$X$12+($F101+($F101*0.5*($D101-1)))*(Z$3-1)</f>
        <v>6.1289999999999996</v>
      </c>
      <c r="AA101" s="53">
        <f>Servant!$X$12+($F101+($F101*0.5*($D101-1)))*(AA$3-1)</f>
        <v>6.3539999999999992</v>
      </c>
      <c r="AB101" s="53">
        <f>Servant!$X$12+($F101+($F101*0.5*($D101-1)))*(AB$3-1)</f>
        <v>6.5790000000000006</v>
      </c>
      <c r="AC101" s="53">
        <f>Servant!$X$12+($F101+($F101*0.5*($D101-1)))*(AC$3-1)</f>
        <v>6.8040000000000003</v>
      </c>
      <c r="AD101" s="53">
        <f>Servant!$X$12+($F101+($F101*0.5*($D101-1)))*(AD$3-1)</f>
        <v>7.0289999999999999</v>
      </c>
      <c r="AE101" s="53">
        <f>Servant!$X$12+($F101+($F101*0.5*($D101-1)))*(AE$3-1)</f>
        <v>7.2539999999999996</v>
      </c>
      <c r="AF101" s="53">
        <f>Servant!$X$12+($F101+($F101*0.5*($D101-1)))*(AF$3-1)</f>
        <v>7.4789999999999992</v>
      </c>
      <c r="AG101" s="53">
        <f>Servant!$X$12+($F101+($F101*0.5*($D101-1)))*(AG$3-1)</f>
        <v>7.7039999999999988</v>
      </c>
      <c r="AH101" s="53">
        <f>Servant!$X$12+($F101+($F101*0.5*($D101-1)))*(AH$3-1)</f>
        <v>7.9290000000000003</v>
      </c>
      <c r="AI101" s="53">
        <f>Servant!$X$12+($F101+($F101*0.5*($D101-1)))*(AI$3-1)</f>
        <v>8.1539999999999999</v>
      </c>
      <c r="AJ101" s="53">
        <f>Servant!$X$12+($F101+($F101*0.5*($D101-1)))*(AJ$3-1)</f>
        <v>8.3789999999999996</v>
      </c>
      <c r="AK101" s="53">
        <f>Servant!$X$12+($F101+($F101*0.5*($D101-1)))*(AK$3-1)</f>
        <v>8.6039999999999992</v>
      </c>
    </row>
    <row r="102" spans="2:37" x14ac:dyDescent="0.3">
      <c r="B102" s="287"/>
      <c r="C102" s="290"/>
      <c r="D102" s="52">
        <v>3</v>
      </c>
      <c r="E102" s="52">
        <f>ServantLevelUPdStatus!$L$12+(ServantLevelUPdStatus!$L$12*0.5*($D102-1))</f>
        <v>0.3</v>
      </c>
      <c r="F102" s="52">
        <f>F101</f>
        <v>0.15</v>
      </c>
      <c r="H102" s="53">
        <f>Servant!$X$12+($F102+($F102*0.5*($D102-1)))*(H$3-1)</f>
        <v>2.0790000000000002</v>
      </c>
      <c r="I102" s="53">
        <f>Servant!$X$12+($F102+($F102*0.5*($D102-1)))*(I$3-1)</f>
        <v>2.379</v>
      </c>
      <c r="J102" s="53">
        <f>Servant!$X$12+($F102+($F102*0.5*($D102-1)))*(J$3-1)</f>
        <v>2.6790000000000003</v>
      </c>
      <c r="K102" s="53">
        <f>Servant!$X$12+($F102+($F102*0.5*($D102-1)))*(K$3-1)</f>
        <v>2.9790000000000001</v>
      </c>
      <c r="L102" s="53">
        <f>Servant!$X$12+($F102+($F102*0.5*($D102-1)))*(L$3-1)</f>
        <v>3.2789999999999999</v>
      </c>
      <c r="M102" s="53">
        <f>Servant!$X$12+($F102+($F102*0.5*($D102-1)))*(M$3-1)</f>
        <v>3.5790000000000002</v>
      </c>
      <c r="N102" s="53">
        <f>Servant!$X$12+($F102+($F102*0.5*($D102-1)))*(N$3-1)</f>
        <v>3.879</v>
      </c>
      <c r="O102" s="53">
        <f>Servant!$X$12+($F102+($F102*0.5*($D102-1)))*(O$3-1)</f>
        <v>4.1790000000000003</v>
      </c>
      <c r="P102" s="53">
        <f>Servant!$X$12+($F102+($F102*0.5*($D102-1)))*(P$3-1)</f>
        <v>4.4790000000000001</v>
      </c>
      <c r="Q102" s="53">
        <f>Servant!$X$12+($F102+($F102*0.5*($D102-1)))*(Q$3-1)</f>
        <v>4.7789999999999999</v>
      </c>
      <c r="R102" s="53">
        <f>Servant!$X$12+($F102+($F102*0.5*($D102-1)))*(R$3-1)</f>
        <v>5.0790000000000006</v>
      </c>
      <c r="S102" s="53">
        <f>Servant!$X$12+($F102+($F102*0.5*($D102-1)))*(S$3-1)</f>
        <v>5.3789999999999996</v>
      </c>
      <c r="T102" s="53">
        <f>Servant!$X$12+($F102+($F102*0.5*($D102-1)))*(T$3-1)</f>
        <v>5.6790000000000003</v>
      </c>
      <c r="U102" s="53">
        <f>Servant!$X$12+($F102+($F102*0.5*($D102-1)))*(U$3-1)</f>
        <v>5.9790000000000001</v>
      </c>
      <c r="V102" s="53">
        <f>Servant!$X$12+($F102+($F102*0.5*($D102-1)))*(V$3-1)</f>
        <v>6.2789999999999999</v>
      </c>
      <c r="W102" s="53">
        <f>Servant!$X$12+($F102+($F102*0.5*($D102-1)))*(W$3-1)</f>
        <v>6.5790000000000006</v>
      </c>
      <c r="X102" s="53">
        <f>Servant!$X$12+($F102+($F102*0.5*($D102-1)))*(X$3-1)</f>
        <v>6.8789999999999996</v>
      </c>
      <c r="Y102" s="53">
        <f>Servant!$X$12+($F102+($F102*0.5*($D102-1)))*(Y$3-1)</f>
        <v>7.1790000000000003</v>
      </c>
      <c r="Z102" s="53">
        <f>Servant!$X$12+($F102+($F102*0.5*($D102-1)))*(Z$3-1)</f>
        <v>7.4789999999999992</v>
      </c>
      <c r="AA102" s="53">
        <f>Servant!$X$12+($F102+($F102*0.5*($D102-1)))*(AA$3-1)</f>
        <v>7.7789999999999999</v>
      </c>
      <c r="AB102" s="53">
        <f>Servant!$X$12+($F102+($F102*0.5*($D102-1)))*(AB$3-1)</f>
        <v>8.0790000000000006</v>
      </c>
      <c r="AC102" s="53">
        <f>Servant!$X$12+($F102+($F102*0.5*($D102-1)))*(AC$3-1)</f>
        <v>8.3789999999999996</v>
      </c>
      <c r="AD102" s="53">
        <f>Servant!$X$12+($F102+($F102*0.5*($D102-1)))*(AD$3-1)</f>
        <v>8.6790000000000003</v>
      </c>
      <c r="AE102" s="53">
        <f>Servant!$X$12+($F102+($F102*0.5*($D102-1)))*(AE$3-1)</f>
        <v>8.9789999999999992</v>
      </c>
      <c r="AF102" s="53">
        <f>Servant!$X$12+($F102+($F102*0.5*($D102-1)))*(AF$3-1)</f>
        <v>9.2789999999999999</v>
      </c>
      <c r="AG102" s="53">
        <f>Servant!$X$12+($F102+($F102*0.5*($D102-1)))*(AG$3-1)</f>
        <v>9.5790000000000006</v>
      </c>
      <c r="AH102" s="53">
        <f>Servant!$X$12+($F102+($F102*0.5*($D102-1)))*(AH$3-1)</f>
        <v>9.8789999999999996</v>
      </c>
      <c r="AI102" s="53">
        <f>Servant!$X$12+($F102+($F102*0.5*($D102-1)))*(AI$3-1)</f>
        <v>10.179</v>
      </c>
      <c r="AJ102" s="53">
        <f>Servant!$X$12+($F102+($F102*0.5*($D102-1)))*(AJ$3-1)</f>
        <v>10.479000000000001</v>
      </c>
      <c r="AK102" s="53">
        <f>Servant!$X$12+($F102+($F102*0.5*($D102-1)))*(AK$3-1)</f>
        <v>10.779</v>
      </c>
    </row>
    <row r="103" spans="2:37" x14ac:dyDescent="0.3">
      <c r="B103" s="287"/>
      <c r="C103" s="290"/>
      <c r="D103" s="52">
        <v>4</v>
      </c>
      <c r="E103" s="52">
        <f>ServantLevelUPdStatus!$L$12+(ServantLevelUPdStatus!$L$12*0.5*($D103-1))</f>
        <v>0.375</v>
      </c>
      <c r="F103" s="52">
        <f>F102</f>
        <v>0.15</v>
      </c>
      <c r="H103" s="53">
        <f>Servant!$X$12+($F103+($F103*0.5*($D103-1)))*(H$3-1)</f>
        <v>2.0790000000000002</v>
      </c>
      <c r="I103" s="53">
        <f>Servant!$X$12+($F103+($F103*0.5*($D103-1)))*(I$3-1)</f>
        <v>2.4540000000000002</v>
      </c>
      <c r="J103" s="53">
        <f>Servant!$X$12+($F103+($F103*0.5*($D103-1)))*(J$3-1)</f>
        <v>2.8290000000000002</v>
      </c>
      <c r="K103" s="53">
        <f>Servant!$X$12+($F103+($F103*0.5*($D103-1)))*(K$3-1)</f>
        <v>3.2040000000000002</v>
      </c>
      <c r="L103" s="53">
        <f>Servant!$X$12+($F103+($F103*0.5*($D103-1)))*(L$3-1)</f>
        <v>3.5790000000000002</v>
      </c>
      <c r="M103" s="53">
        <f>Servant!$X$12+($F103+($F103*0.5*($D103-1)))*(M$3-1)</f>
        <v>3.9540000000000002</v>
      </c>
      <c r="N103" s="53">
        <f>Servant!$X$12+($F103+($F103*0.5*($D103-1)))*(N$3-1)</f>
        <v>4.3290000000000006</v>
      </c>
      <c r="O103" s="53">
        <f>Servant!$X$12+($F103+($F103*0.5*($D103-1)))*(O$3-1)</f>
        <v>4.7040000000000006</v>
      </c>
      <c r="P103" s="53">
        <f>Servant!$X$12+($F103+($F103*0.5*($D103-1)))*(P$3-1)</f>
        <v>5.0790000000000006</v>
      </c>
      <c r="Q103" s="53">
        <f>Servant!$X$12+($F103+($F103*0.5*($D103-1)))*(Q$3-1)</f>
        <v>5.4540000000000006</v>
      </c>
      <c r="R103" s="53">
        <f>Servant!$X$12+($F103+($F103*0.5*($D103-1)))*(R$3-1)</f>
        <v>5.8290000000000006</v>
      </c>
      <c r="S103" s="53">
        <f>Servant!$X$12+($F103+($F103*0.5*($D103-1)))*(S$3-1)</f>
        <v>6.2040000000000006</v>
      </c>
      <c r="T103" s="53">
        <f>Servant!$X$12+($F103+($F103*0.5*($D103-1)))*(T$3-1)</f>
        <v>6.5790000000000006</v>
      </c>
      <c r="U103" s="53">
        <f>Servant!$X$12+($F103+($F103*0.5*($D103-1)))*(U$3-1)</f>
        <v>6.9540000000000006</v>
      </c>
      <c r="V103" s="53">
        <f>Servant!$X$12+($F103+($F103*0.5*($D103-1)))*(V$3-1)</f>
        <v>7.3290000000000006</v>
      </c>
      <c r="W103" s="53">
        <f>Servant!$X$12+($F103+($F103*0.5*($D103-1)))*(W$3-1)</f>
        <v>7.7040000000000006</v>
      </c>
      <c r="X103" s="53">
        <f>Servant!$X$12+($F103+($F103*0.5*($D103-1)))*(X$3-1)</f>
        <v>8.0790000000000006</v>
      </c>
      <c r="Y103" s="53">
        <f>Servant!$X$12+($F103+($F103*0.5*($D103-1)))*(Y$3-1)</f>
        <v>8.4540000000000006</v>
      </c>
      <c r="Z103" s="53">
        <f>Servant!$X$12+($F103+($F103*0.5*($D103-1)))*(Z$3-1)</f>
        <v>8.8290000000000006</v>
      </c>
      <c r="AA103" s="53">
        <f>Servant!$X$12+($F103+($F103*0.5*($D103-1)))*(AA$3-1)</f>
        <v>9.2040000000000006</v>
      </c>
      <c r="AB103" s="53">
        <f>Servant!$X$12+($F103+($F103*0.5*($D103-1)))*(AB$3-1)</f>
        <v>9.5790000000000006</v>
      </c>
      <c r="AC103" s="53">
        <f>Servant!$X$12+($F103+($F103*0.5*($D103-1)))*(AC$3-1)</f>
        <v>9.9540000000000006</v>
      </c>
      <c r="AD103" s="53">
        <f>Servant!$X$12+($F103+($F103*0.5*($D103-1)))*(AD$3-1)</f>
        <v>10.329000000000001</v>
      </c>
      <c r="AE103" s="53">
        <f>Servant!$X$12+($F103+($F103*0.5*($D103-1)))*(AE$3-1)</f>
        <v>10.704000000000001</v>
      </c>
      <c r="AF103" s="53">
        <f>Servant!$X$12+($F103+($F103*0.5*($D103-1)))*(AF$3-1)</f>
        <v>11.079000000000001</v>
      </c>
      <c r="AG103" s="53">
        <f>Servant!$X$12+($F103+($F103*0.5*($D103-1)))*(AG$3-1)</f>
        <v>11.454000000000001</v>
      </c>
      <c r="AH103" s="53">
        <f>Servant!$X$12+($F103+($F103*0.5*($D103-1)))*(AH$3-1)</f>
        <v>11.829000000000001</v>
      </c>
      <c r="AI103" s="53">
        <f>Servant!$X$12+($F103+($F103*0.5*($D103-1)))*(AI$3-1)</f>
        <v>12.204000000000001</v>
      </c>
      <c r="AJ103" s="53">
        <f>Servant!$X$12+($F103+($F103*0.5*($D103-1)))*(AJ$3-1)</f>
        <v>12.579000000000001</v>
      </c>
      <c r="AK103" s="53">
        <f>Servant!$X$12+($F103+($F103*0.5*($D103-1)))*(AK$3-1)</f>
        <v>12.954000000000001</v>
      </c>
    </row>
    <row r="104" spans="2:37" x14ac:dyDescent="0.3">
      <c r="B104" s="287"/>
      <c r="C104" s="291" t="s">
        <v>244</v>
      </c>
      <c r="D104" s="56">
        <v>3</v>
      </c>
      <c r="E104" s="56">
        <f>ServantLevelUPdStatus!$L$18+(ServantLevelUPdStatus!$L$18*0.5*($D104-1))</f>
        <v>0.4</v>
      </c>
      <c r="F104" s="56">
        <f>ServantLevelUPdStatus!L$18</f>
        <v>0.2</v>
      </c>
      <c r="H104" s="57">
        <f>Servant!$X$18+($F104+($F104*0.5*($D104-1)))*(H$3-1)</f>
        <v>3.0139999999999998</v>
      </c>
      <c r="I104" s="57">
        <f>Servant!$X$18+($F104+($F104*0.5*($D104-1)))*(I$3-1)</f>
        <v>3.4139999999999997</v>
      </c>
      <c r="J104" s="57">
        <f>Servant!$X$18+($F104+($F104*0.5*($D104-1)))*(J$3-1)</f>
        <v>3.8140000000000001</v>
      </c>
      <c r="K104" s="57">
        <f>Servant!$X$18+($F104+($F104*0.5*($D104-1)))*(K$3-1)</f>
        <v>4.2140000000000004</v>
      </c>
      <c r="L104" s="57">
        <f>Servant!$X$18+($F104+($F104*0.5*($D104-1)))*(L$3-1)</f>
        <v>4.6139999999999999</v>
      </c>
      <c r="M104" s="57">
        <f>Servant!$X$18+($F104+($F104*0.5*($D104-1)))*(M$3-1)</f>
        <v>5.0139999999999993</v>
      </c>
      <c r="N104" s="57">
        <f>Servant!$X$18+($F104+($F104*0.5*($D104-1)))*(N$3-1)</f>
        <v>5.4139999999999997</v>
      </c>
      <c r="O104" s="57">
        <f>Servant!$X$18+($F104+($F104*0.5*($D104-1)))*(O$3-1)</f>
        <v>5.8140000000000001</v>
      </c>
      <c r="P104" s="57">
        <f>Servant!$X$18+($F104+($F104*0.5*($D104-1)))*(P$3-1)</f>
        <v>6.2140000000000004</v>
      </c>
      <c r="Q104" s="57">
        <f>Servant!$X$18+($F104+($F104*0.5*($D104-1)))*(Q$3-1)</f>
        <v>6.6139999999999999</v>
      </c>
      <c r="R104" s="57">
        <f>Servant!$X$18+($F104+($F104*0.5*($D104-1)))*(R$3-1)</f>
        <v>7.0139999999999993</v>
      </c>
      <c r="S104" s="57">
        <f>Servant!$X$18+($F104+($F104*0.5*($D104-1)))*(S$3-1)</f>
        <v>7.4139999999999997</v>
      </c>
      <c r="T104" s="57">
        <f>Servant!$X$18+($F104+($F104*0.5*($D104-1)))*(T$3-1)</f>
        <v>7.8140000000000001</v>
      </c>
      <c r="U104" s="57">
        <f>Servant!$X$18+($F104+($F104*0.5*($D104-1)))*(U$3-1)</f>
        <v>8.2140000000000004</v>
      </c>
      <c r="V104" s="57">
        <f>Servant!$X$18+($F104+($F104*0.5*($D104-1)))*(V$3-1)</f>
        <v>8.6140000000000008</v>
      </c>
      <c r="W104" s="57">
        <f>Servant!$X$18+($F104+($F104*0.5*($D104-1)))*(W$3-1)</f>
        <v>9.0139999999999993</v>
      </c>
      <c r="X104" s="57">
        <f>Servant!$X$18+($F104+($F104*0.5*($D104-1)))*(X$3-1)</f>
        <v>9.4139999999999997</v>
      </c>
      <c r="Y104" s="57">
        <f>Servant!$X$18+($F104+($F104*0.5*($D104-1)))*(Y$3-1)</f>
        <v>9.8140000000000001</v>
      </c>
      <c r="Z104" s="57">
        <f>Servant!$X$18+($F104+($F104*0.5*($D104-1)))*(Z$3-1)</f>
        <v>10.214</v>
      </c>
      <c r="AA104" s="57">
        <f>Servant!$X$18+($F104+($F104*0.5*($D104-1)))*(AA$3-1)</f>
        <v>10.614000000000001</v>
      </c>
      <c r="AB104" s="57">
        <f>Servant!$X$18+($F104+($F104*0.5*($D104-1)))*(AB$3-1)</f>
        <v>11.013999999999999</v>
      </c>
      <c r="AC104" s="57">
        <f>Servant!$X$18+($F104+($F104*0.5*($D104-1)))*(AC$3-1)</f>
        <v>11.414</v>
      </c>
      <c r="AD104" s="57">
        <f>Servant!$X$18+($F104+($F104*0.5*($D104-1)))*(AD$3-1)</f>
        <v>11.814</v>
      </c>
      <c r="AE104" s="57">
        <f>Servant!$X$18+($F104+($F104*0.5*($D104-1)))*(AE$3-1)</f>
        <v>12.214</v>
      </c>
      <c r="AF104" s="57">
        <f>Servant!$X$18+($F104+($F104*0.5*($D104-1)))*(AF$3-1)</f>
        <v>12.614000000000001</v>
      </c>
      <c r="AG104" s="57">
        <f>Servant!$X$18+($F104+($F104*0.5*($D104-1)))*(AG$3-1)</f>
        <v>13.013999999999999</v>
      </c>
      <c r="AH104" s="57">
        <f>Servant!$X$18+($F104+($F104*0.5*($D104-1)))*(AH$3-1)</f>
        <v>13.414</v>
      </c>
      <c r="AI104" s="57">
        <f>Servant!$X$18+($F104+($F104*0.5*($D104-1)))*(AI$3-1)</f>
        <v>13.814</v>
      </c>
      <c r="AJ104" s="57">
        <f>Servant!$X$18+($F104+($F104*0.5*($D104-1)))*(AJ$3-1)</f>
        <v>14.214</v>
      </c>
      <c r="AK104" s="57">
        <f>Servant!$X$18+($F104+($F104*0.5*($D104-1)))*(AK$3-1)</f>
        <v>14.614000000000001</v>
      </c>
    </row>
    <row r="105" spans="2:37" x14ac:dyDescent="0.3">
      <c r="B105" s="287"/>
      <c r="C105" s="291"/>
      <c r="D105" s="56">
        <v>4</v>
      </c>
      <c r="E105" s="56">
        <f>ServantLevelUPdStatus!$L$18+(ServantLevelUPdStatus!$L$18*0.5*($D105-1))</f>
        <v>0.5</v>
      </c>
      <c r="F105" s="56">
        <f>F104</f>
        <v>0.2</v>
      </c>
      <c r="H105" s="57">
        <f>Servant!$X$18+($F105+($F105*0.5*($D105-1)))*(H$3-1)</f>
        <v>3.0139999999999998</v>
      </c>
      <c r="I105" s="57">
        <f>Servant!$X$18+($F105+($F105*0.5*($D105-1)))*(I$3-1)</f>
        <v>3.5139999999999998</v>
      </c>
      <c r="J105" s="57">
        <f>Servant!$X$18+($F105+($F105*0.5*($D105-1)))*(J$3-1)</f>
        <v>4.0139999999999993</v>
      </c>
      <c r="K105" s="57">
        <f>Servant!$X$18+($F105+($F105*0.5*($D105-1)))*(K$3-1)</f>
        <v>4.5139999999999993</v>
      </c>
      <c r="L105" s="57">
        <f>Servant!$X$18+($F105+($F105*0.5*($D105-1)))*(L$3-1)</f>
        <v>5.0139999999999993</v>
      </c>
      <c r="M105" s="57">
        <f>Servant!$X$18+($F105+($F105*0.5*($D105-1)))*(M$3-1)</f>
        <v>5.5139999999999993</v>
      </c>
      <c r="N105" s="57">
        <f>Servant!$X$18+($F105+($F105*0.5*($D105-1)))*(N$3-1)</f>
        <v>6.0139999999999993</v>
      </c>
      <c r="O105" s="57">
        <f>Servant!$X$18+($F105+($F105*0.5*($D105-1)))*(O$3-1)</f>
        <v>6.5139999999999993</v>
      </c>
      <c r="P105" s="57">
        <f>Servant!$X$18+($F105+($F105*0.5*($D105-1)))*(P$3-1)</f>
        <v>7.0139999999999993</v>
      </c>
      <c r="Q105" s="57">
        <f>Servant!$X$18+($F105+($F105*0.5*($D105-1)))*(Q$3-1)</f>
        <v>7.5139999999999993</v>
      </c>
      <c r="R105" s="57">
        <f>Servant!$X$18+($F105+($F105*0.5*($D105-1)))*(R$3-1)</f>
        <v>8.0139999999999993</v>
      </c>
      <c r="S105" s="57">
        <f>Servant!$X$18+($F105+($F105*0.5*($D105-1)))*(S$3-1)</f>
        <v>8.5139999999999993</v>
      </c>
      <c r="T105" s="57">
        <f>Servant!$X$18+($F105+($F105*0.5*($D105-1)))*(T$3-1)</f>
        <v>9.0139999999999993</v>
      </c>
      <c r="U105" s="57">
        <f>Servant!$X$18+($F105+($F105*0.5*($D105-1)))*(U$3-1)</f>
        <v>9.5139999999999993</v>
      </c>
      <c r="V105" s="57">
        <f>Servant!$X$18+($F105+($F105*0.5*($D105-1)))*(V$3-1)</f>
        <v>10.013999999999999</v>
      </c>
      <c r="W105" s="57">
        <f>Servant!$X$18+($F105+($F105*0.5*($D105-1)))*(W$3-1)</f>
        <v>10.513999999999999</v>
      </c>
      <c r="X105" s="57">
        <f>Servant!$X$18+($F105+($F105*0.5*($D105-1)))*(X$3-1)</f>
        <v>11.013999999999999</v>
      </c>
      <c r="Y105" s="57">
        <f>Servant!$X$18+($F105+($F105*0.5*($D105-1)))*(Y$3-1)</f>
        <v>11.513999999999999</v>
      </c>
      <c r="Z105" s="57">
        <f>Servant!$X$18+($F105+($F105*0.5*($D105-1)))*(Z$3-1)</f>
        <v>12.013999999999999</v>
      </c>
      <c r="AA105" s="57">
        <f>Servant!$X$18+($F105+($F105*0.5*($D105-1)))*(AA$3-1)</f>
        <v>12.513999999999999</v>
      </c>
      <c r="AB105" s="57">
        <f>Servant!$X$18+($F105+($F105*0.5*($D105-1)))*(AB$3-1)</f>
        <v>13.013999999999999</v>
      </c>
      <c r="AC105" s="57">
        <f>Servant!$X$18+($F105+($F105*0.5*($D105-1)))*(AC$3-1)</f>
        <v>13.513999999999999</v>
      </c>
      <c r="AD105" s="57">
        <f>Servant!$X$18+($F105+($F105*0.5*($D105-1)))*(AD$3-1)</f>
        <v>14.013999999999999</v>
      </c>
      <c r="AE105" s="57">
        <f>Servant!$X$18+($F105+($F105*0.5*($D105-1)))*(AE$3-1)</f>
        <v>14.513999999999999</v>
      </c>
      <c r="AF105" s="57">
        <f>Servant!$X$18+($F105+($F105*0.5*($D105-1)))*(AF$3-1)</f>
        <v>15.013999999999999</v>
      </c>
      <c r="AG105" s="57">
        <f>Servant!$X$18+($F105+($F105*0.5*($D105-1)))*(AG$3-1)</f>
        <v>15.513999999999999</v>
      </c>
      <c r="AH105" s="57">
        <f>Servant!$X$18+($F105+($F105*0.5*($D105-1)))*(AH$3-1)</f>
        <v>16.013999999999999</v>
      </c>
      <c r="AI105" s="57">
        <f>Servant!$X$18+($F105+($F105*0.5*($D105-1)))*(AI$3-1)</f>
        <v>16.513999999999999</v>
      </c>
      <c r="AJ105" s="57">
        <f>Servant!$X$18+($F105+($F105*0.5*($D105-1)))*(AJ$3-1)</f>
        <v>17.013999999999999</v>
      </c>
      <c r="AK105" s="57">
        <f>Servant!$X$18+($F105+($F105*0.5*($D105-1)))*(AK$3-1)</f>
        <v>17.513999999999999</v>
      </c>
    </row>
    <row r="106" spans="2:37" x14ac:dyDescent="0.3">
      <c r="B106" s="287"/>
      <c r="C106" s="291"/>
      <c r="D106" s="56">
        <v>5</v>
      </c>
      <c r="E106" s="56">
        <f>ServantLevelUPdStatus!$L$18+(ServantLevelUPdStatus!$L$18*0.5*($D106-1))</f>
        <v>0.60000000000000009</v>
      </c>
      <c r="F106" s="56">
        <f>F105</f>
        <v>0.2</v>
      </c>
      <c r="H106" s="57">
        <f>Servant!$X$18+($F106+($F106*0.5*($D106-1)))*(H$3-1)</f>
        <v>3.0139999999999998</v>
      </c>
      <c r="I106" s="57">
        <f>Servant!$X$18+($F106+($F106*0.5*($D106-1)))*(I$3-1)</f>
        <v>3.6139999999999999</v>
      </c>
      <c r="J106" s="57">
        <f>Servant!$X$18+($F106+($F106*0.5*($D106-1)))*(J$3-1)</f>
        <v>4.2140000000000004</v>
      </c>
      <c r="K106" s="57">
        <f>Servant!$X$18+($F106+($F106*0.5*($D106-1)))*(K$3-1)</f>
        <v>4.8140000000000001</v>
      </c>
      <c r="L106" s="57">
        <f>Servant!$X$18+($F106+($F106*0.5*($D106-1)))*(L$3-1)</f>
        <v>5.4139999999999997</v>
      </c>
      <c r="M106" s="57">
        <f>Servant!$X$18+($F106+($F106*0.5*($D106-1)))*(M$3-1)</f>
        <v>6.0140000000000002</v>
      </c>
      <c r="N106" s="57">
        <f>Servant!$X$18+($F106+($F106*0.5*($D106-1)))*(N$3-1)</f>
        <v>6.6140000000000008</v>
      </c>
      <c r="O106" s="57">
        <f>Servant!$X$18+($F106+($F106*0.5*($D106-1)))*(O$3-1)</f>
        <v>7.2140000000000004</v>
      </c>
      <c r="P106" s="57">
        <f>Servant!$X$18+($F106+($F106*0.5*($D106-1)))*(P$3-1)</f>
        <v>7.8140000000000001</v>
      </c>
      <c r="Q106" s="57">
        <f>Servant!$X$18+($F106+($F106*0.5*($D106-1)))*(Q$3-1)</f>
        <v>8.4139999999999997</v>
      </c>
      <c r="R106" s="57">
        <f>Servant!$X$18+($F106+($F106*0.5*($D106-1)))*(R$3-1)</f>
        <v>9.0140000000000011</v>
      </c>
      <c r="S106" s="57">
        <f>Servant!$X$18+($F106+($F106*0.5*($D106-1)))*(S$3-1)</f>
        <v>9.6140000000000008</v>
      </c>
      <c r="T106" s="57">
        <f>Servant!$X$18+($F106+($F106*0.5*($D106-1)))*(T$3-1)</f>
        <v>10.214</v>
      </c>
      <c r="U106" s="57">
        <f>Servant!$X$18+($F106+($F106*0.5*($D106-1)))*(U$3-1)</f>
        <v>10.814</v>
      </c>
      <c r="V106" s="57">
        <f>Servant!$X$18+($F106+($F106*0.5*($D106-1)))*(V$3-1)</f>
        <v>11.414000000000001</v>
      </c>
      <c r="W106" s="57">
        <f>Servant!$X$18+($F106+($F106*0.5*($D106-1)))*(W$3-1)</f>
        <v>12.014000000000001</v>
      </c>
      <c r="X106" s="57">
        <f>Servant!$X$18+($F106+($F106*0.5*($D106-1)))*(X$3-1)</f>
        <v>12.614000000000001</v>
      </c>
      <c r="Y106" s="57">
        <f>Servant!$X$18+($F106+($F106*0.5*($D106-1)))*(Y$3-1)</f>
        <v>13.214</v>
      </c>
      <c r="Z106" s="57">
        <f>Servant!$X$18+($F106+($F106*0.5*($D106-1)))*(Z$3-1)</f>
        <v>13.814</v>
      </c>
      <c r="AA106" s="57">
        <f>Servant!$X$18+($F106+($F106*0.5*($D106-1)))*(AA$3-1)</f>
        <v>14.414000000000001</v>
      </c>
      <c r="AB106" s="57">
        <f>Servant!$X$18+($F106+($F106*0.5*($D106-1)))*(AB$3-1)</f>
        <v>15.014000000000001</v>
      </c>
      <c r="AC106" s="57">
        <f>Servant!$X$18+($F106+($F106*0.5*($D106-1)))*(AC$3-1)</f>
        <v>15.614000000000001</v>
      </c>
      <c r="AD106" s="57">
        <f>Servant!$X$18+($F106+($F106*0.5*($D106-1)))*(AD$3-1)</f>
        <v>16.214000000000002</v>
      </c>
      <c r="AE106" s="57">
        <f>Servant!$X$18+($F106+($F106*0.5*($D106-1)))*(AE$3-1)</f>
        <v>16.814000000000004</v>
      </c>
      <c r="AF106" s="57">
        <f>Servant!$X$18+($F106+($F106*0.5*($D106-1)))*(AF$3-1)</f>
        <v>17.414000000000001</v>
      </c>
      <c r="AG106" s="57">
        <f>Servant!$X$18+($F106+($F106*0.5*($D106-1)))*(AG$3-1)</f>
        <v>18.014000000000003</v>
      </c>
      <c r="AH106" s="57">
        <f>Servant!$X$18+($F106+($F106*0.5*($D106-1)))*(AH$3-1)</f>
        <v>18.614000000000001</v>
      </c>
      <c r="AI106" s="57">
        <f>Servant!$X$18+($F106+($F106*0.5*($D106-1)))*(AI$3-1)</f>
        <v>19.214000000000002</v>
      </c>
      <c r="AJ106" s="57">
        <f>Servant!$X$18+($F106+($F106*0.5*($D106-1)))*(AJ$3-1)</f>
        <v>19.814000000000004</v>
      </c>
      <c r="AK106" s="57">
        <f>Servant!$X$18+($F106+($F106*0.5*($D106-1)))*(AK$3-1)</f>
        <v>20.414000000000001</v>
      </c>
    </row>
    <row r="107" spans="2:37" x14ac:dyDescent="0.3">
      <c r="B107" s="287"/>
      <c r="C107" s="292" t="s">
        <v>245</v>
      </c>
      <c r="D107" s="58">
        <v>4</v>
      </c>
      <c r="E107" s="58">
        <f>ServantLevelUPdStatus!$L$22+(ServantLevelUPdStatus!$L$22*0.5*($D107-1))</f>
        <v>0.75</v>
      </c>
      <c r="F107" s="58">
        <f>ServantLevelUPdStatus!L$22</f>
        <v>0.3</v>
      </c>
      <c r="H107" s="59">
        <f>Servant!$X$22+($F107+($F107*0.5*($D107-1)))*(H$3-1)</f>
        <v>3.9820000000000002</v>
      </c>
      <c r="I107" s="59">
        <f>Servant!$X$22+($F107+($F107*0.5*($D107-1)))*(I$3-1)</f>
        <v>4.7320000000000002</v>
      </c>
      <c r="J107" s="59">
        <f>Servant!$X$22+($F107+($F107*0.5*($D107-1)))*(J$3-1)</f>
        <v>5.4820000000000002</v>
      </c>
      <c r="K107" s="59">
        <f>Servant!$X$22+($F107+($F107*0.5*($D107-1)))*(K$3-1)</f>
        <v>6.2320000000000002</v>
      </c>
      <c r="L107" s="59">
        <f>Servant!$X$22+($F107+($F107*0.5*($D107-1)))*(L$3-1)</f>
        <v>6.9820000000000002</v>
      </c>
      <c r="M107" s="59">
        <f>Servant!$X$22+($F107+($F107*0.5*($D107-1)))*(M$3-1)</f>
        <v>7.7320000000000002</v>
      </c>
      <c r="N107" s="59">
        <f>Servant!$X$22+($F107+($F107*0.5*($D107-1)))*(N$3-1)</f>
        <v>8.4819999999999993</v>
      </c>
      <c r="O107" s="59">
        <f>Servant!$X$22+($F107+($F107*0.5*($D107-1)))*(O$3-1)</f>
        <v>9.2319999999999993</v>
      </c>
      <c r="P107" s="59">
        <f>Servant!$X$22+($F107+($F107*0.5*($D107-1)))*(P$3-1)</f>
        <v>9.9819999999999993</v>
      </c>
      <c r="Q107" s="59">
        <f>Servant!$X$22+($F107+($F107*0.5*($D107-1)))*(Q$3-1)</f>
        <v>10.731999999999999</v>
      </c>
      <c r="R107" s="59">
        <f>Servant!$X$22+($F107+($F107*0.5*($D107-1)))*(R$3-1)</f>
        <v>11.481999999999999</v>
      </c>
      <c r="S107" s="59">
        <f>Servant!$X$22+($F107+($F107*0.5*($D107-1)))*(S$3-1)</f>
        <v>12.231999999999999</v>
      </c>
      <c r="T107" s="59">
        <f>Servant!$X$22+($F107+($F107*0.5*($D107-1)))*(T$3-1)</f>
        <v>12.981999999999999</v>
      </c>
      <c r="U107" s="59">
        <f>Servant!$X$22+($F107+($F107*0.5*($D107-1)))*(U$3-1)</f>
        <v>13.731999999999999</v>
      </c>
      <c r="V107" s="59">
        <f>Servant!$X$22+($F107+($F107*0.5*($D107-1)))*(V$3-1)</f>
        <v>14.481999999999999</v>
      </c>
      <c r="W107" s="59">
        <f>Servant!$X$22+($F107+($F107*0.5*($D107-1)))*(W$3-1)</f>
        <v>15.231999999999999</v>
      </c>
      <c r="X107" s="59">
        <f>Servant!$X$22+($F107+($F107*0.5*($D107-1)))*(X$3-1)</f>
        <v>15.981999999999999</v>
      </c>
      <c r="Y107" s="59">
        <f>Servant!$X$22+($F107+($F107*0.5*($D107-1)))*(Y$3-1)</f>
        <v>16.731999999999999</v>
      </c>
      <c r="Z107" s="59">
        <f>Servant!$X$22+($F107+($F107*0.5*($D107-1)))*(Z$3-1)</f>
        <v>17.481999999999999</v>
      </c>
      <c r="AA107" s="59">
        <f>Servant!$X$22+($F107+($F107*0.5*($D107-1)))*(AA$3-1)</f>
        <v>18.231999999999999</v>
      </c>
      <c r="AB107" s="59">
        <f>Servant!$X$22+($F107+($F107*0.5*($D107-1)))*(AB$3-1)</f>
        <v>18.981999999999999</v>
      </c>
      <c r="AC107" s="59">
        <f>Servant!$X$22+($F107+($F107*0.5*($D107-1)))*(AC$3-1)</f>
        <v>19.731999999999999</v>
      </c>
      <c r="AD107" s="59">
        <f>Servant!$X$22+($F107+($F107*0.5*($D107-1)))*(AD$3-1)</f>
        <v>20.481999999999999</v>
      </c>
      <c r="AE107" s="59">
        <f>Servant!$X$22+($F107+($F107*0.5*($D107-1)))*(AE$3-1)</f>
        <v>21.231999999999999</v>
      </c>
      <c r="AF107" s="59">
        <f>Servant!$X$22+($F107+($F107*0.5*($D107-1)))*(AF$3-1)</f>
        <v>21.981999999999999</v>
      </c>
      <c r="AG107" s="59">
        <f>Servant!$X$22+($F107+($F107*0.5*($D107-1)))*(AG$3-1)</f>
        <v>22.731999999999999</v>
      </c>
      <c r="AH107" s="59">
        <f>Servant!$X$22+($F107+($F107*0.5*($D107-1)))*(AH$3-1)</f>
        <v>23.481999999999999</v>
      </c>
      <c r="AI107" s="59">
        <f>Servant!$X$22+($F107+($F107*0.5*($D107-1)))*(AI$3-1)</f>
        <v>24.231999999999999</v>
      </c>
      <c r="AJ107" s="59">
        <f>Servant!$X$22+($F107+($F107*0.5*($D107-1)))*(AJ$3-1)</f>
        <v>24.981999999999999</v>
      </c>
      <c r="AK107" s="59">
        <f>Servant!$X$22+($F107+($F107*0.5*($D107-1)))*(AK$3-1)</f>
        <v>25.731999999999999</v>
      </c>
    </row>
    <row r="108" spans="2:37" x14ac:dyDescent="0.3">
      <c r="B108" s="287"/>
      <c r="C108" s="292"/>
      <c r="D108" s="58">
        <v>5</v>
      </c>
      <c r="E108" s="58">
        <f>ServantLevelUPdStatus!$L$22+(ServantLevelUPdStatus!$L$22*0.5*($D108-1))</f>
        <v>0.89999999999999991</v>
      </c>
      <c r="F108" s="58">
        <f>F107</f>
        <v>0.3</v>
      </c>
      <c r="H108" s="59">
        <f>Servant!$X$22+($F108+($F108*0.5*($D108-1)))*(H$3-1)</f>
        <v>3.9820000000000002</v>
      </c>
      <c r="I108" s="59">
        <f>Servant!$X$22+($F108+($F108*0.5*($D108-1)))*(I$3-1)</f>
        <v>4.8819999999999997</v>
      </c>
      <c r="J108" s="59">
        <f>Servant!$X$22+($F108+($F108*0.5*($D108-1)))*(J$3-1)</f>
        <v>5.782</v>
      </c>
      <c r="K108" s="59">
        <f>Servant!$X$22+($F108+($F108*0.5*($D108-1)))*(K$3-1)</f>
        <v>6.6820000000000004</v>
      </c>
      <c r="L108" s="59">
        <f>Servant!$X$22+($F108+($F108*0.5*($D108-1)))*(L$3-1)</f>
        <v>7.5819999999999999</v>
      </c>
      <c r="M108" s="59">
        <f>Servant!$X$22+($F108+($F108*0.5*($D108-1)))*(M$3-1)</f>
        <v>8.4819999999999993</v>
      </c>
      <c r="N108" s="59">
        <f>Servant!$X$22+($F108+($F108*0.5*($D108-1)))*(N$3-1)</f>
        <v>9.3819999999999997</v>
      </c>
      <c r="O108" s="59">
        <f>Servant!$X$22+($F108+($F108*0.5*($D108-1)))*(O$3-1)</f>
        <v>10.282</v>
      </c>
      <c r="P108" s="59">
        <f>Servant!$X$22+($F108+($F108*0.5*($D108-1)))*(P$3-1)</f>
        <v>11.181999999999999</v>
      </c>
      <c r="Q108" s="59">
        <f>Servant!$X$22+($F108+($F108*0.5*($D108-1)))*(Q$3-1)</f>
        <v>12.082000000000001</v>
      </c>
      <c r="R108" s="59">
        <f>Servant!$X$22+($F108+($F108*0.5*($D108-1)))*(R$3-1)</f>
        <v>12.981999999999999</v>
      </c>
      <c r="S108" s="59">
        <f>Servant!$X$22+($F108+($F108*0.5*($D108-1)))*(S$3-1)</f>
        <v>13.881999999999998</v>
      </c>
      <c r="T108" s="59">
        <f>Servant!$X$22+($F108+($F108*0.5*($D108-1)))*(T$3-1)</f>
        <v>14.782</v>
      </c>
      <c r="U108" s="59">
        <f>Servant!$X$22+($F108+($F108*0.5*($D108-1)))*(U$3-1)</f>
        <v>15.681999999999999</v>
      </c>
      <c r="V108" s="59">
        <f>Servant!$X$22+($F108+($F108*0.5*($D108-1)))*(V$3-1)</f>
        <v>16.581999999999997</v>
      </c>
      <c r="W108" s="59">
        <f>Servant!$X$22+($F108+($F108*0.5*($D108-1)))*(W$3-1)</f>
        <v>17.481999999999999</v>
      </c>
      <c r="X108" s="59">
        <f>Servant!$X$22+($F108+($F108*0.5*($D108-1)))*(X$3-1)</f>
        <v>18.381999999999998</v>
      </c>
      <c r="Y108" s="59">
        <f>Servant!$X$22+($F108+($F108*0.5*($D108-1)))*(Y$3-1)</f>
        <v>19.282</v>
      </c>
      <c r="Z108" s="59">
        <f>Servant!$X$22+($F108+($F108*0.5*($D108-1)))*(Z$3-1)</f>
        <v>20.181999999999999</v>
      </c>
      <c r="AA108" s="59">
        <f>Servant!$X$22+($F108+($F108*0.5*($D108-1)))*(AA$3-1)</f>
        <v>21.081999999999997</v>
      </c>
      <c r="AB108" s="59">
        <f>Servant!$X$22+($F108+($F108*0.5*($D108-1)))*(AB$3-1)</f>
        <v>21.981999999999999</v>
      </c>
      <c r="AC108" s="59">
        <f>Servant!$X$22+($F108+($F108*0.5*($D108-1)))*(AC$3-1)</f>
        <v>22.881999999999998</v>
      </c>
      <c r="AD108" s="59">
        <f>Servant!$X$22+($F108+($F108*0.5*($D108-1)))*(AD$3-1)</f>
        <v>23.781999999999996</v>
      </c>
      <c r="AE108" s="59">
        <f>Servant!$X$22+($F108+($F108*0.5*($D108-1)))*(AE$3-1)</f>
        <v>24.681999999999999</v>
      </c>
      <c r="AF108" s="59">
        <f>Servant!$X$22+($F108+($F108*0.5*($D108-1)))*(AF$3-1)</f>
        <v>25.581999999999997</v>
      </c>
      <c r="AG108" s="59">
        <f>Servant!$X$22+($F108+($F108*0.5*($D108-1)))*(AG$3-1)</f>
        <v>26.481999999999996</v>
      </c>
      <c r="AH108" s="59">
        <f>Servant!$X$22+($F108+($F108*0.5*($D108-1)))*(AH$3-1)</f>
        <v>27.381999999999998</v>
      </c>
      <c r="AI108" s="59">
        <f>Servant!$X$22+($F108+($F108*0.5*($D108-1)))*(AI$3-1)</f>
        <v>28.281999999999996</v>
      </c>
      <c r="AJ108" s="59">
        <f>Servant!$X$22+($F108+($F108*0.5*($D108-1)))*(AJ$3-1)</f>
        <v>29.181999999999995</v>
      </c>
      <c r="AK108" s="59">
        <f>Servant!$X$22+($F108+($F108*0.5*($D108-1)))*(AK$3-1)</f>
        <v>30.081999999999997</v>
      </c>
    </row>
    <row r="109" spans="2:37" x14ac:dyDescent="0.3">
      <c r="B109" s="287"/>
      <c r="C109" s="292"/>
      <c r="D109" s="58">
        <v>6</v>
      </c>
      <c r="E109" s="58">
        <f>ServantLevelUPdStatus!$L$22+(ServantLevelUPdStatus!$L$22*0.5*($D109-1))</f>
        <v>1.05</v>
      </c>
      <c r="F109" s="58">
        <f>F108</f>
        <v>0.3</v>
      </c>
      <c r="H109" s="59">
        <f>Servant!$X$22+($F109+($F109*0.5*($D109-1)))*(H$3-1)</f>
        <v>3.9820000000000002</v>
      </c>
      <c r="I109" s="59">
        <f>Servant!$X$22+($F109+($F109*0.5*($D109-1)))*(I$3-1)</f>
        <v>5.032</v>
      </c>
      <c r="J109" s="59">
        <f>Servant!$X$22+($F109+($F109*0.5*($D109-1)))*(J$3-1)</f>
        <v>6.0820000000000007</v>
      </c>
      <c r="K109" s="59">
        <f>Servant!$X$22+($F109+($F109*0.5*($D109-1)))*(K$3-1)</f>
        <v>7.1320000000000006</v>
      </c>
      <c r="L109" s="59">
        <f>Servant!$X$22+($F109+($F109*0.5*($D109-1)))*(L$3-1)</f>
        <v>8.1820000000000004</v>
      </c>
      <c r="M109" s="59">
        <f>Servant!$X$22+($F109+($F109*0.5*($D109-1)))*(M$3-1)</f>
        <v>9.2319999999999993</v>
      </c>
      <c r="N109" s="59">
        <f>Servant!$X$22+($F109+($F109*0.5*($D109-1)))*(N$3-1)</f>
        <v>10.282</v>
      </c>
      <c r="O109" s="59">
        <f>Servant!$X$22+($F109+($F109*0.5*($D109-1)))*(O$3-1)</f>
        <v>11.332000000000001</v>
      </c>
      <c r="P109" s="59">
        <f>Servant!$X$22+($F109+($F109*0.5*($D109-1)))*(P$3-1)</f>
        <v>12.382000000000001</v>
      </c>
      <c r="Q109" s="59">
        <f>Servant!$X$22+($F109+($F109*0.5*($D109-1)))*(Q$3-1)</f>
        <v>13.432000000000002</v>
      </c>
      <c r="R109" s="59">
        <f>Servant!$X$22+($F109+($F109*0.5*($D109-1)))*(R$3-1)</f>
        <v>14.481999999999999</v>
      </c>
      <c r="S109" s="59">
        <f>Servant!$X$22+($F109+($F109*0.5*($D109-1)))*(S$3-1)</f>
        <v>15.532</v>
      </c>
      <c r="T109" s="59">
        <f>Servant!$X$22+($F109+($F109*0.5*($D109-1)))*(T$3-1)</f>
        <v>16.582000000000001</v>
      </c>
      <c r="U109" s="59">
        <f>Servant!$X$22+($F109+($F109*0.5*($D109-1)))*(U$3-1)</f>
        <v>17.632000000000001</v>
      </c>
      <c r="V109" s="59">
        <f>Servant!$X$22+($F109+($F109*0.5*($D109-1)))*(V$3-1)</f>
        <v>18.682000000000002</v>
      </c>
      <c r="W109" s="59">
        <f>Servant!$X$22+($F109+($F109*0.5*($D109-1)))*(W$3-1)</f>
        <v>19.731999999999999</v>
      </c>
      <c r="X109" s="59">
        <f>Servant!$X$22+($F109+($F109*0.5*($D109-1)))*(X$3-1)</f>
        <v>20.782</v>
      </c>
      <c r="Y109" s="59">
        <f>Servant!$X$22+($F109+($F109*0.5*($D109-1)))*(Y$3-1)</f>
        <v>21.832000000000001</v>
      </c>
      <c r="Z109" s="59">
        <f>Servant!$X$22+($F109+($F109*0.5*($D109-1)))*(Z$3-1)</f>
        <v>22.882000000000001</v>
      </c>
      <c r="AA109" s="59">
        <f>Servant!$X$22+($F109+($F109*0.5*($D109-1)))*(AA$3-1)</f>
        <v>23.931999999999999</v>
      </c>
      <c r="AB109" s="59">
        <f>Servant!$X$22+($F109+($F109*0.5*($D109-1)))*(AB$3-1)</f>
        <v>24.981999999999999</v>
      </c>
      <c r="AC109" s="59">
        <f>Servant!$X$22+($F109+($F109*0.5*($D109-1)))*(AC$3-1)</f>
        <v>26.032</v>
      </c>
      <c r="AD109" s="59">
        <f>Servant!$X$22+($F109+($F109*0.5*($D109-1)))*(AD$3-1)</f>
        <v>27.082000000000001</v>
      </c>
      <c r="AE109" s="59">
        <f>Servant!$X$22+($F109+($F109*0.5*($D109-1)))*(AE$3-1)</f>
        <v>28.132000000000001</v>
      </c>
      <c r="AF109" s="59">
        <f>Servant!$X$22+($F109+($F109*0.5*($D109-1)))*(AF$3-1)</f>
        <v>29.182000000000002</v>
      </c>
      <c r="AG109" s="59">
        <f>Servant!$X$22+($F109+($F109*0.5*($D109-1)))*(AG$3-1)</f>
        <v>30.231999999999999</v>
      </c>
      <c r="AH109" s="59">
        <f>Servant!$X$22+($F109+($F109*0.5*($D109-1)))*(AH$3-1)</f>
        <v>31.282</v>
      </c>
      <c r="AI109" s="59">
        <f>Servant!$X$22+($F109+($F109*0.5*($D109-1)))*(AI$3-1)</f>
        <v>32.332000000000001</v>
      </c>
      <c r="AJ109" s="59">
        <f>Servant!$X$22+($F109+($F109*0.5*($D109-1)))*(AJ$3-1)</f>
        <v>33.382000000000005</v>
      </c>
      <c r="AK109" s="59">
        <f>Servant!$X$22+($F109+($F109*0.5*($D109-1)))*(AK$3-1)</f>
        <v>34.432000000000002</v>
      </c>
    </row>
    <row r="111" spans="2:37" x14ac:dyDescent="0.3">
      <c r="B111" s="286" t="s">
        <v>252</v>
      </c>
      <c r="C111" s="289" t="s">
        <v>217</v>
      </c>
      <c r="D111" s="54">
        <v>1</v>
      </c>
      <c r="E111" s="54">
        <f>ServantLevelUPdStatus!$M$6+(ServantLevelUPdStatus!$M$6*0.5*($D111-1))</f>
        <v>236</v>
      </c>
      <c r="F111" s="54">
        <f>ServantLevelUPdStatus!M$6</f>
        <v>236</v>
      </c>
      <c r="H111" s="55">
        <f>Servant!$Y$6+($F111+($F111*0.5*($D111-1)))*(H$3-1)</f>
        <v>312</v>
      </c>
      <c r="I111" s="55">
        <f>Servant!$Y$6+($F111+($F111*0.5*($D111-1)))*(I$3-1)</f>
        <v>548</v>
      </c>
      <c r="J111" s="55">
        <f>Servant!$Y$6+($F111+($F111*0.5*($D111-1)))*(J$3-1)</f>
        <v>784</v>
      </c>
      <c r="K111" s="55">
        <f>Servant!$Y$6+($F111+($F111*0.5*($D111-1)))*(K$3-1)</f>
        <v>1020</v>
      </c>
      <c r="L111" s="55">
        <f>Servant!$Y$6+($F111+($F111*0.5*($D111-1)))*(L$3-1)</f>
        <v>1256</v>
      </c>
      <c r="M111" s="55">
        <f>Servant!$Y$6+($F111+($F111*0.5*($D111-1)))*(M$3-1)</f>
        <v>1492</v>
      </c>
      <c r="N111" s="55">
        <f>Servant!$Y$6+($F111+($F111*0.5*($D111-1)))*(N$3-1)</f>
        <v>1728</v>
      </c>
      <c r="O111" s="55">
        <f>Servant!$Y$6+($F111+($F111*0.5*($D111-1)))*(O$3-1)</f>
        <v>1964</v>
      </c>
      <c r="P111" s="55">
        <f>Servant!$Y$6+($F111+($F111*0.5*($D111-1)))*(P$3-1)</f>
        <v>2200</v>
      </c>
      <c r="Q111" s="55">
        <f>Servant!$Y$6+($F111+($F111*0.5*($D111-1)))*(Q$3-1)</f>
        <v>2436</v>
      </c>
      <c r="R111" s="55">
        <f>Servant!$Y$6+($F111+($F111*0.5*($D111-1)))*(R$3-1)</f>
        <v>2672</v>
      </c>
      <c r="S111" s="55">
        <f>Servant!$Y$6+($F111+($F111*0.5*($D111-1)))*(S$3-1)</f>
        <v>2908</v>
      </c>
      <c r="T111" s="55">
        <f>Servant!$Y$6+($F111+($F111*0.5*($D111-1)))*(T$3-1)</f>
        <v>3144</v>
      </c>
      <c r="U111" s="55">
        <f>Servant!$Y$6+($F111+($F111*0.5*($D111-1)))*(U$3-1)</f>
        <v>3380</v>
      </c>
      <c r="V111" s="55">
        <f>Servant!$Y$6+($F111+($F111*0.5*($D111-1)))*(V$3-1)</f>
        <v>3616</v>
      </c>
      <c r="W111" s="55">
        <f>Servant!$Y$6+($F111+($F111*0.5*($D111-1)))*(W$3-1)</f>
        <v>3852</v>
      </c>
      <c r="X111" s="55">
        <f>Servant!$Y$6+($F111+($F111*0.5*($D111-1)))*(X$3-1)</f>
        <v>4088</v>
      </c>
      <c r="Y111" s="55">
        <f>Servant!$Y$6+($F111+($F111*0.5*($D111-1)))*(Y$3-1)</f>
        <v>4324</v>
      </c>
      <c r="Z111" s="55">
        <f>Servant!$Y$6+($F111+($F111*0.5*($D111-1)))*(Z$3-1)</f>
        <v>4560</v>
      </c>
      <c r="AA111" s="55">
        <f>Servant!$Y$6+($F111+($F111*0.5*($D111-1)))*(AA$3-1)</f>
        <v>4796</v>
      </c>
      <c r="AB111" s="55">
        <f>Servant!$Y$6+($F111+($F111*0.5*($D111-1)))*(AB$3-1)</f>
        <v>5032</v>
      </c>
      <c r="AC111" s="55">
        <f>Servant!$Y$6+($F111+($F111*0.5*($D111-1)))*(AC$3-1)</f>
        <v>5268</v>
      </c>
      <c r="AD111" s="55">
        <f>Servant!$Y$6+($F111+($F111*0.5*($D111-1)))*(AD$3-1)</f>
        <v>5504</v>
      </c>
      <c r="AE111" s="55">
        <f>Servant!$Y$6+($F111+($F111*0.5*($D111-1)))*(AE$3-1)</f>
        <v>5740</v>
      </c>
      <c r="AF111" s="55">
        <f>Servant!$Y$6+($F111+($F111*0.5*($D111-1)))*(AF$3-1)</f>
        <v>5976</v>
      </c>
      <c r="AG111" s="55">
        <f>Servant!$Y$6+($F111+($F111*0.5*($D111-1)))*(AG$3-1)</f>
        <v>6212</v>
      </c>
      <c r="AH111" s="55">
        <f>Servant!$Y$6+($F111+($F111*0.5*($D111-1)))*(AH$3-1)</f>
        <v>6448</v>
      </c>
      <c r="AI111" s="100">
        <f>Servant!$Y$6+($F111+($F111*0.5*($D111-1)))*(AI$3-1)</f>
        <v>6684</v>
      </c>
      <c r="AJ111" s="100">
        <f>Servant!$Y$6+($F111+($F111*0.5*($D111-1)))*(AJ$3-1)</f>
        <v>6920</v>
      </c>
      <c r="AK111" s="100">
        <f>Servant!$Y$6+($F111+($F111*0.5*($D111-1)))*(AK$3-1)</f>
        <v>7156</v>
      </c>
    </row>
    <row r="112" spans="2:37" x14ac:dyDescent="0.3">
      <c r="B112" s="287"/>
      <c r="C112" s="289"/>
      <c r="D112" s="54">
        <v>2</v>
      </c>
      <c r="E112" s="54">
        <f>ServantLevelUPdStatus!$M$6+(ServantLevelUPdStatus!$M$6*0.5*($D112-1))</f>
        <v>354</v>
      </c>
      <c r="F112" s="54">
        <f>F111</f>
        <v>236</v>
      </c>
      <c r="H112" s="55">
        <f>Servant!$Y$6+($F112+($F112*0.5*($D112-1)))*(H$3-1)</f>
        <v>312</v>
      </c>
      <c r="I112" s="55">
        <f>Servant!$Y$6+($F112+($F112*0.5*($D112-1)))*(I$3-1)</f>
        <v>666</v>
      </c>
      <c r="J112" s="55">
        <f>Servant!$Y$6+($F112+($F112*0.5*($D112-1)))*(J$3-1)</f>
        <v>1020</v>
      </c>
      <c r="K112" s="55">
        <f>Servant!$Y$6+($F112+($F112*0.5*($D112-1)))*(K$3-1)</f>
        <v>1374</v>
      </c>
      <c r="L112" s="55">
        <f>Servant!$Y$6+($F112+($F112*0.5*($D112-1)))*(L$3-1)</f>
        <v>1728</v>
      </c>
      <c r="M112" s="55">
        <f>Servant!$Y$6+($F112+($F112*0.5*($D112-1)))*(M$3-1)</f>
        <v>2082</v>
      </c>
      <c r="N112" s="55">
        <f>Servant!$Y$6+($F112+($F112*0.5*($D112-1)))*(N$3-1)</f>
        <v>2436</v>
      </c>
      <c r="O112" s="55">
        <f>Servant!$Y$6+($F112+($F112*0.5*($D112-1)))*(O$3-1)</f>
        <v>2790</v>
      </c>
      <c r="P112" s="55">
        <f>Servant!$Y$6+($F112+($F112*0.5*($D112-1)))*(P$3-1)</f>
        <v>3144</v>
      </c>
      <c r="Q112" s="55">
        <f>Servant!$Y$6+($F112+($F112*0.5*($D112-1)))*(Q$3-1)</f>
        <v>3498</v>
      </c>
      <c r="R112" s="55">
        <f>Servant!$Y$6+($F112+($F112*0.5*($D112-1)))*(R$3-1)</f>
        <v>3852</v>
      </c>
      <c r="S112" s="55">
        <f>Servant!$Y$6+($F112+($F112*0.5*($D112-1)))*(S$3-1)</f>
        <v>4206</v>
      </c>
      <c r="T112" s="55">
        <f>Servant!$Y$6+($F112+($F112*0.5*($D112-1)))*(T$3-1)</f>
        <v>4560</v>
      </c>
      <c r="U112" s="55">
        <f>Servant!$Y$6+($F112+($F112*0.5*($D112-1)))*(U$3-1)</f>
        <v>4914</v>
      </c>
      <c r="V112" s="55">
        <f>Servant!$Y$6+($F112+($F112*0.5*($D112-1)))*(V$3-1)</f>
        <v>5268</v>
      </c>
      <c r="W112" s="55">
        <f>Servant!$Y$6+($F112+($F112*0.5*($D112-1)))*(W$3-1)</f>
        <v>5622</v>
      </c>
      <c r="X112" s="55">
        <f>Servant!$Y$6+($F112+($F112*0.5*($D112-1)))*(X$3-1)</f>
        <v>5976</v>
      </c>
      <c r="Y112" s="55">
        <f>Servant!$Y$6+($F112+($F112*0.5*($D112-1)))*(Y$3-1)</f>
        <v>6330</v>
      </c>
      <c r="Z112" s="55">
        <f>Servant!$Y$6+($F112+($F112*0.5*($D112-1)))*(Z$3-1)</f>
        <v>6684</v>
      </c>
      <c r="AA112" s="55">
        <f>Servant!$Y$6+($F112+($F112*0.5*($D112-1)))*(AA$3-1)</f>
        <v>7038</v>
      </c>
      <c r="AB112" s="55">
        <f>Servant!$Y$6+($F112+($F112*0.5*($D112-1)))*(AB$3-1)</f>
        <v>7392</v>
      </c>
      <c r="AC112" s="55">
        <f>Servant!$Y$6+($F112+($F112*0.5*($D112-1)))*(AC$3-1)</f>
        <v>7746</v>
      </c>
      <c r="AD112" s="55">
        <f>Servant!$Y$6+($F112+($F112*0.5*($D112-1)))*(AD$3-1)</f>
        <v>8100</v>
      </c>
      <c r="AE112" s="55">
        <f>Servant!$Y$6+($F112+($F112*0.5*($D112-1)))*(AE$3-1)</f>
        <v>8454</v>
      </c>
      <c r="AF112" s="55">
        <f>Servant!$Y$6+($F112+($F112*0.5*($D112-1)))*(AF$3-1)</f>
        <v>8808</v>
      </c>
      <c r="AG112" s="55">
        <f>Servant!$Y$6+($F112+($F112*0.5*($D112-1)))*(AG$3-1)</f>
        <v>9162</v>
      </c>
      <c r="AH112" s="55">
        <f>Servant!$Y$6+($F112+($F112*0.5*($D112-1)))*(AH$3-1)</f>
        <v>9516</v>
      </c>
      <c r="AI112" s="100">
        <f>Servant!$Y$6+($F112+($F112*0.5*($D112-1)))*(AI$3-1)</f>
        <v>9870</v>
      </c>
      <c r="AJ112" s="100">
        <f>Servant!$Y$6+($F112+($F112*0.5*($D112-1)))*(AJ$3-1)</f>
        <v>10224</v>
      </c>
      <c r="AK112" s="100">
        <f>Servant!$Y$6+($F112+($F112*0.5*($D112-1)))*(AK$3-1)</f>
        <v>10578</v>
      </c>
    </row>
    <row r="113" spans="2:37" x14ac:dyDescent="0.3">
      <c r="B113" s="287"/>
      <c r="C113" s="289"/>
      <c r="D113" s="54">
        <v>3</v>
      </c>
      <c r="E113" s="54">
        <f>ServantLevelUPdStatus!$M$6+(ServantLevelUPdStatus!$M$6*0.5*($D113-1))</f>
        <v>472</v>
      </c>
      <c r="F113" s="54">
        <f>F112</f>
        <v>236</v>
      </c>
      <c r="H113" s="55">
        <f>Servant!$Y$6+($F113+($F113*0.5*($D113-1)))*(H$3-1)</f>
        <v>312</v>
      </c>
      <c r="I113" s="55">
        <f>Servant!$Y$6+($F113+($F113*0.5*($D113-1)))*(I$3-1)</f>
        <v>784</v>
      </c>
      <c r="J113" s="55">
        <f>Servant!$Y$6+($F113+($F113*0.5*($D113-1)))*(J$3-1)</f>
        <v>1256</v>
      </c>
      <c r="K113" s="55">
        <f>Servant!$Y$6+($F113+($F113*0.5*($D113-1)))*(K$3-1)</f>
        <v>1728</v>
      </c>
      <c r="L113" s="55">
        <f>Servant!$Y$6+($F113+($F113*0.5*($D113-1)))*(L$3-1)</f>
        <v>2200</v>
      </c>
      <c r="M113" s="55">
        <f>Servant!$Y$6+($F113+($F113*0.5*($D113-1)))*(M$3-1)</f>
        <v>2672</v>
      </c>
      <c r="N113" s="55">
        <f>Servant!$Y$6+($F113+($F113*0.5*($D113-1)))*(N$3-1)</f>
        <v>3144</v>
      </c>
      <c r="O113" s="55">
        <f>Servant!$Y$6+($F113+($F113*0.5*($D113-1)))*(O$3-1)</f>
        <v>3616</v>
      </c>
      <c r="P113" s="55">
        <f>Servant!$Y$6+($F113+($F113*0.5*($D113-1)))*(P$3-1)</f>
        <v>4088</v>
      </c>
      <c r="Q113" s="55">
        <f>Servant!$Y$6+($F113+($F113*0.5*($D113-1)))*(Q$3-1)</f>
        <v>4560</v>
      </c>
      <c r="R113" s="55">
        <f>Servant!$Y$6+($F113+($F113*0.5*($D113-1)))*(R$3-1)</f>
        <v>5032</v>
      </c>
      <c r="S113" s="55">
        <f>Servant!$Y$6+($F113+($F113*0.5*($D113-1)))*(S$3-1)</f>
        <v>5504</v>
      </c>
      <c r="T113" s="55">
        <f>Servant!$Y$6+($F113+($F113*0.5*($D113-1)))*(T$3-1)</f>
        <v>5976</v>
      </c>
      <c r="U113" s="55">
        <f>Servant!$Y$6+($F113+($F113*0.5*($D113-1)))*(U$3-1)</f>
        <v>6448</v>
      </c>
      <c r="V113" s="55">
        <f>Servant!$Y$6+($F113+($F113*0.5*($D113-1)))*(V$3-1)</f>
        <v>6920</v>
      </c>
      <c r="W113" s="55">
        <f>Servant!$Y$6+($F113+($F113*0.5*($D113-1)))*(W$3-1)</f>
        <v>7392</v>
      </c>
      <c r="X113" s="55">
        <f>Servant!$Y$6+($F113+($F113*0.5*($D113-1)))*(X$3-1)</f>
        <v>7864</v>
      </c>
      <c r="Y113" s="55">
        <f>Servant!$Y$6+($F113+($F113*0.5*($D113-1)))*(Y$3-1)</f>
        <v>8336</v>
      </c>
      <c r="Z113" s="55">
        <f>Servant!$Y$6+($F113+($F113*0.5*($D113-1)))*(Z$3-1)</f>
        <v>8808</v>
      </c>
      <c r="AA113" s="55">
        <f>Servant!$Y$6+($F113+($F113*0.5*($D113-1)))*(AA$3-1)</f>
        <v>9280</v>
      </c>
      <c r="AB113" s="55">
        <f>Servant!$Y$6+($F113+($F113*0.5*($D113-1)))*(AB$3-1)</f>
        <v>9752</v>
      </c>
      <c r="AC113" s="55">
        <f>Servant!$Y$6+($F113+($F113*0.5*($D113-1)))*(AC$3-1)</f>
        <v>10224</v>
      </c>
      <c r="AD113" s="55">
        <f>Servant!$Y$6+($F113+($F113*0.5*($D113-1)))*(AD$3-1)</f>
        <v>10696</v>
      </c>
      <c r="AE113" s="55">
        <f>Servant!$Y$6+($F113+($F113*0.5*($D113-1)))*(AE$3-1)</f>
        <v>11168</v>
      </c>
      <c r="AF113" s="55">
        <f>Servant!$Y$6+($F113+($F113*0.5*($D113-1)))*(AF$3-1)</f>
        <v>11640</v>
      </c>
      <c r="AG113" s="55">
        <f>Servant!$Y$6+($F113+($F113*0.5*($D113-1)))*(AG$3-1)</f>
        <v>12112</v>
      </c>
      <c r="AH113" s="55">
        <f>Servant!$Y$6+($F113+($F113*0.5*($D113-1)))*(AH$3-1)</f>
        <v>12584</v>
      </c>
      <c r="AI113" s="100">
        <f>Servant!$Y$6+($F113+($F113*0.5*($D113-1)))*(AI$3-1)</f>
        <v>13056</v>
      </c>
      <c r="AJ113" s="100">
        <f>Servant!$Y$6+($F113+($F113*0.5*($D113-1)))*(AJ$3-1)</f>
        <v>13528</v>
      </c>
      <c r="AK113" s="100">
        <f>Servant!$Y$6+($F113+($F113*0.5*($D113-1)))*(AK$3-1)</f>
        <v>14000</v>
      </c>
    </row>
    <row r="114" spans="2:37" x14ac:dyDescent="0.3">
      <c r="B114" s="287"/>
      <c r="C114" s="290" t="s">
        <v>243</v>
      </c>
      <c r="D114" s="52">
        <v>2</v>
      </c>
      <c r="E114" s="52">
        <f>ServantLevelUPdStatus!$M$12+(ServantLevelUPdStatus!$M$12*0.5*($D114-1))</f>
        <v>520.5</v>
      </c>
      <c r="F114" s="52">
        <f>ServantLevelUPdStatus!M$12</f>
        <v>347</v>
      </c>
      <c r="H114" s="53">
        <f>Servant!$Y$12+($F114+($F114*0.5*($D114-1)))*(H$3-1)</f>
        <v>468</v>
      </c>
      <c r="I114" s="53">
        <f>Servant!$Y$12+($F114+($F114*0.5*($D114-1)))*(I$3-1)</f>
        <v>988.5</v>
      </c>
      <c r="J114" s="53">
        <f>Servant!$Y$12+($F114+($F114*0.5*($D114-1)))*(J$3-1)</f>
        <v>1509</v>
      </c>
      <c r="K114" s="53">
        <f>Servant!$Y$12+($F114+($F114*0.5*($D114-1)))*(K$3-1)</f>
        <v>2029.5</v>
      </c>
      <c r="L114" s="53">
        <f>Servant!$Y$12+($F114+($F114*0.5*($D114-1)))*(L$3-1)</f>
        <v>2550</v>
      </c>
      <c r="M114" s="53">
        <f>Servant!$Y$12+($F114+($F114*0.5*($D114-1)))*(M$3-1)</f>
        <v>3070.5</v>
      </c>
      <c r="N114" s="53">
        <f>Servant!$Y$12+($F114+($F114*0.5*($D114-1)))*(N$3-1)</f>
        <v>3591</v>
      </c>
      <c r="O114" s="53">
        <f>Servant!$Y$12+($F114+($F114*0.5*($D114-1)))*(O$3-1)</f>
        <v>4111.5</v>
      </c>
      <c r="P114" s="53">
        <f>Servant!$Y$12+($F114+($F114*0.5*($D114-1)))*(P$3-1)</f>
        <v>4632</v>
      </c>
      <c r="Q114" s="53">
        <f>Servant!$Y$12+($F114+($F114*0.5*($D114-1)))*(Q$3-1)</f>
        <v>5152.5</v>
      </c>
      <c r="R114" s="53">
        <f>Servant!$Y$12+($F114+($F114*0.5*($D114-1)))*(R$3-1)</f>
        <v>5673</v>
      </c>
      <c r="S114" s="53">
        <f>Servant!$Y$12+($F114+($F114*0.5*($D114-1)))*(S$3-1)</f>
        <v>6193.5</v>
      </c>
      <c r="T114" s="53">
        <f>Servant!$Y$12+($F114+($F114*0.5*($D114-1)))*(T$3-1)</f>
        <v>6714</v>
      </c>
      <c r="U114" s="53">
        <f>Servant!$Y$12+($F114+($F114*0.5*($D114-1)))*(U$3-1)</f>
        <v>7234.5</v>
      </c>
      <c r="V114" s="53">
        <f>Servant!$Y$12+($F114+($F114*0.5*($D114-1)))*(V$3-1)</f>
        <v>7755</v>
      </c>
      <c r="W114" s="53">
        <f>Servant!$Y$12+($F114+($F114*0.5*($D114-1)))*(W$3-1)</f>
        <v>8275.5</v>
      </c>
      <c r="X114" s="53">
        <f>Servant!$Y$12+($F114+($F114*0.5*($D114-1)))*(X$3-1)</f>
        <v>8796</v>
      </c>
      <c r="Y114" s="53">
        <f>Servant!$Y$12+($F114+($F114*0.5*($D114-1)))*(Y$3-1)</f>
        <v>9316.5</v>
      </c>
      <c r="Z114" s="53">
        <f>Servant!$Y$12+($F114+($F114*0.5*($D114-1)))*(Z$3-1)</f>
        <v>9837</v>
      </c>
      <c r="AA114" s="53">
        <f>Servant!$Y$12+($F114+($F114*0.5*($D114-1)))*(AA$3-1)</f>
        <v>10357.5</v>
      </c>
      <c r="AB114" s="53">
        <f>Servant!$Y$12+($F114+($F114*0.5*($D114-1)))*(AB$3-1)</f>
        <v>10878</v>
      </c>
      <c r="AC114" s="53">
        <f>Servant!$Y$12+($F114+($F114*0.5*($D114-1)))*(AC$3-1)</f>
        <v>11398.5</v>
      </c>
      <c r="AD114" s="53">
        <f>Servant!$Y$12+($F114+($F114*0.5*($D114-1)))*(AD$3-1)</f>
        <v>11919</v>
      </c>
      <c r="AE114" s="53">
        <f>Servant!$Y$12+($F114+($F114*0.5*($D114-1)))*(AE$3-1)</f>
        <v>12439.5</v>
      </c>
      <c r="AF114" s="53">
        <f>Servant!$Y$12+($F114+($F114*0.5*($D114-1)))*(AF$3-1)</f>
        <v>12960</v>
      </c>
      <c r="AG114" s="53">
        <f>Servant!$Y$12+($F114+($F114*0.5*($D114-1)))*(AG$3-1)</f>
        <v>13480.5</v>
      </c>
      <c r="AH114" s="53">
        <f>Servant!$Y$12+($F114+($F114*0.5*($D114-1)))*(AH$3-1)</f>
        <v>14001</v>
      </c>
      <c r="AI114" s="101">
        <f>Servant!$Y$12+($F114+($F114*0.5*($D114-1)))*(AI$3-1)</f>
        <v>14521.5</v>
      </c>
      <c r="AJ114" s="101">
        <f>Servant!$Y$12+($F114+($F114*0.5*($D114-1)))*(AJ$3-1)</f>
        <v>15042</v>
      </c>
      <c r="AK114" s="101">
        <f>Servant!$Y$12+($F114+($F114*0.5*($D114-1)))*(AK$3-1)</f>
        <v>15562.5</v>
      </c>
    </row>
    <row r="115" spans="2:37" x14ac:dyDescent="0.3">
      <c r="B115" s="287"/>
      <c r="C115" s="290"/>
      <c r="D115" s="52">
        <v>3</v>
      </c>
      <c r="E115" s="52">
        <f>ServantLevelUPdStatus!$M$12+(ServantLevelUPdStatus!$M$12*0.5*($D115-1))</f>
        <v>694</v>
      </c>
      <c r="F115" s="52">
        <f>F114</f>
        <v>347</v>
      </c>
      <c r="H115" s="53">
        <f>Servant!$Y$12+($F115+($F115*0.5*($D115-1)))*(H$3-1)</f>
        <v>468</v>
      </c>
      <c r="I115" s="53">
        <f>Servant!$Y$12+($F115+($F115*0.5*($D115-1)))*(I$3-1)</f>
        <v>1162</v>
      </c>
      <c r="J115" s="53">
        <f>Servant!$Y$12+($F115+($F115*0.5*($D115-1)))*(J$3-1)</f>
        <v>1856</v>
      </c>
      <c r="K115" s="53">
        <f>Servant!$Y$12+($F115+($F115*0.5*($D115-1)))*(K$3-1)</f>
        <v>2550</v>
      </c>
      <c r="L115" s="53">
        <f>Servant!$Y$12+($F115+($F115*0.5*($D115-1)))*(L$3-1)</f>
        <v>3244</v>
      </c>
      <c r="M115" s="53">
        <f>Servant!$Y$12+($F115+($F115*0.5*($D115-1)))*(M$3-1)</f>
        <v>3938</v>
      </c>
      <c r="N115" s="53">
        <f>Servant!$Y$12+($F115+($F115*0.5*($D115-1)))*(N$3-1)</f>
        <v>4632</v>
      </c>
      <c r="O115" s="53">
        <f>Servant!$Y$12+($F115+($F115*0.5*($D115-1)))*(O$3-1)</f>
        <v>5326</v>
      </c>
      <c r="P115" s="53">
        <f>Servant!$Y$12+($F115+($F115*0.5*($D115-1)))*(P$3-1)</f>
        <v>6020</v>
      </c>
      <c r="Q115" s="53">
        <f>Servant!$Y$12+($F115+($F115*0.5*($D115-1)))*(Q$3-1)</f>
        <v>6714</v>
      </c>
      <c r="R115" s="53">
        <f>Servant!$Y$12+($F115+($F115*0.5*($D115-1)))*(R$3-1)</f>
        <v>7408</v>
      </c>
      <c r="S115" s="53">
        <f>Servant!$Y$12+($F115+($F115*0.5*($D115-1)))*(S$3-1)</f>
        <v>8102</v>
      </c>
      <c r="T115" s="53">
        <f>Servant!$Y$12+($F115+($F115*0.5*($D115-1)))*(T$3-1)</f>
        <v>8796</v>
      </c>
      <c r="U115" s="53">
        <f>Servant!$Y$12+($F115+($F115*0.5*($D115-1)))*(U$3-1)</f>
        <v>9490</v>
      </c>
      <c r="V115" s="53">
        <f>Servant!$Y$12+($F115+($F115*0.5*($D115-1)))*(V$3-1)</f>
        <v>10184</v>
      </c>
      <c r="W115" s="53">
        <f>Servant!$Y$12+($F115+($F115*0.5*($D115-1)))*(W$3-1)</f>
        <v>10878</v>
      </c>
      <c r="X115" s="53">
        <f>Servant!$Y$12+($F115+($F115*0.5*($D115-1)))*(X$3-1)</f>
        <v>11572</v>
      </c>
      <c r="Y115" s="53">
        <f>Servant!$Y$12+($F115+($F115*0.5*($D115-1)))*(Y$3-1)</f>
        <v>12266</v>
      </c>
      <c r="Z115" s="53">
        <f>Servant!$Y$12+($F115+($F115*0.5*($D115-1)))*(Z$3-1)</f>
        <v>12960</v>
      </c>
      <c r="AA115" s="53">
        <f>Servant!$Y$12+($F115+($F115*0.5*($D115-1)))*(AA$3-1)</f>
        <v>13654</v>
      </c>
      <c r="AB115" s="53">
        <f>Servant!$Y$12+($F115+($F115*0.5*($D115-1)))*(AB$3-1)</f>
        <v>14348</v>
      </c>
      <c r="AC115" s="53">
        <f>Servant!$Y$12+($F115+($F115*0.5*($D115-1)))*(AC$3-1)</f>
        <v>15042</v>
      </c>
      <c r="AD115" s="53">
        <f>Servant!$Y$12+($F115+($F115*0.5*($D115-1)))*(AD$3-1)</f>
        <v>15736</v>
      </c>
      <c r="AE115" s="53">
        <f>Servant!$Y$12+($F115+($F115*0.5*($D115-1)))*(AE$3-1)</f>
        <v>16430</v>
      </c>
      <c r="AF115" s="53">
        <f>Servant!$Y$12+($F115+($F115*0.5*($D115-1)))*(AF$3-1)</f>
        <v>17124</v>
      </c>
      <c r="AG115" s="53">
        <f>Servant!$Y$12+($F115+($F115*0.5*($D115-1)))*(AG$3-1)</f>
        <v>17818</v>
      </c>
      <c r="AH115" s="53">
        <f>Servant!$Y$12+($F115+($F115*0.5*($D115-1)))*(AH$3-1)</f>
        <v>18512</v>
      </c>
      <c r="AI115" s="101">
        <f>Servant!$Y$12+($F115+($F115*0.5*($D115-1)))*(AI$3-1)</f>
        <v>19206</v>
      </c>
      <c r="AJ115" s="101">
        <f>Servant!$Y$12+($F115+($F115*0.5*($D115-1)))*(AJ$3-1)</f>
        <v>19900</v>
      </c>
      <c r="AK115" s="101">
        <f>Servant!$Y$12+($F115+($F115*0.5*($D115-1)))*(AK$3-1)</f>
        <v>20594</v>
      </c>
    </row>
    <row r="116" spans="2:37" x14ac:dyDescent="0.3">
      <c r="B116" s="287"/>
      <c r="C116" s="290"/>
      <c r="D116" s="52">
        <v>4</v>
      </c>
      <c r="E116" s="52">
        <f>ServantLevelUPdStatus!$M$12+(ServantLevelUPdStatus!$M$12*0.5*($D116-1))</f>
        <v>867.5</v>
      </c>
      <c r="F116" s="52">
        <f>F115</f>
        <v>347</v>
      </c>
      <c r="H116" s="53">
        <f>Servant!$Y$12+($F116+($F116*0.5*($D116-1)))*(H$3-1)</f>
        <v>468</v>
      </c>
      <c r="I116" s="53">
        <f>Servant!$Y$12+($F116+($F116*0.5*($D116-1)))*(I$3-1)</f>
        <v>1335.5</v>
      </c>
      <c r="J116" s="53">
        <f>Servant!$Y$12+($F116+($F116*0.5*($D116-1)))*(J$3-1)</f>
        <v>2203</v>
      </c>
      <c r="K116" s="53">
        <f>Servant!$Y$12+($F116+($F116*0.5*($D116-1)))*(K$3-1)</f>
        <v>3070.5</v>
      </c>
      <c r="L116" s="53">
        <f>Servant!$Y$12+($F116+($F116*0.5*($D116-1)))*(L$3-1)</f>
        <v>3938</v>
      </c>
      <c r="M116" s="53">
        <f>Servant!$Y$12+($F116+($F116*0.5*($D116-1)))*(M$3-1)</f>
        <v>4805.5</v>
      </c>
      <c r="N116" s="53">
        <f>Servant!$Y$12+($F116+($F116*0.5*($D116-1)))*(N$3-1)</f>
        <v>5673</v>
      </c>
      <c r="O116" s="53">
        <f>Servant!$Y$12+($F116+($F116*0.5*($D116-1)))*(O$3-1)</f>
        <v>6540.5</v>
      </c>
      <c r="P116" s="53">
        <f>Servant!$Y$12+($F116+($F116*0.5*($D116-1)))*(P$3-1)</f>
        <v>7408</v>
      </c>
      <c r="Q116" s="53">
        <f>Servant!$Y$12+($F116+($F116*0.5*($D116-1)))*(Q$3-1)</f>
        <v>8275.5</v>
      </c>
      <c r="R116" s="53">
        <f>Servant!$Y$12+($F116+($F116*0.5*($D116-1)))*(R$3-1)</f>
        <v>9143</v>
      </c>
      <c r="S116" s="53">
        <f>Servant!$Y$12+($F116+($F116*0.5*($D116-1)))*(S$3-1)</f>
        <v>10010.5</v>
      </c>
      <c r="T116" s="53">
        <f>Servant!$Y$12+($F116+($F116*0.5*($D116-1)))*(T$3-1)</f>
        <v>10878</v>
      </c>
      <c r="U116" s="53">
        <f>Servant!$Y$12+($F116+($F116*0.5*($D116-1)))*(U$3-1)</f>
        <v>11745.5</v>
      </c>
      <c r="V116" s="53">
        <f>Servant!$Y$12+($F116+($F116*0.5*($D116-1)))*(V$3-1)</f>
        <v>12613</v>
      </c>
      <c r="W116" s="53">
        <f>Servant!$Y$12+($F116+($F116*0.5*($D116-1)))*(W$3-1)</f>
        <v>13480.5</v>
      </c>
      <c r="X116" s="53">
        <f>Servant!$Y$12+($F116+($F116*0.5*($D116-1)))*(X$3-1)</f>
        <v>14348</v>
      </c>
      <c r="Y116" s="53">
        <f>Servant!$Y$12+($F116+($F116*0.5*($D116-1)))*(Y$3-1)</f>
        <v>15215.5</v>
      </c>
      <c r="Z116" s="53">
        <f>Servant!$Y$12+($F116+($F116*0.5*($D116-1)))*(Z$3-1)</f>
        <v>16083</v>
      </c>
      <c r="AA116" s="53">
        <f>Servant!$Y$12+($F116+($F116*0.5*($D116-1)))*(AA$3-1)</f>
        <v>16950.5</v>
      </c>
      <c r="AB116" s="53">
        <f>Servant!$Y$12+($F116+($F116*0.5*($D116-1)))*(AB$3-1)</f>
        <v>17818</v>
      </c>
      <c r="AC116" s="53">
        <f>Servant!$Y$12+($F116+($F116*0.5*($D116-1)))*(AC$3-1)</f>
        <v>18685.5</v>
      </c>
      <c r="AD116" s="53">
        <f>Servant!$Y$12+($F116+($F116*0.5*($D116-1)))*(AD$3-1)</f>
        <v>19553</v>
      </c>
      <c r="AE116" s="53">
        <f>Servant!$Y$12+($F116+($F116*0.5*($D116-1)))*(AE$3-1)</f>
        <v>20420.5</v>
      </c>
      <c r="AF116" s="53">
        <f>Servant!$Y$12+($F116+($F116*0.5*($D116-1)))*(AF$3-1)</f>
        <v>21288</v>
      </c>
      <c r="AG116" s="53">
        <f>Servant!$Y$12+($F116+($F116*0.5*($D116-1)))*(AG$3-1)</f>
        <v>22155.5</v>
      </c>
      <c r="AH116" s="53">
        <f>Servant!$Y$12+($F116+($F116*0.5*($D116-1)))*(AH$3-1)</f>
        <v>23023</v>
      </c>
      <c r="AI116" s="101">
        <f>Servant!$Y$12+($F116+($F116*0.5*($D116-1)))*(AI$3-1)</f>
        <v>23890.5</v>
      </c>
      <c r="AJ116" s="101">
        <f>Servant!$Y$12+($F116+($F116*0.5*($D116-1)))*(AJ$3-1)</f>
        <v>24758</v>
      </c>
      <c r="AK116" s="101">
        <f>Servant!$Y$12+($F116+($F116*0.5*($D116-1)))*(AK$3-1)</f>
        <v>25625.5</v>
      </c>
    </row>
    <row r="117" spans="2:37" x14ac:dyDescent="0.3">
      <c r="B117" s="287"/>
      <c r="C117" s="291" t="s">
        <v>244</v>
      </c>
      <c r="D117" s="56">
        <v>3</v>
      </c>
      <c r="E117" s="56">
        <f>ServantLevelUPdStatus!$M$18+(ServantLevelUPdStatus!$M$18*0.5*($D117-1))</f>
        <v>970</v>
      </c>
      <c r="F117" s="56">
        <f>ServantLevelUPdStatus!M$18</f>
        <v>485</v>
      </c>
      <c r="H117" s="57">
        <f>Servant!$Y$18+($F117+($F117*0.5*($D117-1)))*(H$3-1)</f>
        <v>702</v>
      </c>
      <c r="I117" s="57">
        <f>Servant!$Y$18+($F117+($F117*0.5*($D117-1)))*(I$3-1)</f>
        <v>1672</v>
      </c>
      <c r="J117" s="57">
        <f>Servant!$Y$18+($F117+($F117*0.5*($D117-1)))*(J$3-1)</f>
        <v>2642</v>
      </c>
      <c r="K117" s="57">
        <f>Servant!$Y$18+($F117+($F117*0.5*($D117-1)))*(K$3-1)</f>
        <v>3612</v>
      </c>
      <c r="L117" s="57">
        <f>Servant!$Y$18+($F117+($F117*0.5*($D117-1)))*(L$3-1)</f>
        <v>4582</v>
      </c>
      <c r="M117" s="57">
        <f>Servant!$Y$18+($F117+($F117*0.5*($D117-1)))*(M$3-1)</f>
        <v>5552</v>
      </c>
      <c r="N117" s="57">
        <f>Servant!$Y$18+($F117+($F117*0.5*($D117-1)))*(N$3-1)</f>
        <v>6522</v>
      </c>
      <c r="O117" s="57">
        <f>Servant!$Y$18+($F117+($F117*0.5*($D117-1)))*(O$3-1)</f>
        <v>7492</v>
      </c>
      <c r="P117" s="57">
        <f>Servant!$Y$18+($F117+($F117*0.5*($D117-1)))*(P$3-1)</f>
        <v>8462</v>
      </c>
      <c r="Q117" s="57">
        <f>Servant!$Y$18+($F117+($F117*0.5*($D117-1)))*(Q$3-1)</f>
        <v>9432</v>
      </c>
      <c r="R117" s="57">
        <f>Servant!$Y$18+($F117+($F117*0.5*($D117-1)))*(R$3-1)</f>
        <v>10402</v>
      </c>
      <c r="S117" s="57">
        <f>Servant!$Y$18+($F117+($F117*0.5*($D117-1)))*(S$3-1)</f>
        <v>11372</v>
      </c>
      <c r="T117" s="57">
        <f>Servant!$Y$18+($F117+($F117*0.5*($D117-1)))*(T$3-1)</f>
        <v>12342</v>
      </c>
      <c r="U117" s="57">
        <f>Servant!$Y$18+($F117+($F117*0.5*($D117-1)))*(U$3-1)</f>
        <v>13312</v>
      </c>
      <c r="V117" s="57">
        <f>Servant!$Y$18+($F117+($F117*0.5*($D117-1)))*(V$3-1)</f>
        <v>14282</v>
      </c>
      <c r="W117" s="57">
        <f>Servant!$Y$18+($F117+($F117*0.5*($D117-1)))*(W$3-1)</f>
        <v>15252</v>
      </c>
      <c r="X117" s="57">
        <f>Servant!$Y$18+($F117+($F117*0.5*($D117-1)))*(X$3-1)</f>
        <v>16222</v>
      </c>
      <c r="Y117" s="57">
        <f>Servant!$Y$18+($F117+($F117*0.5*($D117-1)))*(Y$3-1)</f>
        <v>17192</v>
      </c>
      <c r="Z117" s="57">
        <f>Servant!$Y$18+($F117+($F117*0.5*($D117-1)))*(Z$3-1)</f>
        <v>18162</v>
      </c>
      <c r="AA117" s="57">
        <f>Servant!$Y$18+($F117+($F117*0.5*($D117-1)))*(AA$3-1)</f>
        <v>19132</v>
      </c>
      <c r="AB117" s="57">
        <f>Servant!$Y$18+($F117+($F117*0.5*($D117-1)))*(AB$3-1)</f>
        <v>20102</v>
      </c>
      <c r="AC117" s="57">
        <f>Servant!$Y$18+($F117+($F117*0.5*($D117-1)))*(AC$3-1)</f>
        <v>21072</v>
      </c>
      <c r="AD117" s="57">
        <f>Servant!$Y$18+($F117+($F117*0.5*($D117-1)))*(AD$3-1)</f>
        <v>22042</v>
      </c>
      <c r="AE117" s="57">
        <f>Servant!$Y$18+($F117+($F117*0.5*($D117-1)))*(AE$3-1)</f>
        <v>23012</v>
      </c>
      <c r="AF117" s="57">
        <f>Servant!$Y$18+($F117+($F117*0.5*($D117-1)))*(AF$3-1)</f>
        <v>23982</v>
      </c>
      <c r="AG117" s="57">
        <f>Servant!$Y$18+($F117+($F117*0.5*($D117-1)))*(AG$3-1)</f>
        <v>24952</v>
      </c>
      <c r="AH117" s="57">
        <f>Servant!$Y$18+($F117+($F117*0.5*($D117-1)))*(AH$3-1)</f>
        <v>25922</v>
      </c>
      <c r="AI117" s="102">
        <f>Servant!$Y$18+($F117+($F117*0.5*($D117-1)))*(AI$3-1)</f>
        <v>26892</v>
      </c>
      <c r="AJ117" s="102">
        <f>Servant!$Y$18+($F117+($F117*0.5*($D117-1)))*(AJ$3-1)</f>
        <v>27862</v>
      </c>
      <c r="AK117" s="102">
        <f>Servant!$Y$18+($F117+($F117*0.5*($D117-1)))*(AK$3-1)</f>
        <v>28832</v>
      </c>
    </row>
    <row r="118" spans="2:37" x14ac:dyDescent="0.3">
      <c r="B118" s="287"/>
      <c r="C118" s="291"/>
      <c r="D118" s="56">
        <v>4</v>
      </c>
      <c r="E118" s="56">
        <f>ServantLevelUPdStatus!$M$18+(ServantLevelUPdStatus!$M$18*0.5*($D118-1))</f>
        <v>1212.5</v>
      </c>
      <c r="F118" s="56">
        <f>F117</f>
        <v>485</v>
      </c>
      <c r="H118" s="57">
        <f>Servant!$Y$18+($F118+($F118*0.5*($D118-1)))*(H$3-1)</f>
        <v>702</v>
      </c>
      <c r="I118" s="57">
        <f>Servant!$Y$18+($F118+($F118*0.5*($D118-1)))*(I$3-1)</f>
        <v>1914.5</v>
      </c>
      <c r="J118" s="57">
        <f>Servant!$Y$18+($F118+($F118*0.5*($D118-1)))*(J$3-1)</f>
        <v>3127</v>
      </c>
      <c r="K118" s="57">
        <f>Servant!$Y$18+($F118+($F118*0.5*($D118-1)))*(K$3-1)</f>
        <v>4339.5</v>
      </c>
      <c r="L118" s="57">
        <f>Servant!$Y$18+($F118+($F118*0.5*($D118-1)))*(L$3-1)</f>
        <v>5552</v>
      </c>
      <c r="M118" s="57">
        <f>Servant!$Y$18+($F118+($F118*0.5*($D118-1)))*(M$3-1)</f>
        <v>6764.5</v>
      </c>
      <c r="N118" s="57">
        <f>Servant!$Y$18+($F118+($F118*0.5*($D118-1)))*(N$3-1)</f>
        <v>7977</v>
      </c>
      <c r="O118" s="57">
        <f>Servant!$Y$18+($F118+($F118*0.5*($D118-1)))*(O$3-1)</f>
        <v>9189.5</v>
      </c>
      <c r="P118" s="57">
        <f>Servant!$Y$18+($F118+($F118*0.5*($D118-1)))*(P$3-1)</f>
        <v>10402</v>
      </c>
      <c r="Q118" s="57">
        <f>Servant!$Y$18+($F118+($F118*0.5*($D118-1)))*(Q$3-1)</f>
        <v>11614.5</v>
      </c>
      <c r="R118" s="57">
        <f>Servant!$Y$18+($F118+($F118*0.5*($D118-1)))*(R$3-1)</f>
        <v>12827</v>
      </c>
      <c r="S118" s="57">
        <f>Servant!$Y$18+($F118+($F118*0.5*($D118-1)))*(S$3-1)</f>
        <v>14039.5</v>
      </c>
      <c r="T118" s="57">
        <f>Servant!$Y$18+($F118+($F118*0.5*($D118-1)))*(T$3-1)</f>
        <v>15252</v>
      </c>
      <c r="U118" s="57">
        <f>Servant!$Y$18+($F118+($F118*0.5*($D118-1)))*(U$3-1)</f>
        <v>16464.5</v>
      </c>
      <c r="V118" s="57">
        <f>Servant!$Y$18+($F118+($F118*0.5*($D118-1)))*(V$3-1)</f>
        <v>17677</v>
      </c>
      <c r="W118" s="57">
        <f>Servant!$Y$18+($F118+($F118*0.5*($D118-1)))*(W$3-1)</f>
        <v>18889.5</v>
      </c>
      <c r="X118" s="57">
        <f>Servant!$Y$18+($F118+($F118*0.5*($D118-1)))*(X$3-1)</f>
        <v>20102</v>
      </c>
      <c r="Y118" s="57">
        <f>Servant!$Y$18+($F118+($F118*0.5*($D118-1)))*(Y$3-1)</f>
        <v>21314.5</v>
      </c>
      <c r="Z118" s="57">
        <f>Servant!$Y$18+($F118+($F118*0.5*($D118-1)))*(Z$3-1)</f>
        <v>22527</v>
      </c>
      <c r="AA118" s="57">
        <f>Servant!$Y$18+($F118+($F118*0.5*($D118-1)))*(AA$3-1)</f>
        <v>23739.5</v>
      </c>
      <c r="AB118" s="57">
        <f>Servant!$Y$18+($F118+($F118*0.5*($D118-1)))*(AB$3-1)</f>
        <v>24952</v>
      </c>
      <c r="AC118" s="57">
        <f>Servant!$Y$18+($F118+($F118*0.5*($D118-1)))*(AC$3-1)</f>
        <v>26164.5</v>
      </c>
      <c r="AD118" s="57">
        <f>Servant!$Y$18+($F118+($F118*0.5*($D118-1)))*(AD$3-1)</f>
        <v>27377</v>
      </c>
      <c r="AE118" s="57">
        <f>Servant!$Y$18+($F118+($F118*0.5*($D118-1)))*(AE$3-1)</f>
        <v>28589.5</v>
      </c>
      <c r="AF118" s="57">
        <f>Servant!$Y$18+($F118+($F118*0.5*($D118-1)))*(AF$3-1)</f>
        <v>29802</v>
      </c>
      <c r="AG118" s="57">
        <f>Servant!$Y$18+($F118+($F118*0.5*($D118-1)))*(AG$3-1)</f>
        <v>31014.5</v>
      </c>
      <c r="AH118" s="57">
        <f>Servant!$Y$18+($F118+($F118*0.5*($D118-1)))*(AH$3-1)</f>
        <v>32227</v>
      </c>
      <c r="AI118" s="102">
        <f>Servant!$Y$18+($F118+($F118*0.5*($D118-1)))*(AI$3-1)</f>
        <v>33439.5</v>
      </c>
      <c r="AJ118" s="102">
        <f>Servant!$Y$18+($F118+($F118*0.5*($D118-1)))*(AJ$3-1)</f>
        <v>34652</v>
      </c>
      <c r="AK118" s="102">
        <f>Servant!$Y$18+($F118+($F118*0.5*($D118-1)))*(AK$3-1)</f>
        <v>35864.5</v>
      </c>
    </row>
    <row r="119" spans="2:37" x14ac:dyDescent="0.3">
      <c r="B119" s="287"/>
      <c r="C119" s="291"/>
      <c r="D119" s="56">
        <v>5</v>
      </c>
      <c r="E119" s="56">
        <f>ServantLevelUPdStatus!$M$18+(ServantLevelUPdStatus!$M$18*0.5*($D119-1))</f>
        <v>1455</v>
      </c>
      <c r="F119" s="56">
        <f>F118</f>
        <v>485</v>
      </c>
      <c r="H119" s="57">
        <f>Servant!$Y$18+($F119+($F119*0.5*($D119-1)))*(H$3-1)</f>
        <v>702</v>
      </c>
      <c r="I119" s="57">
        <f>Servant!$Y$18+($F119+($F119*0.5*($D119-1)))*(I$3-1)</f>
        <v>2157</v>
      </c>
      <c r="J119" s="57">
        <f>Servant!$Y$18+($F119+($F119*0.5*($D119-1)))*(J$3-1)</f>
        <v>3612</v>
      </c>
      <c r="K119" s="57">
        <f>Servant!$Y$18+($F119+($F119*0.5*($D119-1)))*(K$3-1)</f>
        <v>5067</v>
      </c>
      <c r="L119" s="57">
        <f>Servant!$Y$18+($F119+($F119*0.5*($D119-1)))*(L$3-1)</f>
        <v>6522</v>
      </c>
      <c r="M119" s="57">
        <f>Servant!$Y$18+($F119+($F119*0.5*($D119-1)))*(M$3-1)</f>
        <v>7977</v>
      </c>
      <c r="N119" s="57">
        <f>Servant!$Y$18+($F119+($F119*0.5*($D119-1)))*(N$3-1)</f>
        <v>9432</v>
      </c>
      <c r="O119" s="57">
        <f>Servant!$Y$18+($F119+($F119*0.5*($D119-1)))*(O$3-1)</f>
        <v>10887</v>
      </c>
      <c r="P119" s="57">
        <f>Servant!$Y$18+($F119+($F119*0.5*($D119-1)))*(P$3-1)</f>
        <v>12342</v>
      </c>
      <c r="Q119" s="57">
        <f>Servant!$Y$18+($F119+($F119*0.5*($D119-1)))*(Q$3-1)</f>
        <v>13797</v>
      </c>
      <c r="R119" s="57">
        <f>Servant!$Y$18+($F119+($F119*0.5*($D119-1)))*(R$3-1)</f>
        <v>15252</v>
      </c>
      <c r="S119" s="57">
        <f>Servant!$Y$18+($F119+($F119*0.5*($D119-1)))*(S$3-1)</f>
        <v>16707</v>
      </c>
      <c r="T119" s="57">
        <f>Servant!$Y$18+($F119+($F119*0.5*($D119-1)))*(T$3-1)</f>
        <v>18162</v>
      </c>
      <c r="U119" s="57">
        <f>Servant!$Y$18+($F119+($F119*0.5*($D119-1)))*(U$3-1)</f>
        <v>19617</v>
      </c>
      <c r="V119" s="57">
        <f>Servant!$Y$18+($F119+($F119*0.5*($D119-1)))*(V$3-1)</f>
        <v>21072</v>
      </c>
      <c r="W119" s="57">
        <f>Servant!$Y$18+($F119+($F119*0.5*($D119-1)))*(W$3-1)</f>
        <v>22527</v>
      </c>
      <c r="X119" s="57">
        <f>Servant!$Y$18+($F119+($F119*0.5*($D119-1)))*(X$3-1)</f>
        <v>23982</v>
      </c>
      <c r="Y119" s="57">
        <f>Servant!$Y$18+($F119+($F119*0.5*($D119-1)))*(Y$3-1)</f>
        <v>25437</v>
      </c>
      <c r="Z119" s="57">
        <f>Servant!$Y$18+($F119+($F119*0.5*($D119-1)))*(Z$3-1)</f>
        <v>26892</v>
      </c>
      <c r="AA119" s="57">
        <f>Servant!$Y$18+($F119+($F119*0.5*($D119-1)))*(AA$3-1)</f>
        <v>28347</v>
      </c>
      <c r="AB119" s="57">
        <f>Servant!$Y$18+($F119+($F119*0.5*($D119-1)))*(AB$3-1)</f>
        <v>29802</v>
      </c>
      <c r="AC119" s="57">
        <f>Servant!$Y$18+($F119+($F119*0.5*($D119-1)))*(AC$3-1)</f>
        <v>31257</v>
      </c>
      <c r="AD119" s="57">
        <f>Servant!$Y$18+($F119+($F119*0.5*($D119-1)))*(AD$3-1)</f>
        <v>32712</v>
      </c>
      <c r="AE119" s="57">
        <f>Servant!$Y$18+($F119+($F119*0.5*($D119-1)))*(AE$3-1)</f>
        <v>34167</v>
      </c>
      <c r="AF119" s="57">
        <f>Servant!$Y$18+($F119+($F119*0.5*($D119-1)))*(AF$3-1)</f>
        <v>35622</v>
      </c>
      <c r="AG119" s="57">
        <f>Servant!$Y$18+($F119+($F119*0.5*($D119-1)))*(AG$3-1)</f>
        <v>37077</v>
      </c>
      <c r="AH119" s="57">
        <f>Servant!$Y$18+($F119+($F119*0.5*($D119-1)))*(AH$3-1)</f>
        <v>38532</v>
      </c>
      <c r="AI119" s="102">
        <f>Servant!$Y$18+($F119+($F119*0.5*($D119-1)))*(AI$3-1)</f>
        <v>39987</v>
      </c>
      <c r="AJ119" s="102">
        <f>Servant!$Y$18+($F119+($F119*0.5*($D119-1)))*(AJ$3-1)</f>
        <v>41442</v>
      </c>
      <c r="AK119" s="102">
        <f>Servant!$Y$18+($F119+($F119*0.5*($D119-1)))*(AK$3-1)</f>
        <v>42897</v>
      </c>
    </row>
    <row r="120" spans="2:37" x14ac:dyDescent="0.3">
      <c r="B120" s="287"/>
      <c r="C120" s="292" t="s">
        <v>245</v>
      </c>
      <c r="D120" s="58">
        <v>4</v>
      </c>
      <c r="E120" s="58">
        <f>ServantLevelUPdStatus!$M$22+(ServantLevelUPdStatus!$M$22*0.5*($D120-1))</f>
        <v>1445</v>
      </c>
      <c r="F120" s="58">
        <f>ServantLevelUPdStatus!M$22</f>
        <v>578</v>
      </c>
      <c r="H120" s="59">
        <f>Servant!$Y$22+($F120+($F120*0.5*($D120-1)))*(H$3-1)</f>
        <v>1053</v>
      </c>
      <c r="I120" s="59">
        <f>Servant!$Y$22+($F120+($F120*0.5*($D120-1)))*(I$3-1)</f>
        <v>2498</v>
      </c>
      <c r="J120" s="59">
        <f>Servant!$Y$22+($F120+($F120*0.5*($D120-1)))*(J$3-1)</f>
        <v>3943</v>
      </c>
      <c r="K120" s="59">
        <f>Servant!$Y$22+($F120+($F120*0.5*($D120-1)))*(K$3-1)</f>
        <v>5388</v>
      </c>
      <c r="L120" s="59">
        <f>Servant!$Y$22+($F120+($F120*0.5*($D120-1)))*(L$3-1)</f>
        <v>6833</v>
      </c>
      <c r="M120" s="59">
        <f>Servant!$Y$22+($F120+($F120*0.5*($D120-1)))*(M$3-1)</f>
        <v>8278</v>
      </c>
      <c r="N120" s="59">
        <f>Servant!$Y$22+($F120+($F120*0.5*($D120-1)))*(N$3-1)</f>
        <v>9723</v>
      </c>
      <c r="O120" s="59">
        <f>Servant!$Y$22+($F120+($F120*0.5*($D120-1)))*(O$3-1)</f>
        <v>11168</v>
      </c>
      <c r="P120" s="59">
        <f>Servant!$Y$22+($F120+($F120*0.5*($D120-1)))*(P$3-1)</f>
        <v>12613</v>
      </c>
      <c r="Q120" s="59">
        <f>Servant!$Y$22+($F120+($F120*0.5*($D120-1)))*(Q$3-1)</f>
        <v>14058</v>
      </c>
      <c r="R120" s="59">
        <f>Servant!$Y$22+($F120+($F120*0.5*($D120-1)))*(R$3-1)</f>
        <v>15503</v>
      </c>
      <c r="S120" s="59">
        <f>Servant!$Y$22+($F120+($F120*0.5*($D120-1)))*(S$3-1)</f>
        <v>16948</v>
      </c>
      <c r="T120" s="59">
        <f>Servant!$Y$22+($F120+($F120*0.5*($D120-1)))*(T$3-1)</f>
        <v>18393</v>
      </c>
      <c r="U120" s="59">
        <f>Servant!$Y$22+($F120+($F120*0.5*($D120-1)))*(U$3-1)</f>
        <v>19838</v>
      </c>
      <c r="V120" s="59">
        <f>Servant!$Y$22+($F120+($F120*0.5*($D120-1)))*(V$3-1)</f>
        <v>21283</v>
      </c>
      <c r="W120" s="59">
        <f>Servant!$Y$22+($F120+($F120*0.5*($D120-1)))*(W$3-1)</f>
        <v>22728</v>
      </c>
      <c r="X120" s="59">
        <f>Servant!$Y$22+($F120+($F120*0.5*($D120-1)))*(X$3-1)</f>
        <v>24173</v>
      </c>
      <c r="Y120" s="59">
        <f>Servant!$Y$22+($F120+($F120*0.5*($D120-1)))*(Y$3-1)</f>
        <v>25618</v>
      </c>
      <c r="Z120" s="59">
        <f>Servant!$Y$22+($F120+($F120*0.5*($D120-1)))*(Z$3-1)</f>
        <v>27063</v>
      </c>
      <c r="AA120" s="59">
        <f>Servant!$Y$22+($F120+($F120*0.5*($D120-1)))*(AA$3-1)</f>
        <v>28508</v>
      </c>
      <c r="AB120" s="59">
        <f>Servant!$Y$22+($F120+($F120*0.5*($D120-1)))*(AB$3-1)</f>
        <v>29953</v>
      </c>
      <c r="AC120" s="59">
        <f>Servant!$Y$22+($F120+($F120*0.5*($D120-1)))*(AC$3-1)</f>
        <v>31398</v>
      </c>
      <c r="AD120" s="59">
        <f>Servant!$Y$22+($F120+($F120*0.5*($D120-1)))*(AD$3-1)</f>
        <v>32843</v>
      </c>
      <c r="AE120" s="59">
        <f>Servant!$Y$22+($F120+($F120*0.5*($D120-1)))*(AE$3-1)</f>
        <v>34288</v>
      </c>
      <c r="AF120" s="59">
        <f>Servant!$Y$22+($F120+($F120*0.5*($D120-1)))*(AF$3-1)</f>
        <v>35733</v>
      </c>
      <c r="AG120" s="59">
        <f>Servant!$Y$22+($F120+($F120*0.5*($D120-1)))*(AG$3-1)</f>
        <v>37178</v>
      </c>
      <c r="AH120" s="59">
        <f>Servant!$Y$22+($F120+($F120*0.5*($D120-1)))*(AH$3-1)</f>
        <v>38623</v>
      </c>
      <c r="AI120" s="103">
        <f>Servant!$Y$22+($F120+($F120*0.5*($D120-1)))*(AI$3-1)</f>
        <v>40068</v>
      </c>
      <c r="AJ120" s="103">
        <f>Servant!$Y$22+($F120+($F120*0.5*($D120-1)))*(AJ$3-1)</f>
        <v>41513</v>
      </c>
      <c r="AK120" s="103">
        <f>Servant!$Y$22+($F120+($F120*0.5*($D120-1)))*(AK$3-1)</f>
        <v>42958</v>
      </c>
    </row>
    <row r="121" spans="2:37" x14ac:dyDescent="0.3">
      <c r="B121" s="287"/>
      <c r="C121" s="292"/>
      <c r="D121" s="58">
        <v>5</v>
      </c>
      <c r="E121" s="58">
        <f>ServantLevelUPdStatus!$M$22+(ServantLevelUPdStatus!$M$22*0.5*($D121-1))</f>
        <v>1734</v>
      </c>
      <c r="F121" s="58">
        <f>F120</f>
        <v>578</v>
      </c>
      <c r="H121" s="59">
        <f>Servant!$Y$22+($F121+($F121*0.5*($D121-1)))*(H$3-1)</f>
        <v>1053</v>
      </c>
      <c r="I121" s="59">
        <f>Servant!$Y$22+($F121+($F121*0.5*($D121-1)))*(I$3-1)</f>
        <v>2787</v>
      </c>
      <c r="J121" s="59">
        <f>Servant!$Y$22+($F121+($F121*0.5*($D121-1)))*(J$3-1)</f>
        <v>4521</v>
      </c>
      <c r="K121" s="59">
        <f>Servant!$Y$22+($F121+($F121*0.5*($D121-1)))*(K$3-1)</f>
        <v>6255</v>
      </c>
      <c r="L121" s="59">
        <f>Servant!$Y$22+($F121+($F121*0.5*($D121-1)))*(L$3-1)</f>
        <v>7989</v>
      </c>
      <c r="M121" s="59">
        <f>Servant!$Y$22+($F121+($F121*0.5*($D121-1)))*(M$3-1)</f>
        <v>9723</v>
      </c>
      <c r="N121" s="59">
        <f>Servant!$Y$22+($F121+($F121*0.5*($D121-1)))*(N$3-1)</f>
        <v>11457</v>
      </c>
      <c r="O121" s="59">
        <f>Servant!$Y$22+($F121+($F121*0.5*($D121-1)))*(O$3-1)</f>
        <v>13191</v>
      </c>
      <c r="P121" s="59">
        <f>Servant!$Y$22+($F121+($F121*0.5*($D121-1)))*(P$3-1)</f>
        <v>14925</v>
      </c>
      <c r="Q121" s="59">
        <f>Servant!$Y$22+($F121+($F121*0.5*($D121-1)))*(Q$3-1)</f>
        <v>16659</v>
      </c>
      <c r="R121" s="59">
        <f>Servant!$Y$22+($F121+($F121*0.5*($D121-1)))*(R$3-1)</f>
        <v>18393</v>
      </c>
      <c r="S121" s="59">
        <f>Servant!$Y$22+($F121+($F121*0.5*($D121-1)))*(S$3-1)</f>
        <v>20127</v>
      </c>
      <c r="T121" s="59">
        <f>Servant!$Y$22+($F121+($F121*0.5*($D121-1)))*(T$3-1)</f>
        <v>21861</v>
      </c>
      <c r="U121" s="59">
        <f>Servant!$Y$22+($F121+($F121*0.5*($D121-1)))*(U$3-1)</f>
        <v>23595</v>
      </c>
      <c r="V121" s="59">
        <f>Servant!$Y$22+($F121+($F121*0.5*($D121-1)))*(V$3-1)</f>
        <v>25329</v>
      </c>
      <c r="W121" s="59">
        <f>Servant!$Y$22+($F121+($F121*0.5*($D121-1)))*(W$3-1)</f>
        <v>27063</v>
      </c>
      <c r="X121" s="59">
        <f>Servant!$Y$22+($F121+($F121*0.5*($D121-1)))*(X$3-1)</f>
        <v>28797</v>
      </c>
      <c r="Y121" s="59">
        <f>Servant!$Y$22+($F121+($F121*0.5*($D121-1)))*(Y$3-1)</f>
        <v>30531</v>
      </c>
      <c r="Z121" s="59">
        <f>Servant!$Y$22+($F121+($F121*0.5*($D121-1)))*(Z$3-1)</f>
        <v>32265</v>
      </c>
      <c r="AA121" s="59">
        <f>Servant!$Y$22+($F121+($F121*0.5*($D121-1)))*(AA$3-1)</f>
        <v>33999</v>
      </c>
      <c r="AB121" s="59">
        <f>Servant!$Y$22+($F121+($F121*0.5*($D121-1)))*(AB$3-1)</f>
        <v>35733</v>
      </c>
      <c r="AC121" s="59">
        <f>Servant!$Y$22+($F121+($F121*0.5*($D121-1)))*(AC$3-1)</f>
        <v>37467</v>
      </c>
      <c r="AD121" s="59">
        <f>Servant!$Y$22+($F121+($F121*0.5*($D121-1)))*(AD$3-1)</f>
        <v>39201</v>
      </c>
      <c r="AE121" s="59">
        <f>Servant!$Y$22+($F121+($F121*0.5*($D121-1)))*(AE$3-1)</f>
        <v>40935</v>
      </c>
      <c r="AF121" s="59">
        <f>Servant!$Y$22+($F121+($F121*0.5*($D121-1)))*(AF$3-1)</f>
        <v>42669</v>
      </c>
      <c r="AG121" s="59">
        <f>Servant!$Y$22+($F121+($F121*0.5*($D121-1)))*(AG$3-1)</f>
        <v>44403</v>
      </c>
      <c r="AH121" s="59">
        <f>Servant!$Y$22+($F121+($F121*0.5*($D121-1)))*(AH$3-1)</f>
        <v>46137</v>
      </c>
      <c r="AI121" s="103">
        <f>Servant!$Y$22+($F121+($F121*0.5*($D121-1)))*(AI$3-1)</f>
        <v>47871</v>
      </c>
      <c r="AJ121" s="103">
        <f>Servant!$Y$22+($F121+($F121*0.5*($D121-1)))*(AJ$3-1)</f>
        <v>49605</v>
      </c>
      <c r="AK121" s="103">
        <f>Servant!$Y$22+($F121+($F121*0.5*($D121-1)))*(AK$3-1)</f>
        <v>51339</v>
      </c>
    </row>
    <row r="122" spans="2:37" x14ac:dyDescent="0.3">
      <c r="B122" s="287"/>
      <c r="C122" s="292"/>
      <c r="D122" s="58">
        <v>6</v>
      </c>
      <c r="E122" s="58">
        <f>ServantLevelUPdStatus!$M$22+(ServantLevelUPdStatus!$M$22*0.5*($D122-1))</f>
        <v>2023</v>
      </c>
      <c r="F122" s="58">
        <f>F121</f>
        <v>578</v>
      </c>
      <c r="H122" s="59">
        <f>Servant!$Y$22+($F122+($F122*0.5*($D122-1)))*(H$3-1)</f>
        <v>1053</v>
      </c>
      <c r="I122" s="59">
        <f>Servant!$Y$22+($F122+($F122*0.5*($D122-1)))*(I$3-1)</f>
        <v>3076</v>
      </c>
      <c r="J122" s="59">
        <f>Servant!$Y$22+($F122+($F122*0.5*($D122-1)))*(J$3-1)</f>
        <v>5099</v>
      </c>
      <c r="K122" s="59">
        <f>Servant!$Y$22+($F122+($F122*0.5*($D122-1)))*(K$3-1)</f>
        <v>7122</v>
      </c>
      <c r="L122" s="59">
        <f>Servant!$Y$22+($F122+($F122*0.5*($D122-1)))*(L$3-1)</f>
        <v>9145</v>
      </c>
      <c r="M122" s="59">
        <f>Servant!$Y$22+($F122+($F122*0.5*($D122-1)))*(M$3-1)</f>
        <v>11168</v>
      </c>
      <c r="N122" s="59">
        <f>Servant!$Y$22+($F122+($F122*0.5*($D122-1)))*(N$3-1)</f>
        <v>13191</v>
      </c>
      <c r="O122" s="59">
        <f>Servant!$Y$22+($F122+($F122*0.5*($D122-1)))*(O$3-1)</f>
        <v>15214</v>
      </c>
      <c r="P122" s="59">
        <f>Servant!$Y$22+($F122+($F122*0.5*($D122-1)))*(P$3-1)</f>
        <v>17237</v>
      </c>
      <c r="Q122" s="59">
        <f>Servant!$Y$22+($F122+($F122*0.5*($D122-1)))*(Q$3-1)</f>
        <v>19260</v>
      </c>
      <c r="R122" s="59">
        <f>Servant!$Y$22+($F122+($F122*0.5*($D122-1)))*(R$3-1)</f>
        <v>21283</v>
      </c>
      <c r="S122" s="59">
        <f>Servant!$Y$22+($F122+($F122*0.5*($D122-1)))*(S$3-1)</f>
        <v>23306</v>
      </c>
      <c r="T122" s="59">
        <f>Servant!$Y$22+($F122+($F122*0.5*($D122-1)))*(T$3-1)</f>
        <v>25329</v>
      </c>
      <c r="U122" s="59">
        <f>Servant!$Y$22+($F122+($F122*0.5*($D122-1)))*(U$3-1)</f>
        <v>27352</v>
      </c>
      <c r="V122" s="59">
        <f>Servant!$Y$22+($F122+($F122*0.5*($D122-1)))*(V$3-1)</f>
        <v>29375</v>
      </c>
      <c r="W122" s="59">
        <f>Servant!$Y$22+($F122+($F122*0.5*($D122-1)))*(W$3-1)</f>
        <v>31398</v>
      </c>
      <c r="X122" s="59">
        <f>Servant!$Y$22+($F122+($F122*0.5*($D122-1)))*(X$3-1)</f>
        <v>33421</v>
      </c>
      <c r="Y122" s="59">
        <f>Servant!$Y$22+($F122+($F122*0.5*($D122-1)))*(Y$3-1)</f>
        <v>35444</v>
      </c>
      <c r="Z122" s="59">
        <f>Servant!$Y$22+($F122+($F122*0.5*($D122-1)))*(Z$3-1)</f>
        <v>37467</v>
      </c>
      <c r="AA122" s="59">
        <f>Servant!$Y$22+($F122+($F122*0.5*($D122-1)))*(AA$3-1)</f>
        <v>39490</v>
      </c>
      <c r="AB122" s="59">
        <f>Servant!$Y$22+($F122+($F122*0.5*($D122-1)))*(AB$3-1)</f>
        <v>41513</v>
      </c>
      <c r="AC122" s="59">
        <f>Servant!$Y$22+($F122+($F122*0.5*($D122-1)))*(AC$3-1)</f>
        <v>43536</v>
      </c>
      <c r="AD122" s="59">
        <f>Servant!$Y$22+($F122+($F122*0.5*($D122-1)))*(AD$3-1)</f>
        <v>45559</v>
      </c>
      <c r="AE122" s="59">
        <f>Servant!$Y$22+($F122+($F122*0.5*($D122-1)))*(AE$3-1)</f>
        <v>47582</v>
      </c>
      <c r="AF122" s="59">
        <f>Servant!$Y$22+($F122+($F122*0.5*($D122-1)))*(AF$3-1)</f>
        <v>49605</v>
      </c>
      <c r="AG122" s="59">
        <f>Servant!$Y$22+($F122+($F122*0.5*($D122-1)))*(AG$3-1)</f>
        <v>51628</v>
      </c>
      <c r="AH122" s="59">
        <f>Servant!$Y$22+($F122+($F122*0.5*($D122-1)))*(AH$3-1)</f>
        <v>53651</v>
      </c>
      <c r="AI122" s="103">
        <f>Servant!$Y$22+($F122+($F122*0.5*($D122-1)))*(AI$3-1)</f>
        <v>55674</v>
      </c>
      <c r="AJ122" s="103">
        <f>Servant!$Y$22+($F122+($F122*0.5*($D122-1)))*(AJ$3-1)</f>
        <v>57697</v>
      </c>
      <c r="AK122" s="103">
        <f>Servant!$Y$22+($F122+($F122*0.5*($D122-1)))*(AK$3-1)</f>
        <v>59720</v>
      </c>
    </row>
    <row r="124" spans="2:37" x14ac:dyDescent="0.3">
      <c r="B124" s="286" t="s">
        <v>253</v>
      </c>
      <c r="C124" s="289" t="s">
        <v>217</v>
      </c>
      <c r="D124" s="54">
        <v>1</v>
      </c>
      <c r="E124" s="54">
        <f>ServantLevelUPdStatus!$N$6+(ServantLevelUPdStatus!$N$6*0.5*($D124-1))</f>
        <v>0.01</v>
      </c>
      <c r="F124" s="54">
        <f>ServantLevelUPdStatus!N$6</f>
        <v>0.01</v>
      </c>
      <c r="H124" s="55">
        <f>Servant!$Z$6+($F124+($F124*0.5*($D124-1)))*(H$3-1)</f>
        <v>2.0750000000000002</v>
      </c>
      <c r="I124" s="55">
        <f>Servant!$Z$6+($F124+($F124*0.5*($D124-1)))*(I$3-1)</f>
        <v>2.085</v>
      </c>
      <c r="J124" s="55">
        <f>Servant!$Z$6+($F124+($F124*0.5*($D124-1)))*(J$3-1)</f>
        <v>2.0950000000000002</v>
      </c>
      <c r="K124" s="55">
        <f>Servant!$Z$6+($F124+($F124*0.5*($D124-1)))*(K$3-1)</f>
        <v>2.105</v>
      </c>
      <c r="L124" s="55">
        <f>Servant!$Z$6+($F124+($F124*0.5*($D124-1)))*(L$3-1)</f>
        <v>2.1150000000000002</v>
      </c>
      <c r="M124" s="55">
        <f>Servant!$Z$6+($F124+($F124*0.5*($D124-1)))*(M$3-1)</f>
        <v>2.125</v>
      </c>
      <c r="N124" s="55">
        <f>Servant!$Z$6+($F124+($F124*0.5*($D124-1)))*(N$3-1)</f>
        <v>2.1350000000000002</v>
      </c>
      <c r="O124" s="55">
        <f>Servant!$Z$6+($F124+($F124*0.5*($D124-1)))*(O$3-1)</f>
        <v>2.145</v>
      </c>
      <c r="P124" s="55">
        <f>Servant!$Z$6+($F124+($F124*0.5*($D124-1)))*(P$3-1)</f>
        <v>2.1550000000000002</v>
      </c>
      <c r="Q124" s="55">
        <f>Servant!$Z$6+($F124+($F124*0.5*($D124-1)))*(Q$3-1)</f>
        <v>2.165</v>
      </c>
      <c r="R124" s="55">
        <f>Servant!$Z$6+($F124+($F124*0.5*($D124-1)))*(R$3-1)</f>
        <v>2.1750000000000003</v>
      </c>
      <c r="S124" s="55">
        <f>Servant!$Z$6+($F124+($F124*0.5*($D124-1)))*(S$3-1)</f>
        <v>2.1850000000000001</v>
      </c>
      <c r="T124" s="55">
        <f>Servant!$Z$6+($F124+($F124*0.5*($D124-1)))*(T$3-1)</f>
        <v>2.1950000000000003</v>
      </c>
      <c r="U124" s="55">
        <f>Servant!$Z$6+($F124+($F124*0.5*($D124-1)))*(U$3-1)</f>
        <v>2.2050000000000001</v>
      </c>
      <c r="V124" s="55">
        <f>Servant!$Z$6+($F124+($F124*0.5*($D124-1)))*(V$3-1)</f>
        <v>2.2150000000000003</v>
      </c>
      <c r="W124" s="55">
        <f>Servant!$Z$6+($F124+($F124*0.5*($D124-1)))*(W$3-1)</f>
        <v>2.2250000000000001</v>
      </c>
      <c r="X124" s="55">
        <f>Servant!$Z$6+($F124+($F124*0.5*($D124-1)))*(X$3-1)</f>
        <v>2.2350000000000003</v>
      </c>
      <c r="Y124" s="55">
        <f>Servant!$Z$6+($F124+($F124*0.5*($D124-1)))*(Y$3-1)</f>
        <v>2.2450000000000001</v>
      </c>
      <c r="Z124" s="55">
        <f>Servant!$Z$6+($F124+($F124*0.5*($D124-1)))*(Z$3-1)</f>
        <v>2.2550000000000003</v>
      </c>
      <c r="AA124" s="55">
        <f>Servant!$Z$6+($F124+($F124*0.5*($D124-1)))*(AA$3-1)</f>
        <v>2.2650000000000001</v>
      </c>
      <c r="AB124" s="55">
        <f>Servant!$Z$6+($F124+($F124*0.5*($D124-1)))*(AB$3-1)</f>
        <v>2.2750000000000004</v>
      </c>
      <c r="AC124" s="55">
        <f>Servant!$Z$6+($F124+($F124*0.5*($D124-1)))*(AC$3-1)</f>
        <v>2.2850000000000001</v>
      </c>
      <c r="AD124" s="55">
        <f>Servant!$Z$6+($F124+($F124*0.5*($D124-1)))*(AD$3-1)</f>
        <v>2.2950000000000004</v>
      </c>
      <c r="AE124" s="55">
        <f>Servant!$Z$6+($F124+($F124*0.5*($D124-1)))*(AE$3-1)</f>
        <v>2.3050000000000002</v>
      </c>
      <c r="AF124" s="55">
        <f>Servant!$Z$6+($F124+($F124*0.5*($D124-1)))*(AF$3-1)</f>
        <v>2.3150000000000004</v>
      </c>
      <c r="AG124" s="55">
        <f>Servant!$Z$6+($F124+($F124*0.5*($D124-1)))*(AG$3-1)</f>
        <v>2.3250000000000002</v>
      </c>
      <c r="AH124" s="55">
        <f>Servant!$Z$6+($F124+($F124*0.5*($D124-1)))*(AH$3-1)</f>
        <v>2.335</v>
      </c>
      <c r="AI124" s="55">
        <f>Servant!$Z$6+($F124+($F124*0.5*($D124-1)))*(AI$3-1)</f>
        <v>2.3450000000000002</v>
      </c>
      <c r="AJ124" s="55">
        <f>Servant!$Z$6+($F124+($F124*0.5*($D124-1)))*(AJ$3-1)</f>
        <v>2.3550000000000004</v>
      </c>
      <c r="AK124" s="55">
        <f>Servant!$Z$6+($F124+($F124*0.5*($D124-1)))*(AK$3-1)</f>
        <v>2.3650000000000002</v>
      </c>
    </row>
    <row r="125" spans="2:37" x14ac:dyDescent="0.3">
      <c r="B125" s="287"/>
      <c r="C125" s="289"/>
      <c r="D125" s="54">
        <v>2</v>
      </c>
      <c r="E125" s="54">
        <f>ServantLevelUPdStatus!$N$6+(ServantLevelUPdStatus!$N$6*0.5*($D125-1))</f>
        <v>1.4999999999999999E-2</v>
      </c>
      <c r="F125" s="54">
        <f>F124</f>
        <v>0.01</v>
      </c>
      <c r="H125" s="55">
        <f>Servant!$Z$6+($F125+($F125*0.5*($D125-1)))*(H$3-1)</f>
        <v>2.0750000000000002</v>
      </c>
      <c r="I125" s="55">
        <f>Servant!$Z$6+($F125+($F125*0.5*($D125-1)))*(I$3-1)</f>
        <v>2.0900000000000003</v>
      </c>
      <c r="J125" s="55">
        <f>Servant!$Z$6+($F125+($F125*0.5*($D125-1)))*(J$3-1)</f>
        <v>2.105</v>
      </c>
      <c r="K125" s="55">
        <f>Servant!$Z$6+($F125+($F125*0.5*($D125-1)))*(K$3-1)</f>
        <v>2.12</v>
      </c>
      <c r="L125" s="55">
        <f>Servant!$Z$6+($F125+($F125*0.5*($D125-1)))*(L$3-1)</f>
        <v>2.1350000000000002</v>
      </c>
      <c r="M125" s="55">
        <f>Servant!$Z$6+($F125+($F125*0.5*($D125-1)))*(M$3-1)</f>
        <v>2.1500000000000004</v>
      </c>
      <c r="N125" s="55">
        <f>Servant!$Z$6+($F125+($F125*0.5*($D125-1)))*(N$3-1)</f>
        <v>2.165</v>
      </c>
      <c r="O125" s="55">
        <f>Servant!$Z$6+($F125+($F125*0.5*($D125-1)))*(O$3-1)</f>
        <v>2.1800000000000002</v>
      </c>
      <c r="P125" s="55">
        <f>Servant!$Z$6+($F125+($F125*0.5*($D125-1)))*(P$3-1)</f>
        <v>2.1950000000000003</v>
      </c>
      <c r="Q125" s="55">
        <f>Servant!$Z$6+($F125+($F125*0.5*($D125-1)))*(Q$3-1)</f>
        <v>2.21</v>
      </c>
      <c r="R125" s="55">
        <f>Servant!$Z$6+($F125+($F125*0.5*($D125-1)))*(R$3-1)</f>
        <v>2.2250000000000001</v>
      </c>
      <c r="S125" s="55">
        <f>Servant!$Z$6+($F125+($F125*0.5*($D125-1)))*(S$3-1)</f>
        <v>2.2400000000000002</v>
      </c>
      <c r="T125" s="55">
        <f>Servant!$Z$6+($F125+($F125*0.5*($D125-1)))*(T$3-1)</f>
        <v>2.2550000000000003</v>
      </c>
      <c r="U125" s="55">
        <f>Servant!$Z$6+($F125+($F125*0.5*($D125-1)))*(U$3-1)</f>
        <v>2.27</v>
      </c>
      <c r="V125" s="55">
        <f>Servant!$Z$6+($F125+($F125*0.5*($D125-1)))*(V$3-1)</f>
        <v>2.2850000000000001</v>
      </c>
      <c r="W125" s="55">
        <f>Servant!$Z$6+($F125+($F125*0.5*($D125-1)))*(W$3-1)</f>
        <v>2.3000000000000003</v>
      </c>
      <c r="X125" s="55">
        <f>Servant!$Z$6+($F125+($F125*0.5*($D125-1)))*(X$3-1)</f>
        <v>2.3150000000000004</v>
      </c>
      <c r="Y125" s="55">
        <f>Servant!$Z$6+($F125+($F125*0.5*($D125-1)))*(Y$3-1)</f>
        <v>2.33</v>
      </c>
      <c r="Z125" s="55">
        <f>Servant!$Z$6+($F125+($F125*0.5*($D125-1)))*(Z$3-1)</f>
        <v>2.3450000000000002</v>
      </c>
      <c r="AA125" s="55">
        <f>Servant!$Z$6+($F125+($F125*0.5*($D125-1)))*(AA$3-1)</f>
        <v>2.3600000000000003</v>
      </c>
      <c r="AB125" s="55">
        <f>Servant!$Z$6+($F125+($F125*0.5*($D125-1)))*(AB$3-1)</f>
        <v>2.375</v>
      </c>
      <c r="AC125" s="55">
        <f>Servant!$Z$6+($F125+($F125*0.5*($D125-1)))*(AC$3-1)</f>
        <v>2.39</v>
      </c>
      <c r="AD125" s="55">
        <f>Servant!$Z$6+($F125+($F125*0.5*($D125-1)))*(AD$3-1)</f>
        <v>2.4050000000000002</v>
      </c>
      <c r="AE125" s="55">
        <f>Servant!$Z$6+($F125+($F125*0.5*($D125-1)))*(AE$3-1)</f>
        <v>2.42</v>
      </c>
      <c r="AF125" s="55">
        <f>Servant!$Z$6+($F125+($F125*0.5*($D125-1)))*(AF$3-1)</f>
        <v>2.4350000000000001</v>
      </c>
      <c r="AG125" s="55">
        <f>Servant!$Z$6+($F125+($F125*0.5*($D125-1)))*(AG$3-1)</f>
        <v>2.4500000000000002</v>
      </c>
      <c r="AH125" s="55">
        <f>Servant!$Z$6+($F125+($F125*0.5*($D125-1)))*(AH$3-1)</f>
        <v>2.4650000000000003</v>
      </c>
      <c r="AI125" s="55">
        <f>Servant!$Z$6+($F125+($F125*0.5*($D125-1)))*(AI$3-1)</f>
        <v>2.48</v>
      </c>
      <c r="AJ125" s="55">
        <f>Servant!$Z$6+($F125+($F125*0.5*($D125-1)))*(AJ$3-1)</f>
        <v>2.4950000000000001</v>
      </c>
      <c r="AK125" s="55">
        <f>Servant!$Z$6+($F125+($F125*0.5*($D125-1)))*(AK$3-1)</f>
        <v>2.5100000000000002</v>
      </c>
    </row>
    <row r="126" spans="2:37" x14ac:dyDescent="0.3">
      <c r="B126" s="287"/>
      <c r="C126" s="289"/>
      <c r="D126" s="54">
        <v>3</v>
      </c>
      <c r="E126" s="54">
        <f>ServantLevelUPdStatus!$N$6+(ServantLevelUPdStatus!$N$6*0.5*($D126-1))</f>
        <v>0.02</v>
      </c>
      <c r="F126" s="54">
        <f>F125</f>
        <v>0.01</v>
      </c>
      <c r="H126" s="55">
        <f>Servant!$Z$6+($F126+($F126*0.5*($D126-1)))*(H$3-1)</f>
        <v>2.0750000000000002</v>
      </c>
      <c r="I126" s="55">
        <f>Servant!$Z$6+($F126+($F126*0.5*($D126-1)))*(I$3-1)</f>
        <v>2.0950000000000002</v>
      </c>
      <c r="J126" s="55">
        <f>Servant!$Z$6+($F126+($F126*0.5*($D126-1)))*(J$3-1)</f>
        <v>2.1150000000000002</v>
      </c>
      <c r="K126" s="55">
        <f>Servant!$Z$6+($F126+($F126*0.5*($D126-1)))*(K$3-1)</f>
        <v>2.1350000000000002</v>
      </c>
      <c r="L126" s="55">
        <f>Servant!$Z$6+($F126+($F126*0.5*($D126-1)))*(L$3-1)</f>
        <v>2.1550000000000002</v>
      </c>
      <c r="M126" s="55">
        <f>Servant!$Z$6+($F126+($F126*0.5*($D126-1)))*(M$3-1)</f>
        <v>2.1750000000000003</v>
      </c>
      <c r="N126" s="55">
        <f>Servant!$Z$6+($F126+($F126*0.5*($D126-1)))*(N$3-1)</f>
        <v>2.1950000000000003</v>
      </c>
      <c r="O126" s="55">
        <f>Servant!$Z$6+($F126+($F126*0.5*($D126-1)))*(O$3-1)</f>
        <v>2.2150000000000003</v>
      </c>
      <c r="P126" s="55">
        <f>Servant!$Z$6+($F126+($F126*0.5*($D126-1)))*(P$3-1)</f>
        <v>2.2350000000000003</v>
      </c>
      <c r="Q126" s="55">
        <f>Servant!$Z$6+($F126+($F126*0.5*($D126-1)))*(Q$3-1)</f>
        <v>2.2550000000000003</v>
      </c>
      <c r="R126" s="55">
        <f>Servant!$Z$6+($F126+($F126*0.5*($D126-1)))*(R$3-1)</f>
        <v>2.2750000000000004</v>
      </c>
      <c r="S126" s="55">
        <f>Servant!$Z$6+($F126+($F126*0.5*($D126-1)))*(S$3-1)</f>
        <v>2.2950000000000004</v>
      </c>
      <c r="T126" s="55">
        <f>Servant!$Z$6+($F126+($F126*0.5*($D126-1)))*(T$3-1)</f>
        <v>2.3150000000000004</v>
      </c>
      <c r="U126" s="55">
        <f>Servant!$Z$6+($F126+($F126*0.5*($D126-1)))*(U$3-1)</f>
        <v>2.335</v>
      </c>
      <c r="V126" s="55">
        <f>Servant!$Z$6+($F126+($F126*0.5*($D126-1)))*(V$3-1)</f>
        <v>2.3550000000000004</v>
      </c>
      <c r="W126" s="55">
        <f>Servant!$Z$6+($F126+($F126*0.5*($D126-1)))*(W$3-1)</f>
        <v>2.375</v>
      </c>
      <c r="X126" s="55">
        <f>Servant!$Z$6+($F126+($F126*0.5*($D126-1)))*(X$3-1)</f>
        <v>2.395</v>
      </c>
      <c r="Y126" s="55">
        <f>Servant!$Z$6+($F126+($F126*0.5*($D126-1)))*(Y$3-1)</f>
        <v>2.415</v>
      </c>
      <c r="Z126" s="55">
        <f>Servant!$Z$6+($F126+($F126*0.5*($D126-1)))*(Z$3-1)</f>
        <v>2.4350000000000001</v>
      </c>
      <c r="AA126" s="55">
        <f>Servant!$Z$6+($F126+($F126*0.5*($D126-1)))*(AA$3-1)</f>
        <v>2.4550000000000001</v>
      </c>
      <c r="AB126" s="55">
        <f>Servant!$Z$6+($F126+($F126*0.5*($D126-1)))*(AB$3-1)</f>
        <v>2.4750000000000001</v>
      </c>
      <c r="AC126" s="55">
        <f>Servant!$Z$6+($F126+($F126*0.5*($D126-1)))*(AC$3-1)</f>
        <v>2.4950000000000001</v>
      </c>
      <c r="AD126" s="55">
        <f>Servant!$Z$6+($F126+($F126*0.5*($D126-1)))*(AD$3-1)</f>
        <v>2.5150000000000001</v>
      </c>
      <c r="AE126" s="55">
        <f>Servant!$Z$6+($F126+($F126*0.5*($D126-1)))*(AE$3-1)</f>
        <v>2.5350000000000001</v>
      </c>
      <c r="AF126" s="55">
        <f>Servant!$Z$6+($F126+($F126*0.5*($D126-1)))*(AF$3-1)</f>
        <v>2.5550000000000002</v>
      </c>
      <c r="AG126" s="55">
        <f>Servant!$Z$6+($F126+($F126*0.5*($D126-1)))*(AG$3-1)</f>
        <v>2.5750000000000002</v>
      </c>
      <c r="AH126" s="55">
        <f>Servant!$Z$6+($F126+($F126*0.5*($D126-1)))*(AH$3-1)</f>
        <v>2.5950000000000002</v>
      </c>
      <c r="AI126" s="55">
        <f>Servant!$Z$6+($F126+($F126*0.5*($D126-1)))*(AI$3-1)</f>
        <v>2.6150000000000002</v>
      </c>
      <c r="AJ126" s="55">
        <f>Servant!$Z$6+($F126+($F126*0.5*($D126-1)))*(AJ$3-1)</f>
        <v>2.6350000000000002</v>
      </c>
      <c r="AK126" s="55">
        <f>Servant!$Z$6+($F126+($F126*0.5*($D126-1)))*(AK$3-1)</f>
        <v>2.6550000000000002</v>
      </c>
    </row>
    <row r="127" spans="2:37" x14ac:dyDescent="0.3">
      <c r="B127" s="287"/>
      <c r="C127" s="290" t="s">
        <v>243</v>
      </c>
      <c r="D127" s="52">
        <v>2</v>
      </c>
      <c r="E127" s="52">
        <f>ServantLevelUPdStatus!$N$12+(ServantLevelUPdStatus!$N$12*0.5*($D127-1))</f>
        <v>2.2499999999999999E-2</v>
      </c>
      <c r="F127" s="52">
        <f>ServantLevelUPdStatus!N$12</f>
        <v>1.4999999999999999E-2</v>
      </c>
      <c r="H127" s="53">
        <f>Servant!$Z$12+($F127+($F127*0.5*($D127-1)))*(H$3-1)</f>
        <v>2.4790000000000001</v>
      </c>
      <c r="I127" s="53">
        <f>Servant!$Z$12+($F127+($F127*0.5*($D127-1)))*(I$3-1)</f>
        <v>2.5015000000000001</v>
      </c>
      <c r="J127" s="53">
        <f>Servant!$Z$12+($F127+($F127*0.5*($D127-1)))*(J$3-1)</f>
        <v>2.524</v>
      </c>
      <c r="K127" s="53">
        <f>Servant!$Z$12+($F127+($F127*0.5*($D127-1)))*(K$3-1)</f>
        <v>2.5465</v>
      </c>
      <c r="L127" s="53">
        <f>Servant!$Z$12+($F127+($F127*0.5*($D127-1)))*(L$3-1)</f>
        <v>2.569</v>
      </c>
      <c r="M127" s="53">
        <f>Servant!$Z$12+($F127+($F127*0.5*($D127-1)))*(M$3-1)</f>
        <v>2.5914999999999999</v>
      </c>
      <c r="N127" s="53">
        <f>Servant!$Z$12+($F127+($F127*0.5*($D127-1)))*(N$3-1)</f>
        <v>2.6139999999999999</v>
      </c>
      <c r="O127" s="53">
        <f>Servant!$Z$12+($F127+($F127*0.5*($D127-1)))*(O$3-1)</f>
        <v>2.6365000000000003</v>
      </c>
      <c r="P127" s="53">
        <f>Servant!$Z$12+($F127+($F127*0.5*($D127-1)))*(P$3-1)</f>
        <v>2.6590000000000003</v>
      </c>
      <c r="Q127" s="53">
        <f>Servant!$Z$12+($F127+($F127*0.5*($D127-1)))*(Q$3-1)</f>
        <v>2.6815000000000002</v>
      </c>
      <c r="R127" s="53">
        <f>Servant!$Z$12+($F127+($F127*0.5*($D127-1)))*(R$3-1)</f>
        <v>2.7040000000000002</v>
      </c>
      <c r="S127" s="53">
        <f>Servant!$Z$12+($F127+($F127*0.5*($D127-1)))*(S$3-1)</f>
        <v>2.7265000000000001</v>
      </c>
      <c r="T127" s="53">
        <f>Servant!$Z$12+($F127+($F127*0.5*($D127-1)))*(T$3-1)</f>
        <v>2.7490000000000001</v>
      </c>
      <c r="U127" s="53">
        <f>Servant!$Z$12+($F127+($F127*0.5*($D127-1)))*(U$3-1)</f>
        <v>2.7715000000000001</v>
      </c>
      <c r="V127" s="53">
        <f>Servant!$Z$12+($F127+($F127*0.5*($D127-1)))*(V$3-1)</f>
        <v>2.794</v>
      </c>
      <c r="W127" s="53">
        <f>Servant!$Z$12+($F127+($F127*0.5*($D127-1)))*(W$3-1)</f>
        <v>2.8165</v>
      </c>
      <c r="X127" s="53">
        <f>Servant!$Z$12+($F127+($F127*0.5*($D127-1)))*(X$3-1)</f>
        <v>2.839</v>
      </c>
      <c r="Y127" s="53">
        <f>Servant!$Z$12+($F127+($F127*0.5*($D127-1)))*(Y$3-1)</f>
        <v>2.8614999999999999</v>
      </c>
      <c r="Z127" s="53">
        <f>Servant!$Z$12+($F127+($F127*0.5*($D127-1)))*(Z$3-1)</f>
        <v>2.8839999999999999</v>
      </c>
      <c r="AA127" s="53">
        <f>Servant!$Z$12+($F127+($F127*0.5*($D127-1)))*(AA$3-1)</f>
        <v>2.9065000000000003</v>
      </c>
      <c r="AB127" s="53">
        <f>Servant!$Z$12+($F127+($F127*0.5*($D127-1)))*(AB$3-1)</f>
        <v>2.9290000000000003</v>
      </c>
      <c r="AC127" s="53">
        <f>Servant!$Z$12+($F127+($F127*0.5*($D127-1)))*(AC$3-1)</f>
        <v>2.9515000000000002</v>
      </c>
      <c r="AD127" s="53">
        <f>Servant!$Z$12+($F127+($F127*0.5*($D127-1)))*(AD$3-1)</f>
        <v>2.9740000000000002</v>
      </c>
      <c r="AE127" s="53">
        <f>Servant!$Z$12+($F127+($F127*0.5*($D127-1)))*(AE$3-1)</f>
        <v>2.9965000000000002</v>
      </c>
      <c r="AF127" s="53">
        <f>Servant!$Z$12+($F127+($F127*0.5*($D127-1)))*(AF$3-1)</f>
        <v>3.0190000000000001</v>
      </c>
      <c r="AG127" s="53">
        <f>Servant!$Z$12+($F127+($F127*0.5*($D127-1)))*(AG$3-1)</f>
        <v>3.0415000000000001</v>
      </c>
      <c r="AH127" s="53">
        <f>Servant!$Z$12+($F127+($F127*0.5*($D127-1)))*(AH$3-1)</f>
        <v>3.0640000000000001</v>
      </c>
      <c r="AI127" s="53">
        <f>Servant!$Z$12+($F127+($F127*0.5*($D127-1)))*(AI$3-1)</f>
        <v>3.0865</v>
      </c>
      <c r="AJ127" s="53">
        <f>Servant!$Z$12+($F127+($F127*0.5*($D127-1)))*(AJ$3-1)</f>
        <v>3.109</v>
      </c>
      <c r="AK127" s="53">
        <f>Servant!$Z$12+($F127+($F127*0.5*($D127-1)))*(AK$3-1)</f>
        <v>3.1315</v>
      </c>
    </row>
    <row r="128" spans="2:37" x14ac:dyDescent="0.3">
      <c r="B128" s="287"/>
      <c r="C128" s="290"/>
      <c r="D128" s="52">
        <v>3</v>
      </c>
      <c r="E128" s="52">
        <f>ServantLevelUPdStatus!$N$12+(ServantLevelUPdStatus!$N$12*0.5*($D128-1))</f>
        <v>0.03</v>
      </c>
      <c r="F128" s="52">
        <f>F127</f>
        <v>1.4999999999999999E-2</v>
      </c>
      <c r="H128" s="53">
        <f>Servant!$Z$12+($F128+($F128*0.5*($D128-1)))*(H$3-1)</f>
        <v>2.4790000000000001</v>
      </c>
      <c r="I128" s="53">
        <f>Servant!$Z$12+($F128+($F128*0.5*($D128-1)))*(I$3-1)</f>
        <v>2.5089999999999999</v>
      </c>
      <c r="J128" s="53">
        <f>Servant!$Z$12+($F128+($F128*0.5*($D128-1)))*(J$3-1)</f>
        <v>2.5390000000000001</v>
      </c>
      <c r="K128" s="53">
        <f>Servant!$Z$12+($F128+($F128*0.5*($D128-1)))*(K$3-1)</f>
        <v>2.569</v>
      </c>
      <c r="L128" s="53">
        <f>Servant!$Z$12+($F128+($F128*0.5*($D128-1)))*(L$3-1)</f>
        <v>2.5990000000000002</v>
      </c>
      <c r="M128" s="53">
        <f>Servant!$Z$12+($F128+($F128*0.5*($D128-1)))*(M$3-1)</f>
        <v>2.629</v>
      </c>
      <c r="N128" s="53">
        <f>Servant!$Z$12+($F128+($F128*0.5*($D128-1)))*(N$3-1)</f>
        <v>2.6590000000000003</v>
      </c>
      <c r="O128" s="53">
        <f>Servant!$Z$12+($F128+($F128*0.5*($D128-1)))*(O$3-1)</f>
        <v>2.6890000000000001</v>
      </c>
      <c r="P128" s="53">
        <f>Servant!$Z$12+($F128+($F128*0.5*($D128-1)))*(P$3-1)</f>
        <v>2.7190000000000003</v>
      </c>
      <c r="Q128" s="53">
        <f>Servant!$Z$12+($F128+($F128*0.5*($D128-1)))*(Q$3-1)</f>
        <v>2.7490000000000001</v>
      </c>
      <c r="R128" s="53">
        <f>Servant!$Z$12+($F128+($F128*0.5*($D128-1)))*(R$3-1)</f>
        <v>2.7789999999999999</v>
      </c>
      <c r="S128" s="53">
        <f>Servant!$Z$12+($F128+($F128*0.5*($D128-1)))*(S$3-1)</f>
        <v>2.8090000000000002</v>
      </c>
      <c r="T128" s="53">
        <f>Servant!$Z$12+($F128+($F128*0.5*($D128-1)))*(T$3-1)</f>
        <v>2.839</v>
      </c>
      <c r="U128" s="53">
        <f>Servant!$Z$12+($F128+($F128*0.5*($D128-1)))*(U$3-1)</f>
        <v>2.8690000000000002</v>
      </c>
      <c r="V128" s="53">
        <f>Servant!$Z$12+($F128+($F128*0.5*($D128-1)))*(V$3-1)</f>
        <v>2.899</v>
      </c>
      <c r="W128" s="53">
        <f>Servant!$Z$12+($F128+($F128*0.5*($D128-1)))*(W$3-1)</f>
        <v>2.9290000000000003</v>
      </c>
      <c r="X128" s="53">
        <f>Servant!$Z$12+($F128+($F128*0.5*($D128-1)))*(X$3-1)</f>
        <v>2.9590000000000001</v>
      </c>
      <c r="Y128" s="53">
        <f>Servant!$Z$12+($F128+($F128*0.5*($D128-1)))*(Y$3-1)</f>
        <v>2.9889999999999999</v>
      </c>
      <c r="Z128" s="53">
        <f>Servant!$Z$12+($F128+($F128*0.5*($D128-1)))*(Z$3-1)</f>
        <v>3.0190000000000001</v>
      </c>
      <c r="AA128" s="53">
        <f>Servant!$Z$12+($F128+($F128*0.5*($D128-1)))*(AA$3-1)</f>
        <v>3.0489999999999999</v>
      </c>
      <c r="AB128" s="53">
        <f>Servant!$Z$12+($F128+($F128*0.5*($D128-1)))*(AB$3-1)</f>
        <v>3.0790000000000002</v>
      </c>
      <c r="AC128" s="53">
        <f>Servant!$Z$12+($F128+($F128*0.5*($D128-1)))*(AC$3-1)</f>
        <v>3.109</v>
      </c>
      <c r="AD128" s="53">
        <f>Servant!$Z$12+($F128+($F128*0.5*($D128-1)))*(AD$3-1)</f>
        <v>3.1390000000000002</v>
      </c>
      <c r="AE128" s="53">
        <f>Servant!$Z$12+($F128+($F128*0.5*($D128-1)))*(AE$3-1)</f>
        <v>3.169</v>
      </c>
      <c r="AF128" s="53">
        <f>Servant!$Z$12+($F128+($F128*0.5*($D128-1)))*(AF$3-1)</f>
        <v>3.1989999999999998</v>
      </c>
      <c r="AG128" s="53">
        <f>Servant!$Z$12+($F128+($F128*0.5*($D128-1)))*(AG$3-1)</f>
        <v>3.2290000000000001</v>
      </c>
      <c r="AH128" s="53">
        <f>Servant!$Z$12+($F128+($F128*0.5*($D128-1)))*(AH$3-1)</f>
        <v>3.2590000000000003</v>
      </c>
      <c r="AI128" s="53">
        <f>Servant!$Z$12+($F128+($F128*0.5*($D128-1)))*(AI$3-1)</f>
        <v>3.2890000000000001</v>
      </c>
      <c r="AJ128" s="53">
        <f>Servant!$Z$12+($F128+($F128*0.5*($D128-1)))*(AJ$3-1)</f>
        <v>3.319</v>
      </c>
      <c r="AK128" s="53">
        <f>Servant!$Z$12+($F128+($F128*0.5*($D128-1)))*(AK$3-1)</f>
        <v>3.3490000000000002</v>
      </c>
    </row>
    <row r="129" spans="2:37" x14ac:dyDescent="0.3">
      <c r="B129" s="287"/>
      <c r="C129" s="290"/>
      <c r="D129" s="52">
        <v>4</v>
      </c>
      <c r="E129" s="52">
        <f>ServantLevelUPdStatus!$N$12+(ServantLevelUPdStatus!$N$12*0.5*($D129-1))</f>
        <v>3.7499999999999999E-2</v>
      </c>
      <c r="F129" s="52">
        <f>F128</f>
        <v>1.4999999999999999E-2</v>
      </c>
      <c r="H129" s="53">
        <f>Servant!$Z$12+($F129+($F129*0.5*($D129-1)))*(H$3-1)</f>
        <v>2.4790000000000001</v>
      </c>
      <c r="I129" s="53">
        <f>Servant!$Z$12+($F129+($F129*0.5*($D129-1)))*(I$3-1)</f>
        <v>2.5165000000000002</v>
      </c>
      <c r="J129" s="53">
        <f>Servant!$Z$12+($F129+($F129*0.5*($D129-1)))*(J$3-1)</f>
        <v>2.5540000000000003</v>
      </c>
      <c r="K129" s="53">
        <f>Servant!$Z$12+($F129+($F129*0.5*($D129-1)))*(K$3-1)</f>
        <v>2.5914999999999999</v>
      </c>
      <c r="L129" s="53">
        <f>Servant!$Z$12+($F129+($F129*0.5*($D129-1)))*(L$3-1)</f>
        <v>2.629</v>
      </c>
      <c r="M129" s="53">
        <f>Servant!$Z$12+($F129+($F129*0.5*($D129-1)))*(M$3-1)</f>
        <v>2.6665000000000001</v>
      </c>
      <c r="N129" s="53">
        <f>Servant!$Z$12+($F129+($F129*0.5*($D129-1)))*(N$3-1)</f>
        <v>2.7040000000000002</v>
      </c>
      <c r="O129" s="53">
        <f>Servant!$Z$12+($F129+($F129*0.5*($D129-1)))*(O$3-1)</f>
        <v>2.7415000000000003</v>
      </c>
      <c r="P129" s="53">
        <f>Servant!$Z$12+($F129+($F129*0.5*($D129-1)))*(P$3-1)</f>
        <v>2.7789999999999999</v>
      </c>
      <c r="Q129" s="53">
        <f>Servant!$Z$12+($F129+($F129*0.5*($D129-1)))*(Q$3-1)</f>
        <v>2.8165</v>
      </c>
      <c r="R129" s="53">
        <f>Servant!$Z$12+($F129+($F129*0.5*($D129-1)))*(R$3-1)</f>
        <v>2.8540000000000001</v>
      </c>
      <c r="S129" s="53">
        <f>Servant!$Z$12+($F129+($F129*0.5*($D129-1)))*(S$3-1)</f>
        <v>2.8915000000000002</v>
      </c>
      <c r="T129" s="53">
        <f>Servant!$Z$12+($F129+($F129*0.5*($D129-1)))*(T$3-1)</f>
        <v>2.9290000000000003</v>
      </c>
      <c r="U129" s="53">
        <f>Servant!$Z$12+($F129+($F129*0.5*($D129-1)))*(U$3-1)</f>
        <v>2.9664999999999999</v>
      </c>
      <c r="V129" s="53">
        <f>Servant!$Z$12+($F129+($F129*0.5*($D129-1)))*(V$3-1)</f>
        <v>3.004</v>
      </c>
      <c r="W129" s="53">
        <f>Servant!$Z$12+($F129+($F129*0.5*($D129-1)))*(W$3-1)</f>
        <v>3.0415000000000001</v>
      </c>
      <c r="X129" s="53">
        <f>Servant!$Z$12+($F129+($F129*0.5*($D129-1)))*(X$3-1)</f>
        <v>3.0790000000000002</v>
      </c>
      <c r="Y129" s="53">
        <f>Servant!$Z$12+($F129+($F129*0.5*($D129-1)))*(Y$3-1)</f>
        <v>3.1165000000000003</v>
      </c>
      <c r="Z129" s="53">
        <f>Servant!$Z$12+($F129+($F129*0.5*($D129-1)))*(Z$3-1)</f>
        <v>3.1539999999999999</v>
      </c>
      <c r="AA129" s="53">
        <f>Servant!$Z$12+($F129+($F129*0.5*($D129-1)))*(AA$3-1)</f>
        <v>3.1915</v>
      </c>
      <c r="AB129" s="53">
        <f>Servant!$Z$12+($F129+($F129*0.5*($D129-1)))*(AB$3-1)</f>
        <v>3.2290000000000001</v>
      </c>
      <c r="AC129" s="53">
        <f>Servant!$Z$12+($F129+($F129*0.5*($D129-1)))*(AC$3-1)</f>
        <v>3.2665000000000002</v>
      </c>
      <c r="AD129" s="53">
        <f>Servant!$Z$12+($F129+($F129*0.5*($D129-1)))*(AD$3-1)</f>
        <v>3.3040000000000003</v>
      </c>
      <c r="AE129" s="53">
        <f>Servant!$Z$12+($F129+($F129*0.5*($D129-1)))*(AE$3-1)</f>
        <v>3.3414999999999999</v>
      </c>
      <c r="AF129" s="53">
        <f>Servant!$Z$12+($F129+($F129*0.5*($D129-1)))*(AF$3-1)</f>
        <v>3.379</v>
      </c>
      <c r="AG129" s="53">
        <f>Servant!$Z$12+($F129+($F129*0.5*($D129-1)))*(AG$3-1)</f>
        <v>3.4165000000000001</v>
      </c>
      <c r="AH129" s="53">
        <f>Servant!$Z$12+($F129+($F129*0.5*($D129-1)))*(AH$3-1)</f>
        <v>3.4540000000000002</v>
      </c>
      <c r="AI129" s="53">
        <f>Servant!$Z$12+($F129+($F129*0.5*($D129-1)))*(AI$3-1)</f>
        <v>3.4915000000000003</v>
      </c>
      <c r="AJ129" s="53">
        <f>Servant!$Z$12+($F129+($F129*0.5*($D129-1)))*(AJ$3-1)</f>
        <v>3.5289999999999999</v>
      </c>
      <c r="AK129" s="53">
        <f>Servant!$Z$12+($F129+($F129*0.5*($D129-1)))*(AK$3-1)</f>
        <v>3.5665</v>
      </c>
    </row>
    <row r="130" spans="2:37" x14ac:dyDescent="0.3">
      <c r="B130" s="287"/>
      <c r="C130" s="291" t="s">
        <v>244</v>
      </c>
      <c r="D130" s="56">
        <v>3</v>
      </c>
      <c r="E130" s="56">
        <f>ServantLevelUPdStatus!$N$18+(ServantLevelUPdStatus!$N$18*0.5*($D130-1))</f>
        <v>4.2000000000000003E-2</v>
      </c>
      <c r="F130" s="56">
        <f>ServantLevelUPdStatus!N$18</f>
        <v>2.1000000000000001E-2</v>
      </c>
      <c r="H130" s="57">
        <f>Servant!$Z$18+($F130+($F130*0.5*($D130-1)))*(H$3-1)</f>
        <v>3.1869999999999998</v>
      </c>
      <c r="I130" s="57">
        <f>Servant!$Z$18+($F130+($F130*0.5*($D130-1)))*(I$3-1)</f>
        <v>3.2289999999999996</v>
      </c>
      <c r="J130" s="57">
        <f>Servant!$Z$18+($F130+($F130*0.5*($D130-1)))*(J$3-1)</f>
        <v>3.2709999999999999</v>
      </c>
      <c r="K130" s="57">
        <f>Servant!$Z$18+($F130+($F130*0.5*($D130-1)))*(K$3-1)</f>
        <v>3.3129999999999997</v>
      </c>
      <c r="L130" s="57">
        <f>Servant!$Z$18+($F130+($F130*0.5*($D130-1)))*(L$3-1)</f>
        <v>3.355</v>
      </c>
      <c r="M130" s="57">
        <f>Servant!$Z$18+($F130+($F130*0.5*($D130-1)))*(M$3-1)</f>
        <v>3.3969999999999998</v>
      </c>
      <c r="N130" s="57">
        <f>Servant!$Z$18+($F130+($F130*0.5*($D130-1)))*(N$3-1)</f>
        <v>3.4390000000000001</v>
      </c>
      <c r="O130" s="57">
        <f>Servant!$Z$18+($F130+($F130*0.5*($D130-1)))*(O$3-1)</f>
        <v>3.4809999999999999</v>
      </c>
      <c r="P130" s="57">
        <f>Servant!$Z$18+($F130+($F130*0.5*($D130-1)))*(P$3-1)</f>
        <v>3.5229999999999997</v>
      </c>
      <c r="Q130" s="57">
        <f>Servant!$Z$18+($F130+($F130*0.5*($D130-1)))*(Q$3-1)</f>
        <v>3.5649999999999999</v>
      </c>
      <c r="R130" s="57">
        <f>Servant!$Z$18+($F130+($F130*0.5*($D130-1)))*(R$3-1)</f>
        <v>3.6069999999999998</v>
      </c>
      <c r="S130" s="57">
        <f>Servant!$Z$18+($F130+($F130*0.5*($D130-1)))*(S$3-1)</f>
        <v>3.649</v>
      </c>
      <c r="T130" s="57">
        <f>Servant!$Z$18+($F130+($F130*0.5*($D130-1)))*(T$3-1)</f>
        <v>3.6909999999999998</v>
      </c>
      <c r="U130" s="57">
        <f>Servant!$Z$18+($F130+($F130*0.5*($D130-1)))*(U$3-1)</f>
        <v>3.7329999999999997</v>
      </c>
      <c r="V130" s="57">
        <f>Servant!$Z$18+($F130+($F130*0.5*($D130-1)))*(V$3-1)</f>
        <v>3.7749999999999999</v>
      </c>
      <c r="W130" s="57">
        <f>Servant!$Z$18+($F130+($F130*0.5*($D130-1)))*(W$3-1)</f>
        <v>3.8169999999999997</v>
      </c>
      <c r="X130" s="57">
        <f>Servant!$Z$18+($F130+($F130*0.5*($D130-1)))*(X$3-1)</f>
        <v>3.859</v>
      </c>
      <c r="Y130" s="57">
        <f>Servant!$Z$18+($F130+($F130*0.5*($D130-1)))*(Y$3-1)</f>
        <v>3.9009999999999998</v>
      </c>
      <c r="Z130" s="57">
        <f>Servant!$Z$18+($F130+($F130*0.5*($D130-1)))*(Z$3-1)</f>
        <v>3.9429999999999996</v>
      </c>
      <c r="AA130" s="57">
        <f>Servant!$Z$18+($F130+($F130*0.5*($D130-1)))*(AA$3-1)</f>
        <v>3.9849999999999999</v>
      </c>
      <c r="AB130" s="57">
        <f>Servant!$Z$18+($F130+($F130*0.5*($D130-1)))*(AB$3-1)</f>
        <v>4.0270000000000001</v>
      </c>
      <c r="AC130" s="57">
        <f>Servant!$Z$18+($F130+($F130*0.5*($D130-1)))*(AC$3-1)</f>
        <v>4.069</v>
      </c>
      <c r="AD130" s="57">
        <f>Servant!$Z$18+($F130+($F130*0.5*($D130-1)))*(AD$3-1)</f>
        <v>4.1109999999999998</v>
      </c>
      <c r="AE130" s="57">
        <f>Servant!$Z$18+($F130+($F130*0.5*($D130-1)))*(AE$3-1)</f>
        <v>4.1529999999999996</v>
      </c>
      <c r="AF130" s="57">
        <f>Servant!$Z$18+($F130+($F130*0.5*($D130-1)))*(AF$3-1)</f>
        <v>4.1950000000000003</v>
      </c>
      <c r="AG130" s="57">
        <f>Servant!$Z$18+($F130+($F130*0.5*($D130-1)))*(AG$3-1)</f>
        <v>4.2370000000000001</v>
      </c>
      <c r="AH130" s="57">
        <f>Servant!$Z$18+($F130+($F130*0.5*($D130-1)))*(AH$3-1)</f>
        <v>4.2789999999999999</v>
      </c>
      <c r="AI130" s="57">
        <f>Servant!$Z$18+($F130+($F130*0.5*($D130-1)))*(AI$3-1)</f>
        <v>4.3209999999999997</v>
      </c>
      <c r="AJ130" s="57">
        <f>Servant!$Z$18+($F130+($F130*0.5*($D130-1)))*(AJ$3-1)</f>
        <v>4.3629999999999995</v>
      </c>
      <c r="AK130" s="57">
        <f>Servant!$Z$18+($F130+($F130*0.5*($D130-1)))*(AK$3-1)</f>
        <v>4.4049999999999994</v>
      </c>
    </row>
    <row r="131" spans="2:37" x14ac:dyDescent="0.3">
      <c r="B131" s="287"/>
      <c r="C131" s="291"/>
      <c r="D131" s="56">
        <v>4</v>
      </c>
      <c r="E131" s="56">
        <f>ServantLevelUPdStatus!$N$18+(ServantLevelUPdStatus!$N$18*0.5*($D131-1))</f>
        <v>5.2500000000000005E-2</v>
      </c>
      <c r="F131" s="56">
        <f>F130</f>
        <v>2.1000000000000001E-2</v>
      </c>
      <c r="H131" s="57">
        <f>Servant!$Z$18+($F131+($F131*0.5*($D131-1)))*(H$3-1)</f>
        <v>3.1869999999999998</v>
      </c>
      <c r="I131" s="57">
        <f>Servant!$Z$18+($F131+($F131*0.5*($D131-1)))*(I$3-1)</f>
        <v>3.2395</v>
      </c>
      <c r="J131" s="57">
        <f>Servant!$Z$18+($F131+($F131*0.5*($D131-1)))*(J$3-1)</f>
        <v>3.2919999999999998</v>
      </c>
      <c r="K131" s="57">
        <f>Servant!$Z$18+($F131+($F131*0.5*($D131-1)))*(K$3-1)</f>
        <v>3.3445</v>
      </c>
      <c r="L131" s="57">
        <f>Servant!$Z$18+($F131+($F131*0.5*($D131-1)))*(L$3-1)</f>
        <v>3.3969999999999998</v>
      </c>
      <c r="M131" s="57">
        <f>Servant!$Z$18+($F131+($F131*0.5*($D131-1)))*(M$3-1)</f>
        <v>3.4495</v>
      </c>
      <c r="N131" s="57">
        <f>Servant!$Z$18+($F131+($F131*0.5*($D131-1)))*(N$3-1)</f>
        <v>3.5019999999999998</v>
      </c>
      <c r="O131" s="57">
        <f>Servant!$Z$18+($F131+($F131*0.5*($D131-1)))*(O$3-1)</f>
        <v>3.5545</v>
      </c>
      <c r="P131" s="57">
        <f>Servant!$Z$18+($F131+($F131*0.5*($D131-1)))*(P$3-1)</f>
        <v>3.6069999999999998</v>
      </c>
      <c r="Q131" s="57">
        <f>Servant!$Z$18+($F131+($F131*0.5*($D131-1)))*(Q$3-1)</f>
        <v>3.6595</v>
      </c>
      <c r="R131" s="57">
        <f>Servant!$Z$18+($F131+($F131*0.5*($D131-1)))*(R$3-1)</f>
        <v>3.7119999999999997</v>
      </c>
      <c r="S131" s="57">
        <f>Servant!$Z$18+($F131+($F131*0.5*($D131-1)))*(S$3-1)</f>
        <v>3.7645</v>
      </c>
      <c r="T131" s="57">
        <f>Servant!$Z$18+($F131+($F131*0.5*($D131-1)))*(T$3-1)</f>
        <v>3.8170000000000002</v>
      </c>
      <c r="U131" s="57">
        <f>Servant!$Z$18+($F131+($F131*0.5*($D131-1)))*(U$3-1)</f>
        <v>3.8694999999999999</v>
      </c>
      <c r="V131" s="57">
        <f>Servant!$Z$18+($F131+($F131*0.5*($D131-1)))*(V$3-1)</f>
        <v>3.9219999999999997</v>
      </c>
      <c r="W131" s="57">
        <f>Servant!$Z$18+($F131+($F131*0.5*($D131-1)))*(W$3-1)</f>
        <v>3.9744999999999999</v>
      </c>
      <c r="X131" s="57">
        <f>Servant!$Z$18+($F131+($F131*0.5*($D131-1)))*(X$3-1)</f>
        <v>4.0270000000000001</v>
      </c>
      <c r="Y131" s="57">
        <f>Servant!$Z$18+($F131+($F131*0.5*($D131-1)))*(Y$3-1)</f>
        <v>4.0794999999999995</v>
      </c>
      <c r="Z131" s="57">
        <f>Servant!$Z$18+($F131+($F131*0.5*($D131-1)))*(Z$3-1)</f>
        <v>4.1319999999999997</v>
      </c>
      <c r="AA131" s="57">
        <f>Servant!$Z$18+($F131+($F131*0.5*($D131-1)))*(AA$3-1)</f>
        <v>4.1844999999999999</v>
      </c>
      <c r="AB131" s="57">
        <f>Servant!$Z$18+($F131+($F131*0.5*($D131-1)))*(AB$3-1)</f>
        <v>4.2370000000000001</v>
      </c>
      <c r="AC131" s="57">
        <f>Servant!$Z$18+($F131+($F131*0.5*($D131-1)))*(AC$3-1)</f>
        <v>4.2895000000000003</v>
      </c>
      <c r="AD131" s="57">
        <f>Servant!$Z$18+($F131+($F131*0.5*($D131-1)))*(AD$3-1)</f>
        <v>4.3419999999999996</v>
      </c>
      <c r="AE131" s="57">
        <f>Servant!$Z$18+($F131+($F131*0.5*($D131-1)))*(AE$3-1)</f>
        <v>4.3944999999999999</v>
      </c>
      <c r="AF131" s="57">
        <f>Servant!$Z$18+($F131+($F131*0.5*($D131-1)))*(AF$3-1)</f>
        <v>4.4470000000000001</v>
      </c>
      <c r="AG131" s="57">
        <f>Servant!$Z$18+($F131+($F131*0.5*($D131-1)))*(AG$3-1)</f>
        <v>4.4995000000000003</v>
      </c>
      <c r="AH131" s="57">
        <f>Servant!$Z$18+($F131+($F131*0.5*($D131-1)))*(AH$3-1)</f>
        <v>4.5519999999999996</v>
      </c>
      <c r="AI131" s="57">
        <f>Servant!$Z$18+($F131+($F131*0.5*($D131-1)))*(AI$3-1)</f>
        <v>4.6044999999999998</v>
      </c>
      <c r="AJ131" s="57">
        <f>Servant!$Z$18+($F131+($F131*0.5*($D131-1)))*(AJ$3-1)</f>
        <v>4.657</v>
      </c>
      <c r="AK131" s="57">
        <f>Servant!$Z$18+($F131+($F131*0.5*($D131-1)))*(AK$3-1)</f>
        <v>4.7095000000000002</v>
      </c>
    </row>
    <row r="132" spans="2:37" x14ac:dyDescent="0.3">
      <c r="B132" s="287"/>
      <c r="C132" s="291"/>
      <c r="D132" s="56">
        <v>5</v>
      </c>
      <c r="E132" s="56">
        <f>ServantLevelUPdStatus!$N$18+(ServantLevelUPdStatus!$N$18*0.5*($D132-1))</f>
        <v>6.3E-2</v>
      </c>
      <c r="F132" s="56">
        <f>F131</f>
        <v>2.1000000000000001E-2</v>
      </c>
      <c r="H132" s="57">
        <f>Servant!$Z$18+($F132+($F132*0.5*($D132-1)))*(H$3-1)</f>
        <v>3.1869999999999998</v>
      </c>
      <c r="I132" s="57">
        <f>Servant!$Z$18+($F132+($F132*0.5*($D132-1)))*(I$3-1)</f>
        <v>3.25</v>
      </c>
      <c r="J132" s="57">
        <f>Servant!$Z$18+($F132+($F132*0.5*($D132-1)))*(J$3-1)</f>
        <v>3.3129999999999997</v>
      </c>
      <c r="K132" s="57">
        <f>Servant!$Z$18+($F132+($F132*0.5*($D132-1)))*(K$3-1)</f>
        <v>3.3759999999999999</v>
      </c>
      <c r="L132" s="57">
        <f>Servant!$Z$18+($F132+($F132*0.5*($D132-1)))*(L$3-1)</f>
        <v>3.4390000000000001</v>
      </c>
      <c r="M132" s="57">
        <f>Servant!$Z$18+($F132+($F132*0.5*($D132-1)))*(M$3-1)</f>
        <v>3.5019999999999998</v>
      </c>
      <c r="N132" s="57">
        <f>Servant!$Z$18+($F132+($F132*0.5*($D132-1)))*(N$3-1)</f>
        <v>3.5649999999999999</v>
      </c>
      <c r="O132" s="57">
        <f>Servant!$Z$18+($F132+($F132*0.5*($D132-1)))*(O$3-1)</f>
        <v>3.6279999999999997</v>
      </c>
      <c r="P132" s="57">
        <f>Servant!$Z$18+($F132+($F132*0.5*($D132-1)))*(P$3-1)</f>
        <v>3.6909999999999998</v>
      </c>
      <c r="Q132" s="57">
        <f>Servant!$Z$18+($F132+($F132*0.5*($D132-1)))*(Q$3-1)</f>
        <v>3.7539999999999996</v>
      </c>
      <c r="R132" s="57">
        <f>Servant!$Z$18+($F132+($F132*0.5*($D132-1)))*(R$3-1)</f>
        <v>3.8169999999999997</v>
      </c>
      <c r="S132" s="57">
        <f>Servant!$Z$18+($F132+($F132*0.5*($D132-1)))*(S$3-1)</f>
        <v>3.88</v>
      </c>
      <c r="T132" s="57">
        <f>Servant!$Z$18+($F132+($F132*0.5*($D132-1)))*(T$3-1)</f>
        <v>3.9429999999999996</v>
      </c>
      <c r="U132" s="57">
        <f>Servant!$Z$18+($F132+($F132*0.5*($D132-1)))*(U$3-1)</f>
        <v>4.0060000000000002</v>
      </c>
      <c r="V132" s="57">
        <f>Servant!$Z$18+($F132+($F132*0.5*($D132-1)))*(V$3-1)</f>
        <v>4.069</v>
      </c>
      <c r="W132" s="57">
        <f>Servant!$Z$18+($F132+($F132*0.5*($D132-1)))*(W$3-1)</f>
        <v>4.1319999999999997</v>
      </c>
      <c r="X132" s="57">
        <f>Servant!$Z$18+($F132+($F132*0.5*($D132-1)))*(X$3-1)</f>
        <v>4.1950000000000003</v>
      </c>
      <c r="Y132" s="57">
        <f>Servant!$Z$18+($F132+($F132*0.5*($D132-1)))*(Y$3-1)</f>
        <v>4.258</v>
      </c>
      <c r="Z132" s="57">
        <f>Servant!$Z$18+($F132+($F132*0.5*($D132-1)))*(Z$3-1)</f>
        <v>4.3209999999999997</v>
      </c>
      <c r="AA132" s="57">
        <f>Servant!$Z$18+($F132+($F132*0.5*($D132-1)))*(AA$3-1)</f>
        <v>4.3840000000000003</v>
      </c>
      <c r="AB132" s="57">
        <f>Servant!$Z$18+($F132+($F132*0.5*($D132-1)))*(AB$3-1)</f>
        <v>4.4470000000000001</v>
      </c>
      <c r="AC132" s="57">
        <f>Servant!$Z$18+($F132+($F132*0.5*($D132-1)))*(AC$3-1)</f>
        <v>4.51</v>
      </c>
      <c r="AD132" s="57">
        <f>Servant!$Z$18+($F132+($F132*0.5*($D132-1)))*(AD$3-1)</f>
        <v>4.5730000000000004</v>
      </c>
      <c r="AE132" s="57">
        <f>Servant!$Z$18+($F132+($F132*0.5*($D132-1)))*(AE$3-1)</f>
        <v>4.6360000000000001</v>
      </c>
      <c r="AF132" s="57">
        <f>Servant!$Z$18+($F132+($F132*0.5*($D132-1)))*(AF$3-1)</f>
        <v>4.6989999999999998</v>
      </c>
      <c r="AG132" s="57">
        <f>Servant!$Z$18+($F132+($F132*0.5*($D132-1)))*(AG$3-1)</f>
        <v>4.7619999999999996</v>
      </c>
      <c r="AH132" s="57">
        <f>Servant!$Z$18+($F132+($F132*0.5*($D132-1)))*(AH$3-1)</f>
        <v>4.8249999999999993</v>
      </c>
      <c r="AI132" s="57">
        <f>Servant!$Z$18+($F132+($F132*0.5*($D132-1)))*(AI$3-1)</f>
        <v>4.8879999999999999</v>
      </c>
      <c r="AJ132" s="57">
        <f>Servant!$Z$18+($F132+($F132*0.5*($D132-1)))*(AJ$3-1)</f>
        <v>4.9509999999999996</v>
      </c>
      <c r="AK132" s="57">
        <f>Servant!$Z$18+($F132+($F132*0.5*($D132-1)))*(AK$3-1)</f>
        <v>5.0139999999999993</v>
      </c>
    </row>
    <row r="133" spans="2:37" x14ac:dyDescent="0.3">
      <c r="B133" s="287"/>
      <c r="C133" s="292" t="s">
        <v>245</v>
      </c>
      <c r="D133" s="58">
        <v>4</v>
      </c>
      <c r="E133" s="58">
        <f>ServantLevelUPdStatus!$N$22+(ServantLevelUPdStatus!$N$22*0.5*($D133-1))</f>
        <v>7.4999999999999997E-2</v>
      </c>
      <c r="F133" s="58">
        <f>ServantLevelUPdStatus!N$22</f>
        <v>0.03</v>
      </c>
      <c r="H133" s="59">
        <f>Servant!$Z$22+($F133+($F133*0.5*($D133-1)))*(H$3-1)</f>
        <v>4.1059999999999999</v>
      </c>
      <c r="I133" s="59">
        <f>Servant!$Z$22+($F133+($F133*0.5*($D133-1)))*(I$3-1)</f>
        <v>4.181</v>
      </c>
      <c r="J133" s="59">
        <f>Servant!$Z$22+($F133+($F133*0.5*($D133-1)))*(J$3-1)</f>
        <v>4.2560000000000002</v>
      </c>
      <c r="K133" s="59">
        <f>Servant!$Z$22+($F133+($F133*0.5*($D133-1)))*(K$3-1)</f>
        <v>4.3309999999999995</v>
      </c>
      <c r="L133" s="59">
        <f>Servant!$Z$22+($F133+($F133*0.5*($D133-1)))*(L$3-1)</f>
        <v>4.4059999999999997</v>
      </c>
      <c r="M133" s="59">
        <f>Servant!$Z$22+($F133+($F133*0.5*($D133-1)))*(M$3-1)</f>
        <v>4.4809999999999999</v>
      </c>
      <c r="N133" s="59">
        <f>Servant!$Z$22+($F133+($F133*0.5*($D133-1)))*(N$3-1)</f>
        <v>4.556</v>
      </c>
      <c r="O133" s="59">
        <f>Servant!$Z$22+($F133+($F133*0.5*($D133-1)))*(O$3-1)</f>
        <v>4.6310000000000002</v>
      </c>
      <c r="P133" s="59">
        <f>Servant!$Z$22+($F133+($F133*0.5*($D133-1)))*(P$3-1)</f>
        <v>4.7059999999999995</v>
      </c>
      <c r="Q133" s="59">
        <f>Servant!$Z$22+($F133+($F133*0.5*($D133-1)))*(Q$3-1)</f>
        <v>4.7809999999999997</v>
      </c>
      <c r="R133" s="59">
        <f>Servant!$Z$22+($F133+($F133*0.5*($D133-1)))*(R$3-1)</f>
        <v>4.8559999999999999</v>
      </c>
      <c r="S133" s="59">
        <f>Servant!$Z$22+($F133+($F133*0.5*($D133-1)))*(S$3-1)</f>
        <v>4.931</v>
      </c>
      <c r="T133" s="59">
        <f>Servant!$Z$22+($F133+($F133*0.5*($D133-1)))*(T$3-1)</f>
        <v>5.0060000000000002</v>
      </c>
      <c r="U133" s="59">
        <f>Servant!$Z$22+($F133+($F133*0.5*($D133-1)))*(U$3-1)</f>
        <v>5.0809999999999995</v>
      </c>
      <c r="V133" s="59">
        <f>Servant!$Z$22+($F133+($F133*0.5*($D133-1)))*(V$3-1)</f>
        <v>5.1559999999999997</v>
      </c>
      <c r="W133" s="59">
        <f>Servant!$Z$22+($F133+($F133*0.5*($D133-1)))*(W$3-1)</f>
        <v>5.2309999999999999</v>
      </c>
      <c r="X133" s="59">
        <f>Servant!$Z$22+($F133+($F133*0.5*($D133-1)))*(X$3-1)</f>
        <v>5.306</v>
      </c>
      <c r="Y133" s="59">
        <f>Servant!$Z$22+($F133+($F133*0.5*($D133-1)))*(Y$3-1)</f>
        <v>5.3810000000000002</v>
      </c>
      <c r="Z133" s="59">
        <f>Servant!$Z$22+($F133+($F133*0.5*($D133-1)))*(Z$3-1)</f>
        <v>5.4559999999999995</v>
      </c>
      <c r="AA133" s="59">
        <f>Servant!$Z$22+($F133+($F133*0.5*($D133-1)))*(AA$3-1)</f>
        <v>5.5309999999999997</v>
      </c>
      <c r="AB133" s="59">
        <f>Servant!$Z$22+($F133+($F133*0.5*($D133-1)))*(AB$3-1)</f>
        <v>5.6059999999999999</v>
      </c>
      <c r="AC133" s="59">
        <f>Servant!$Z$22+($F133+($F133*0.5*($D133-1)))*(AC$3-1)</f>
        <v>5.681</v>
      </c>
      <c r="AD133" s="59">
        <f>Servant!$Z$22+($F133+($F133*0.5*($D133-1)))*(AD$3-1)</f>
        <v>5.7560000000000002</v>
      </c>
      <c r="AE133" s="59">
        <f>Servant!$Z$22+($F133+($F133*0.5*($D133-1)))*(AE$3-1)</f>
        <v>5.8309999999999995</v>
      </c>
      <c r="AF133" s="59">
        <f>Servant!$Z$22+($F133+($F133*0.5*($D133-1)))*(AF$3-1)</f>
        <v>5.9059999999999997</v>
      </c>
      <c r="AG133" s="59">
        <f>Servant!$Z$22+($F133+($F133*0.5*($D133-1)))*(AG$3-1)</f>
        <v>5.9809999999999999</v>
      </c>
      <c r="AH133" s="59">
        <f>Servant!$Z$22+($F133+($F133*0.5*($D133-1)))*(AH$3-1)</f>
        <v>6.056</v>
      </c>
      <c r="AI133" s="59">
        <f>Servant!$Z$22+($F133+($F133*0.5*($D133-1)))*(AI$3-1)</f>
        <v>6.1310000000000002</v>
      </c>
      <c r="AJ133" s="59">
        <f>Servant!$Z$22+($F133+($F133*0.5*($D133-1)))*(AJ$3-1)</f>
        <v>6.2059999999999995</v>
      </c>
      <c r="AK133" s="59">
        <f>Servant!$Z$22+($F133+($F133*0.5*($D133-1)))*(AK$3-1)</f>
        <v>6.2809999999999997</v>
      </c>
    </row>
    <row r="134" spans="2:37" x14ac:dyDescent="0.3">
      <c r="B134" s="287"/>
      <c r="C134" s="292"/>
      <c r="D134" s="58">
        <v>5</v>
      </c>
      <c r="E134" s="58">
        <f>ServantLevelUPdStatus!$N$22+(ServantLevelUPdStatus!$N$22*0.5*($D134-1))</f>
        <v>0.09</v>
      </c>
      <c r="F134" s="58">
        <f>F133</f>
        <v>0.03</v>
      </c>
      <c r="H134" s="59">
        <f>Servant!$Z$22+($F134+($F134*0.5*($D134-1)))*(H$3-1)</f>
        <v>4.1059999999999999</v>
      </c>
      <c r="I134" s="59">
        <f>Servant!$Z$22+($F134+($F134*0.5*($D134-1)))*(I$3-1)</f>
        <v>4.1959999999999997</v>
      </c>
      <c r="J134" s="59">
        <f>Servant!$Z$22+($F134+($F134*0.5*($D134-1)))*(J$3-1)</f>
        <v>4.2859999999999996</v>
      </c>
      <c r="K134" s="59">
        <f>Servant!$Z$22+($F134+($F134*0.5*($D134-1)))*(K$3-1)</f>
        <v>4.3759999999999994</v>
      </c>
      <c r="L134" s="59">
        <f>Servant!$Z$22+($F134+($F134*0.5*($D134-1)))*(L$3-1)</f>
        <v>4.4660000000000002</v>
      </c>
      <c r="M134" s="59">
        <f>Servant!$Z$22+($F134+($F134*0.5*($D134-1)))*(M$3-1)</f>
        <v>4.556</v>
      </c>
      <c r="N134" s="59">
        <f>Servant!$Z$22+($F134+($F134*0.5*($D134-1)))*(N$3-1)</f>
        <v>4.6459999999999999</v>
      </c>
      <c r="O134" s="59">
        <f>Servant!$Z$22+($F134+($F134*0.5*($D134-1)))*(O$3-1)</f>
        <v>4.7359999999999998</v>
      </c>
      <c r="P134" s="59">
        <f>Servant!$Z$22+($F134+($F134*0.5*($D134-1)))*(P$3-1)</f>
        <v>4.8259999999999996</v>
      </c>
      <c r="Q134" s="59">
        <f>Servant!$Z$22+($F134+($F134*0.5*($D134-1)))*(Q$3-1)</f>
        <v>4.9159999999999995</v>
      </c>
      <c r="R134" s="59">
        <f>Servant!$Z$22+($F134+($F134*0.5*($D134-1)))*(R$3-1)</f>
        <v>5.0060000000000002</v>
      </c>
      <c r="S134" s="59">
        <f>Servant!$Z$22+($F134+($F134*0.5*($D134-1)))*(S$3-1)</f>
        <v>5.0960000000000001</v>
      </c>
      <c r="T134" s="59">
        <f>Servant!$Z$22+($F134+($F134*0.5*($D134-1)))*(T$3-1)</f>
        <v>5.1859999999999999</v>
      </c>
      <c r="U134" s="59">
        <f>Servant!$Z$22+($F134+($F134*0.5*($D134-1)))*(U$3-1)</f>
        <v>5.2759999999999998</v>
      </c>
      <c r="V134" s="59">
        <f>Servant!$Z$22+($F134+($F134*0.5*($D134-1)))*(V$3-1)</f>
        <v>5.3659999999999997</v>
      </c>
      <c r="W134" s="59">
        <f>Servant!$Z$22+($F134+($F134*0.5*($D134-1)))*(W$3-1)</f>
        <v>5.4559999999999995</v>
      </c>
      <c r="X134" s="59">
        <f>Servant!$Z$22+($F134+($F134*0.5*($D134-1)))*(X$3-1)</f>
        <v>5.5459999999999994</v>
      </c>
      <c r="Y134" s="59">
        <f>Servant!$Z$22+($F134+($F134*0.5*($D134-1)))*(Y$3-1)</f>
        <v>5.6360000000000001</v>
      </c>
      <c r="Z134" s="59">
        <f>Servant!$Z$22+($F134+($F134*0.5*($D134-1)))*(Z$3-1)</f>
        <v>5.726</v>
      </c>
      <c r="AA134" s="59">
        <f>Servant!$Z$22+($F134+($F134*0.5*($D134-1)))*(AA$3-1)</f>
        <v>5.8159999999999998</v>
      </c>
      <c r="AB134" s="59">
        <f>Servant!$Z$22+($F134+($F134*0.5*($D134-1)))*(AB$3-1)</f>
        <v>5.9059999999999997</v>
      </c>
      <c r="AC134" s="59">
        <f>Servant!$Z$22+($F134+($F134*0.5*($D134-1)))*(AC$3-1)</f>
        <v>5.9959999999999996</v>
      </c>
      <c r="AD134" s="59">
        <f>Servant!$Z$22+($F134+($F134*0.5*($D134-1)))*(AD$3-1)</f>
        <v>6.0860000000000003</v>
      </c>
      <c r="AE134" s="59">
        <f>Servant!$Z$22+($F134+($F134*0.5*($D134-1)))*(AE$3-1)</f>
        <v>6.1760000000000002</v>
      </c>
      <c r="AF134" s="59">
        <f>Servant!$Z$22+($F134+($F134*0.5*($D134-1)))*(AF$3-1)</f>
        <v>6.266</v>
      </c>
      <c r="AG134" s="59">
        <f>Servant!$Z$22+($F134+($F134*0.5*($D134-1)))*(AG$3-1)</f>
        <v>6.3559999999999999</v>
      </c>
      <c r="AH134" s="59">
        <f>Servant!$Z$22+($F134+($F134*0.5*($D134-1)))*(AH$3-1)</f>
        <v>6.4459999999999997</v>
      </c>
      <c r="AI134" s="59">
        <f>Servant!$Z$22+($F134+($F134*0.5*($D134-1)))*(AI$3-1)</f>
        <v>6.5359999999999996</v>
      </c>
      <c r="AJ134" s="59">
        <f>Servant!$Z$22+($F134+($F134*0.5*($D134-1)))*(AJ$3-1)</f>
        <v>6.6259999999999994</v>
      </c>
      <c r="AK134" s="59">
        <f>Servant!$Z$22+($F134+($F134*0.5*($D134-1)))*(AK$3-1)</f>
        <v>6.7159999999999993</v>
      </c>
    </row>
    <row r="135" spans="2:37" x14ac:dyDescent="0.3">
      <c r="B135" s="287"/>
      <c r="C135" s="292"/>
      <c r="D135" s="58">
        <v>6</v>
      </c>
      <c r="E135" s="58">
        <f>ServantLevelUPdStatus!$N$22+(ServantLevelUPdStatus!$N$22*0.5*($D135-1))</f>
        <v>0.105</v>
      </c>
      <c r="F135" s="58">
        <f>F134</f>
        <v>0.03</v>
      </c>
      <c r="H135" s="59">
        <f>Servant!$Z$22+($F135+($F135*0.5*($D135-1)))*(H$3-1)</f>
        <v>4.1059999999999999</v>
      </c>
      <c r="I135" s="59">
        <f>Servant!$Z$22+($F135+($F135*0.5*($D135-1)))*(I$3-1)</f>
        <v>4.2110000000000003</v>
      </c>
      <c r="J135" s="59">
        <f>Servant!$Z$22+($F135+($F135*0.5*($D135-1)))*(J$3-1)</f>
        <v>4.3159999999999998</v>
      </c>
      <c r="K135" s="59">
        <f>Servant!$Z$22+($F135+($F135*0.5*($D135-1)))*(K$3-1)</f>
        <v>4.4210000000000003</v>
      </c>
      <c r="L135" s="59">
        <f>Servant!$Z$22+($F135+($F135*0.5*($D135-1)))*(L$3-1)</f>
        <v>4.5259999999999998</v>
      </c>
      <c r="M135" s="59">
        <f>Servant!$Z$22+($F135+($F135*0.5*($D135-1)))*(M$3-1)</f>
        <v>4.6310000000000002</v>
      </c>
      <c r="N135" s="59">
        <f>Servant!$Z$22+($F135+($F135*0.5*($D135-1)))*(N$3-1)</f>
        <v>4.7359999999999998</v>
      </c>
      <c r="O135" s="59">
        <f>Servant!$Z$22+($F135+($F135*0.5*($D135-1)))*(O$3-1)</f>
        <v>4.8410000000000002</v>
      </c>
      <c r="P135" s="59">
        <f>Servant!$Z$22+($F135+($F135*0.5*($D135-1)))*(P$3-1)</f>
        <v>4.9459999999999997</v>
      </c>
      <c r="Q135" s="59">
        <f>Servant!$Z$22+($F135+($F135*0.5*($D135-1)))*(Q$3-1)</f>
        <v>5.0510000000000002</v>
      </c>
      <c r="R135" s="59">
        <f>Servant!$Z$22+($F135+($F135*0.5*($D135-1)))*(R$3-1)</f>
        <v>5.1559999999999997</v>
      </c>
      <c r="S135" s="59">
        <f>Servant!$Z$22+($F135+($F135*0.5*($D135-1)))*(S$3-1)</f>
        <v>5.2610000000000001</v>
      </c>
      <c r="T135" s="59">
        <f>Servant!$Z$22+($F135+($F135*0.5*($D135-1)))*(T$3-1)</f>
        <v>5.3659999999999997</v>
      </c>
      <c r="U135" s="59">
        <f>Servant!$Z$22+($F135+($F135*0.5*($D135-1)))*(U$3-1)</f>
        <v>5.4710000000000001</v>
      </c>
      <c r="V135" s="59">
        <f>Servant!$Z$22+($F135+($F135*0.5*($D135-1)))*(V$3-1)</f>
        <v>5.5759999999999996</v>
      </c>
      <c r="W135" s="59">
        <f>Servant!$Z$22+($F135+($F135*0.5*($D135-1)))*(W$3-1)</f>
        <v>5.681</v>
      </c>
      <c r="X135" s="59">
        <f>Servant!$Z$22+($F135+($F135*0.5*($D135-1)))*(X$3-1)</f>
        <v>5.7859999999999996</v>
      </c>
      <c r="Y135" s="59">
        <f>Servant!$Z$22+($F135+($F135*0.5*($D135-1)))*(Y$3-1)</f>
        <v>5.891</v>
      </c>
      <c r="Z135" s="59">
        <f>Servant!$Z$22+($F135+($F135*0.5*($D135-1)))*(Z$3-1)</f>
        <v>5.9959999999999996</v>
      </c>
      <c r="AA135" s="59">
        <f>Servant!$Z$22+($F135+($F135*0.5*($D135-1)))*(AA$3-1)</f>
        <v>6.101</v>
      </c>
      <c r="AB135" s="59">
        <f>Servant!$Z$22+($F135+($F135*0.5*($D135-1)))*(AB$3-1)</f>
        <v>6.2059999999999995</v>
      </c>
      <c r="AC135" s="59">
        <f>Servant!$Z$22+($F135+($F135*0.5*($D135-1)))*(AC$3-1)</f>
        <v>6.3109999999999999</v>
      </c>
      <c r="AD135" s="59">
        <f>Servant!$Z$22+($F135+($F135*0.5*($D135-1)))*(AD$3-1)</f>
        <v>6.4160000000000004</v>
      </c>
      <c r="AE135" s="59">
        <f>Servant!$Z$22+($F135+($F135*0.5*($D135-1)))*(AE$3-1)</f>
        <v>6.5209999999999999</v>
      </c>
      <c r="AF135" s="59">
        <f>Servant!$Z$22+($F135+($F135*0.5*($D135-1)))*(AF$3-1)</f>
        <v>6.6259999999999994</v>
      </c>
      <c r="AG135" s="59">
        <f>Servant!$Z$22+($F135+($F135*0.5*($D135-1)))*(AG$3-1)</f>
        <v>6.7309999999999999</v>
      </c>
      <c r="AH135" s="59">
        <f>Servant!$Z$22+($F135+($F135*0.5*($D135-1)))*(AH$3-1)</f>
        <v>6.8360000000000003</v>
      </c>
      <c r="AI135" s="59">
        <f>Servant!$Z$22+($F135+($F135*0.5*($D135-1)))*(AI$3-1)</f>
        <v>6.9409999999999998</v>
      </c>
      <c r="AJ135" s="59">
        <f>Servant!$Z$22+($F135+($F135*0.5*($D135-1)))*(AJ$3-1)</f>
        <v>7.0459999999999994</v>
      </c>
      <c r="AK135" s="59">
        <f>Servant!$Z$22+($F135+($F135*0.5*($D135-1)))*(AK$3-1)</f>
        <v>7.1509999999999998</v>
      </c>
    </row>
    <row r="137" spans="2:37" ht="16.5" customHeight="1" x14ac:dyDescent="0.3">
      <c r="B137" s="286" t="s">
        <v>254</v>
      </c>
      <c r="C137" s="289" t="s">
        <v>217</v>
      </c>
      <c r="D137" s="54">
        <v>1</v>
      </c>
      <c r="E137" s="54">
        <f>ServantLevelUPdStatus!$O$6+(ServantLevelUPdStatus!$O$6*0.5*($D137-1))</f>
        <v>0.123</v>
      </c>
      <c r="F137" s="54">
        <f>ServantLevelUPdStatus!O$6</f>
        <v>0.123</v>
      </c>
      <c r="H137" s="55">
        <f>Servant!$AA$6+($F137+($F137*0.5*($D137-1)))*(H$3-1)</f>
        <v>100.87</v>
      </c>
      <c r="I137" s="55">
        <f>Servant!$AA$6+($F137+($F137*0.5*($D137-1)))*(I$3-1)</f>
        <v>100.99300000000001</v>
      </c>
      <c r="J137" s="55">
        <f>Servant!$AA$6+($F137+($F137*0.5*($D137-1)))*(J$3-1)</f>
        <v>101.116</v>
      </c>
      <c r="K137" s="55">
        <f>Servant!$AA$6+($F137+($F137*0.5*($D137-1)))*(K$3-1)</f>
        <v>101.239</v>
      </c>
      <c r="L137" s="55">
        <f>Servant!$AA$6+($F137+($F137*0.5*($D137-1)))*(L$3-1)</f>
        <v>101.36200000000001</v>
      </c>
      <c r="M137" s="55">
        <f>Servant!$AA$6+($F137+($F137*0.5*($D137-1)))*(M$3-1)</f>
        <v>101.485</v>
      </c>
      <c r="N137" s="55">
        <f>Servant!$AA$6+($F137+($F137*0.5*($D137-1)))*(N$3-1)</f>
        <v>101.608</v>
      </c>
      <c r="O137" s="55">
        <f>Servant!$AA$6+($F137+($F137*0.5*($D137-1)))*(O$3-1)</f>
        <v>101.73100000000001</v>
      </c>
      <c r="P137" s="55">
        <f>Servant!$AA$6+($F137+($F137*0.5*($D137-1)))*(P$3-1)</f>
        <v>101.854</v>
      </c>
      <c r="Q137" s="55">
        <f>Servant!$AA$6+($F137+($F137*0.5*($D137-1)))*(Q$3-1)</f>
        <v>101.977</v>
      </c>
      <c r="R137" s="55">
        <f>Servant!$AA$6+($F137+($F137*0.5*($D137-1)))*(R$3-1)</f>
        <v>102.10000000000001</v>
      </c>
      <c r="S137" s="55">
        <f>Servant!$AA$6+($F137+($F137*0.5*($D137-1)))*(S$3-1)</f>
        <v>102.223</v>
      </c>
      <c r="T137" s="55">
        <f>Servant!$AA$6+($F137+($F137*0.5*($D137-1)))*(T$3-1)</f>
        <v>102.346</v>
      </c>
      <c r="U137" s="55">
        <f>Servant!$AA$6+($F137+($F137*0.5*($D137-1)))*(U$3-1)</f>
        <v>102.46900000000001</v>
      </c>
      <c r="V137" s="55">
        <f>Servant!$AA$6+($F137+($F137*0.5*($D137-1)))*(V$3-1)</f>
        <v>102.592</v>
      </c>
      <c r="W137" s="55">
        <f>Servant!$AA$6+($F137+($F137*0.5*($D137-1)))*(W$3-1)</f>
        <v>102.715</v>
      </c>
      <c r="X137" s="55">
        <f>Servant!$AA$6+($F137+($F137*0.5*($D137-1)))*(X$3-1)</f>
        <v>102.83800000000001</v>
      </c>
      <c r="Y137" s="55">
        <f>Servant!$AA$6+($F137+($F137*0.5*($D137-1)))*(Y$3-1)</f>
        <v>102.961</v>
      </c>
      <c r="Z137" s="55">
        <f>Servant!$AA$6+($F137+($F137*0.5*($D137-1)))*(Z$3-1)</f>
        <v>103.084</v>
      </c>
      <c r="AA137" s="55">
        <f>Servant!$AA$6+($F137+($F137*0.5*($D137-1)))*(AA$3-1)</f>
        <v>103.20700000000001</v>
      </c>
      <c r="AB137" s="55">
        <f>Servant!$AA$6+($F137+($F137*0.5*($D137-1)))*(AB$3-1)</f>
        <v>103.33</v>
      </c>
      <c r="AC137" s="55">
        <f>Servant!$AA$6+($F137+($F137*0.5*($D137-1)))*(AC$3-1)</f>
        <v>103.453</v>
      </c>
      <c r="AD137" s="55">
        <f>Servant!$AA$6+($F137+($F137*0.5*($D137-1)))*(AD$3-1)</f>
        <v>103.57600000000001</v>
      </c>
      <c r="AE137" s="55">
        <f>Servant!$AA$6+($F137+($F137*0.5*($D137-1)))*(AE$3-1)</f>
        <v>103.699</v>
      </c>
      <c r="AF137" s="55">
        <f>Servant!$AA$6+($F137+($F137*0.5*($D137-1)))*(AF$3-1)</f>
        <v>103.822</v>
      </c>
      <c r="AG137" s="55">
        <f>Servant!$AA$6+($F137+($F137*0.5*($D137-1)))*(AG$3-1)</f>
        <v>103.94500000000001</v>
      </c>
      <c r="AH137" s="55">
        <f>Servant!$AA$6+($F137+($F137*0.5*($D137-1)))*(AH$3-1)</f>
        <v>104.068</v>
      </c>
      <c r="AI137" s="55">
        <f>Servant!$AA$6+($F137+($F137*0.5*($D137-1)))*(AI$3-1)</f>
        <v>104.191</v>
      </c>
      <c r="AJ137" s="55">
        <f>Servant!$AA$6+($F137+($F137*0.5*($D137-1)))*(AJ$3-1)</f>
        <v>104.31400000000001</v>
      </c>
      <c r="AK137" s="55">
        <f>Servant!$AA$6+($F137+($F137*0.5*($D137-1)))*(AK$3-1)</f>
        <v>104.43700000000001</v>
      </c>
    </row>
    <row r="138" spans="2:37" x14ac:dyDescent="0.3">
      <c r="B138" s="287"/>
      <c r="C138" s="289"/>
      <c r="D138" s="54">
        <v>2</v>
      </c>
      <c r="E138" s="54">
        <f>ServantLevelUPdStatus!$O$6+(ServantLevelUPdStatus!$O$6*0.5*($D138-1))</f>
        <v>0.1845</v>
      </c>
      <c r="F138" s="54">
        <f>F137</f>
        <v>0.123</v>
      </c>
      <c r="H138" s="55">
        <f>Servant!$AA$6+($F138+($F138*0.5*($D138-1)))*(H$3-1)</f>
        <v>100.87</v>
      </c>
      <c r="I138" s="55">
        <f>Servant!$AA$6+($F138+($F138*0.5*($D138-1)))*(I$3-1)</f>
        <v>101.0545</v>
      </c>
      <c r="J138" s="55">
        <f>Servant!$AA$6+($F138+($F138*0.5*($D138-1)))*(J$3-1)</f>
        <v>101.239</v>
      </c>
      <c r="K138" s="55">
        <f>Servant!$AA$6+($F138+($F138*0.5*($D138-1)))*(K$3-1)</f>
        <v>101.4235</v>
      </c>
      <c r="L138" s="55">
        <f>Servant!$AA$6+($F138+($F138*0.5*($D138-1)))*(L$3-1)</f>
        <v>101.608</v>
      </c>
      <c r="M138" s="55">
        <f>Servant!$AA$6+($F138+($F138*0.5*($D138-1)))*(M$3-1)</f>
        <v>101.7925</v>
      </c>
      <c r="N138" s="55">
        <f>Servant!$AA$6+($F138+($F138*0.5*($D138-1)))*(N$3-1)</f>
        <v>101.977</v>
      </c>
      <c r="O138" s="55">
        <f>Servant!$AA$6+($F138+($F138*0.5*($D138-1)))*(O$3-1)</f>
        <v>102.1615</v>
      </c>
      <c r="P138" s="55">
        <f>Servant!$AA$6+($F138+($F138*0.5*($D138-1)))*(P$3-1)</f>
        <v>102.346</v>
      </c>
      <c r="Q138" s="55">
        <f>Servant!$AA$6+($F138+($F138*0.5*($D138-1)))*(Q$3-1)</f>
        <v>102.5305</v>
      </c>
      <c r="R138" s="55">
        <f>Servant!$AA$6+($F138+($F138*0.5*($D138-1)))*(R$3-1)</f>
        <v>102.715</v>
      </c>
      <c r="S138" s="55">
        <f>Servant!$AA$6+($F138+($F138*0.5*($D138-1)))*(S$3-1)</f>
        <v>102.8995</v>
      </c>
      <c r="T138" s="55">
        <f>Servant!$AA$6+($F138+($F138*0.5*($D138-1)))*(T$3-1)</f>
        <v>103.084</v>
      </c>
      <c r="U138" s="55">
        <f>Servant!$AA$6+($F138+($F138*0.5*($D138-1)))*(U$3-1)</f>
        <v>103.2685</v>
      </c>
      <c r="V138" s="55">
        <f>Servant!$AA$6+($F138+($F138*0.5*($D138-1)))*(V$3-1)</f>
        <v>103.453</v>
      </c>
      <c r="W138" s="55">
        <f>Servant!$AA$6+($F138+($F138*0.5*($D138-1)))*(W$3-1)</f>
        <v>103.6375</v>
      </c>
      <c r="X138" s="55">
        <f>Servant!$AA$6+($F138+($F138*0.5*($D138-1)))*(X$3-1)</f>
        <v>103.822</v>
      </c>
      <c r="Y138" s="55">
        <f>Servant!$AA$6+($F138+($F138*0.5*($D138-1)))*(Y$3-1)</f>
        <v>104.0065</v>
      </c>
      <c r="Z138" s="55">
        <f>Servant!$AA$6+($F138+($F138*0.5*($D138-1)))*(Z$3-1)</f>
        <v>104.191</v>
      </c>
      <c r="AA138" s="55">
        <f>Servant!$AA$6+($F138+($F138*0.5*($D138-1)))*(AA$3-1)</f>
        <v>104.3755</v>
      </c>
      <c r="AB138" s="55">
        <f>Servant!$AA$6+($F138+($F138*0.5*($D138-1)))*(AB$3-1)</f>
        <v>104.56</v>
      </c>
      <c r="AC138" s="55">
        <f>Servant!$AA$6+($F138+($F138*0.5*($D138-1)))*(AC$3-1)</f>
        <v>104.7445</v>
      </c>
      <c r="AD138" s="55">
        <f>Servant!$AA$6+($F138+($F138*0.5*($D138-1)))*(AD$3-1)</f>
        <v>104.929</v>
      </c>
      <c r="AE138" s="55">
        <f>Servant!$AA$6+($F138+($F138*0.5*($D138-1)))*(AE$3-1)</f>
        <v>105.1135</v>
      </c>
      <c r="AF138" s="55">
        <f>Servant!$AA$6+($F138+($F138*0.5*($D138-1)))*(AF$3-1)</f>
        <v>105.298</v>
      </c>
      <c r="AG138" s="55">
        <f>Servant!$AA$6+($F138+($F138*0.5*($D138-1)))*(AG$3-1)</f>
        <v>105.4825</v>
      </c>
      <c r="AH138" s="55">
        <f>Servant!$AA$6+($F138+($F138*0.5*($D138-1)))*(AH$3-1)</f>
        <v>105.667</v>
      </c>
      <c r="AI138" s="55">
        <f>Servant!$AA$6+($F138+($F138*0.5*($D138-1)))*(AI$3-1)</f>
        <v>105.8515</v>
      </c>
      <c r="AJ138" s="55">
        <f>Servant!$AA$6+($F138+($F138*0.5*($D138-1)))*(AJ$3-1)</f>
        <v>106.036</v>
      </c>
      <c r="AK138" s="55">
        <f>Servant!$AA$6+($F138+($F138*0.5*($D138-1)))*(AK$3-1)</f>
        <v>106.2205</v>
      </c>
    </row>
    <row r="139" spans="2:37" x14ac:dyDescent="0.3">
      <c r="B139" s="287"/>
      <c r="C139" s="289"/>
      <c r="D139" s="54">
        <v>3</v>
      </c>
      <c r="E139" s="54">
        <f>ServantLevelUPdStatus!$O$6+(ServantLevelUPdStatus!$O$6*0.5*($D139-1))</f>
        <v>0.246</v>
      </c>
      <c r="F139" s="54">
        <f>F138</f>
        <v>0.123</v>
      </c>
      <c r="H139" s="55">
        <f>Servant!$AA$6+($F139+($F139*0.5*($D139-1)))*(H$3-1)</f>
        <v>100.87</v>
      </c>
      <c r="I139" s="55">
        <f>Servant!$AA$6+($F139+($F139*0.5*($D139-1)))*(I$3-1)</f>
        <v>101.116</v>
      </c>
      <c r="J139" s="55">
        <f>Servant!$AA$6+($F139+($F139*0.5*($D139-1)))*(J$3-1)</f>
        <v>101.36200000000001</v>
      </c>
      <c r="K139" s="55">
        <f>Servant!$AA$6+($F139+($F139*0.5*($D139-1)))*(K$3-1)</f>
        <v>101.608</v>
      </c>
      <c r="L139" s="55">
        <f>Servant!$AA$6+($F139+($F139*0.5*($D139-1)))*(L$3-1)</f>
        <v>101.854</v>
      </c>
      <c r="M139" s="55">
        <f>Servant!$AA$6+($F139+($F139*0.5*($D139-1)))*(M$3-1)</f>
        <v>102.10000000000001</v>
      </c>
      <c r="N139" s="55">
        <f>Servant!$AA$6+($F139+($F139*0.5*($D139-1)))*(N$3-1)</f>
        <v>102.346</v>
      </c>
      <c r="O139" s="55">
        <f>Servant!$AA$6+($F139+($F139*0.5*($D139-1)))*(O$3-1)</f>
        <v>102.592</v>
      </c>
      <c r="P139" s="55">
        <f>Servant!$AA$6+($F139+($F139*0.5*($D139-1)))*(P$3-1)</f>
        <v>102.83800000000001</v>
      </c>
      <c r="Q139" s="55">
        <f>Servant!$AA$6+($F139+($F139*0.5*($D139-1)))*(Q$3-1)</f>
        <v>103.084</v>
      </c>
      <c r="R139" s="55">
        <f>Servant!$AA$6+($F139+($F139*0.5*($D139-1)))*(R$3-1)</f>
        <v>103.33</v>
      </c>
      <c r="S139" s="55">
        <f>Servant!$AA$6+($F139+($F139*0.5*($D139-1)))*(S$3-1)</f>
        <v>103.57600000000001</v>
      </c>
      <c r="T139" s="55">
        <f>Servant!$AA$6+($F139+($F139*0.5*($D139-1)))*(T$3-1)</f>
        <v>103.822</v>
      </c>
      <c r="U139" s="55">
        <f>Servant!$AA$6+($F139+($F139*0.5*($D139-1)))*(U$3-1)</f>
        <v>104.068</v>
      </c>
      <c r="V139" s="55">
        <f>Servant!$AA$6+($F139+($F139*0.5*($D139-1)))*(V$3-1)</f>
        <v>104.31400000000001</v>
      </c>
      <c r="W139" s="55">
        <f>Servant!$AA$6+($F139+($F139*0.5*($D139-1)))*(W$3-1)</f>
        <v>104.56</v>
      </c>
      <c r="X139" s="55">
        <f>Servant!$AA$6+($F139+($F139*0.5*($D139-1)))*(X$3-1)</f>
        <v>104.80600000000001</v>
      </c>
      <c r="Y139" s="55">
        <f>Servant!$AA$6+($F139+($F139*0.5*($D139-1)))*(Y$3-1)</f>
        <v>105.05200000000001</v>
      </c>
      <c r="Z139" s="55">
        <f>Servant!$AA$6+($F139+($F139*0.5*($D139-1)))*(Z$3-1)</f>
        <v>105.298</v>
      </c>
      <c r="AA139" s="55">
        <f>Servant!$AA$6+($F139+($F139*0.5*($D139-1)))*(AA$3-1)</f>
        <v>105.54400000000001</v>
      </c>
      <c r="AB139" s="55">
        <f>Servant!$AA$6+($F139+($F139*0.5*($D139-1)))*(AB$3-1)</f>
        <v>105.79</v>
      </c>
      <c r="AC139" s="55">
        <f>Servant!$AA$6+($F139+($F139*0.5*($D139-1)))*(AC$3-1)</f>
        <v>106.036</v>
      </c>
      <c r="AD139" s="55">
        <f>Servant!$AA$6+($F139+($F139*0.5*($D139-1)))*(AD$3-1)</f>
        <v>106.28200000000001</v>
      </c>
      <c r="AE139" s="55">
        <f>Servant!$AA$6+($F139+($F139*0.5*($D139-1)))*(AE$3-1)</f>
        <v>106.52800000000001</v>
      </c>
      <c r="AF139" s="55">
        <f>Servant!$AA$6+($F139+($F139*0.5*($D139-1)))*(AF$3-1)</f>
        <v>106.774</v>
      </c>
      <c r="AG139" s="55">
        <f>Servant!$AA$6+($F139+($F139*0.5*($D139-1)))*(AG$3-1)</f>
        <v>107.02000000000001</v>
      </c>
      <c r="AH139" s="55">
        <f>Servant!$AA$6+($F139+($F139*0.5*($D139-1)))*(AH$3-1)</f>
        <v>107.26600000000001</v>
      </c>
      <c r="AI139" s="55">
        <f>Servant!$AA$6+($F139+($F139*0.5*($D139-1)))*(AI$3-1)</f>
        <v>107.512</v>
      </c>
      <c r="AJ139" s="55">
        <f>Servant!$AA$6+($F139+($F139*0.5*($D139-1)))*(AJ$3-1)</f>
        <v>107.75800000000001</v>
      </c>
      <c r="AK139" s="55">
        <f>Servant!$AA$6+($F139+($F139*0.5*($D139-1)))*(AK$3-1)</f>
        <v>108.004</v>
      </c>
    </row>
    <row r="140" spans="2:37" x14ac:dyDescent="0.3">
      <c r="B140" s="287"/>
      <c r="C140" s="290" t="s">
        <v>243</v>
      </c>
      <c r="D140" s="52">
        <v>2</v>
      </c>
      <c r="E140" s="52">
        <f>ServantLevelUPdStatus!$O$12+(ServantLevelUPdStatus!$O$12*0.5*($D140-1))</f>
        <v>0.2505</v>
      </c>
      <c r="F140" s="52">
        <f>ServantLevelUPdStatus!O$12</f>
        <v>0.16700000000000001</v>
      </c>
      <c r="H140" s="53">
        <f>Servant!$AA$12+($F140+($F140*0.5*($D140-1)))*(H$3-1)</f>
        <v>101.5</v>
      </c>
      <c r="I140" s="53">
        <f>Servant!$AA$12+($F140+($F140*0.5*($D140-1)))*(I$3-1)</f>
        <v>101.7505</v>
      </c>
      <c r="J140" s="53">
        <f>Servant!$AA$12+($F140+($F140*0.5*($D140-1)))*(J$3-1)</f>
        <v>102.001</v>
      </c>
      <c r="K140" s="53">
        <f>Servant!$AA$12+($F140+($F140*0.5*($D140-1)))*(K$3-1)</f>
        <v>102.25149999999999</v>
      </c>
      <c r="L140" s="53">
        <f>Servant!$AA$12+($F140+($F140*0.5*($D140-1)))*(L$3-1)</f>
        <v>102.502</v>
      </c>
      <c r="M140" s="53">
        <f>Servant!$AA$12+($F140+($F140*0.5*($D140-1)))*(M$3-1)</f>
        <v>102.7525</v>
      </c>
      <c r="N140" s="53">
        <f>Servant!$AA$12+($F140+($F140*0.5*($D140-1)))*(N$3-1)</f>
        <v>103.003</v>
      </c>
      <c r="O140" s="53">
        <f>Servant!$AA$12+($F140+($F140*0.5*($D140-1)))*(O$3-1)</f>
        <v>103.2535</v>
      </c>
      <c r="P140" s="53">
        <f>Servant!$AA$12+($F140+($F140*0.5*($D140-1)))*(P$3-1)</f>
        <v>103.504</v>
      </c>
      <c r="Q140" s="53">
        <f>Servant!$AA$12+($F140+($F140*0.5*($D140-1)))*(Q$3-1)</f>
        <v>103.75450000000001</v>
      </c>
      <c r="R140" s="53">
        <f>Servant!$AA$12+($F140+($F140*0.5*($D140-1)))*(R$3-1)</f>
        <v>104.005</v>
      </c>
      <c r="S140" s="53">
        <f>Servant!$AA$12+($F140+($F140*0.5*($D140-1)))*(S$3-1)</f>
        <v>104.2555</v>
      </c>
      <c r="T140" s="53">
        <f>Servant!$AA$12+($F140+($F140*0.5*($D140-1)))*(T$3-1)</f>
        <v>104.506</v>
      </c>
      <c r="U140" s="53">
        <f>Servant!$AA$12+($F140+($F140*0.5*($D140-1)))*(U$3-1)</f>
        <v>104.7565</v>
      </c>
      <c r="V140" s="53">
        <f>Servant!$AA$12+($F140+($F140*0.5*($D140-1)))*(V$3-1)</f>
        <v>105.00700000000001</v>
      </c>
      <c r="W140" s="53">
        <f>Servant!$AA$12+($F140+($F140*0.5*($D140-1)))*(W$3-1)</f>
        <v>105.25749999999999</v>
      </c>
      <c r="X140" s="53">
        <f>Servant!$AA$12+($F140+($F140*0.5*($D140-1)))*(X$3-1)</f>
        <v>105.508</v>
      </c>
      <c r="Y140" s="53">
        <f>Servant!$AA$12+($F140+($F140*0.5*($D140-1)))*(Y$3-1)</f>
        <v>105.7585</v>
      </c>
      <c r="Z140" s="53">
        <f>Servant!$AA$12+($F140+($F140*0.5*($D140-1)))*(Z$3-1)</f>
        <v>106.009</v>
      </c>
      <c r="AA140" s="53">
        <f>Servant!$AA$12+($F140+($F140*0.5*($D140-1)))*(AA$3-1)</f>
        <v>106.2595</v>
      </c>
      <c r="AB140" s="53">
        <f>Servant!$AA$12+($F140+($F140*0.5*($D140-1)))*(AB$3-1)</f>
        <v>106.51</v>
      </c>
      <c r="AC140" s="53">
        <f>Servant!$AA$12+($F140+($F140*0.5*($D140-1)))*(AC$3-1)</f>
        <v>106.76050000000001</v>
      </c>
      <c r="AD140" s="53">
        <f>Servant!$AA$12+($F140+($F140*0.5*($D140-1)))*(AD$3-1)</f>
        <v>107.011</v>
      </c>
      <c r="AE140" s="53">
        <f>Servant!$AA$12+($F140+($F140*0.5*($D140-1)))*(AE$3-1)</f>
        <v>107.2615</v>
      </c>
      <c r="AF140" s="53">
        <f>Servant!$AA$12+($F140+($F140*0.5*($D140-1)))*(AF$3-1)</f>
        <v>107.512</v>
      </c>
      <c r="AG140" s="53">
        <f>Servant!$AA$12+($F140+($F140*0.5*($D140-1)))*(AG$3-1)</f>
        <v>107.7625</v>
      </c>
      <c r="AH140" s="53">
        <f>Servant!$AA$12+($F140+($F140*0.5*($D140-1)))*(AH$3-1)</f>
        <v>108.01300000000001</v>
      </c>
      <c r="AI140" s="53">
        <f>Servant!$AA$12+($F140+($F140*0.5*($D140-1)))*(AI$3-1)</f>
        <v>108.26349999999999</v>
      </c>
      <c r="AJ140" s="53">
        <f>Servant!$AA$12+($F140+($F140*0.5*($D140-1)))*(AJ$3-1)</f>
        <v>108.514</v>
      </c>
      <c r="AK140" s="53">
        <f>Servant!$AA$12+($F140+($F140*0.5*($D140-1)))*(AK$3-1)</f>
        <v>108.7645</v>
      </c>
    </row>
    <row r="141" spans="2:37" x14ac:dyDescent="0.3">
      <c r="B141" s="287"/>
      <c r="C141" s="290"/>
      <c r="D141" s="52">
        <v>3</v>
      </c>
      <c r="E141" s="52">
        <f>ServantLevelUPdStatus!$O$12+(ServantLevelUPdStatus!$O$12*0.5*($D141-1))</f>
        <v>0.33400000000000002</v>
      </c>
      <c r="F141" s="52">
        <f>F140</f>
        <v>0.16700000000000001</v>
      </c>
      <c r="H141" s="53">
        <f>Servant!$AA$12+($F141+($F141*0.5*($D141-1)))*(H$3-1)</f>
        <v>101.5</v>
      </c>
      <c r="I141" s="53">
        <f>Servant!$AA$12+($F141+($F141*0.5*($D141-1)))*(I$3-1)</f>
        <v>101.834</v>
      </c>
      <c r="J141" s="53">
        <f>Servant!$AA$12+($F141+($F141*0.5*($D141-1)))*(J$3-1)</f>
        <v>102.16800000000001</v>
      </c>
      <c r="K141" s="53">
        <f>Servant!$AA$12+($F141+($F141*0.5*($D141-1)))*(K$3-1)</f>
        <v>102.502</v>
      </c>
      <c r="L141" s="53">
        <f>Servant!$AA$12+($F141+($F141*0.5*($D141-1)))*(L$3-1)</f>
        <v>102.836</v>
      </c>
      <c r="M141" s="53">
        <f>Servant!$AA$12+($F141+($F141*0.5*($D141-1)))*(M$3-1)</f>
        <v>103.17</v>
      </c>
      <c r="N141" s="53">
        <f>Servant!$AA$12+($F141+($F141*0.5*($D141-1)))*(N$3-1)</f>
        <v>103.504</v>
      </c>
      <c r="O141" s="53">
        <f>Servant!$AA$12+($F141+($F141*0.5*($D141-1)))*(O$3-1)</f>
        <v>103.83799999999999</v>
      </c>
      <c r="P141" s="53">
        <f>Servant!$AA$12+($F141+($F141*0.5*($D141-1)))*(P$3-1)</f>
        <v>104.172</v>
      </c>
      <c r="Q141" s="53">
        <f>Servant!$AA$12+($F141+($F141*0.5*($D141-1)))*(Q$3-1)</f>
        <v>104.506</v>
      </c>
      <c r="R141" s="53">
        <f>Servant!$AA$12+($F141+($F141*0.5*($D141-1)))*(R$3-1)</f>
        <v>104.84</v>
      </c>
      <c r="S141" s="53">
        <f>Servant!$AA$12+($F141+($F141*0.5*($D141-1)))*(S$3-1)</f>
        <v>105.17400000000001</v>
      </c>
      <c r="T141" s="53">
        <f>Servant!$AA$12+($F141+($F141*0.5*($D141-1)))*(T$3-1)</f>
        <v>105.508</v>
      </c>
      <c r="U141" s="53">
        <f>Servant!$AA$12+($F141+($F141*0.5*($D141-1)))*(U$3-1)</f>
        <v>105.842</v>
      </c>
      <c r="V141" s="53">
        <f>Servant!$AA$12+($F141+($F141*0.5*($D141-1)))*(V$3-1)</f>
        <v>106.176</v>
      </c>
      <c r="W141" s="53">
        <f>Servant!$AA$12+($F141+($F141*0.5*($D141-1)))*(W$3-1)</f>
        <v>106.51</v>
      </c>
      <c r="X141" s="53">
        <f>Servant!$AA$12+($F141+($F141*0.5*($D141-1)))*(X$3-1)</f>
        <v>106.84399999999999</v>
      </c>
      <c r="Y141" s="53">
        <f>Servant!$AA$12+($F141+($F141*0.5*($D141-1)))*(Y$3-1)</f>
        <v>107.178</v>
      </c>
      <c r="Z141" s="53">
        <f>Servant!$AA$12+($F141+($F141*0.5*($D141-1)))*(Z$3-1)</f>
        <v>107.512</v>
      </c>
      <c r="AA141" s="53">
        <f>Servant!$AA$12+($F141+($F141*0.5*($D141-1)))*(AA$3-1)</f>
        <v>107.846</v>
      </c>
      <c r="AB141" s="53">
        <f>Servant!$AA$12+($F141+($F141*0.5*($D141-1)))*(AB$3-1)</f>
        <v>108.18</v>
      </c>
      <c r="AC141" s="53">
        <f>Servant!$AA$12+($F141+($F141*0.5*($D141-1)))*(AC$3-1)</f>
        <v>108.514</v>
      </c>
      <c r="AD141" s="53">
        <f>Servant!$AA$12+($F141+($F141*0.5*($D141-1)))*(AD$3-1)</f>
        <v>108.848</v>
      </c>
      <c r="AE141" s="53">
        <f>Servant!$AA$12+($F141+($F141*0.5*($D141-1)))*(AE$3-1)</f>
        <v>109.182</v>
      </c>
      <c r="AF141" s="53">
        <f>Servant!$AA$12+($F141+($F141*0.5*($D141-1)))*(AF$3-1)</f>
        <v>109.51600000000001</v>
      </c>
      <c r="AG141" s="53">
        <f>Servant!$AA$12+($F141+($F141*0.5*($D141-1)))*(AG$3-1)</f>
        <v>109.85</v>
      </c>
      <c r="AH141" s="53">
        <f>Servant!$AA$12+($F141+($F141*0.5*($D141-1)))*(AH$3-1)</f>
        <v>110.184</v>
      </c>
      <c r="AI141" s="53">
        <f>Servant!$AA$12+($F141+($F141*0.5*($D141-1)))*(AI$3-1)</f>
        <v>110.518</v>
      </c>
      <c r="AJ141" s="53">
        <f>Servant!$AA$12+($F141+($F141*0.5*($D141-1)))*(AJ$3-1)</f>
        <v>110.852</v>
      </c>
      <c r="AK141" s="53">
        <f>Servant!$AA$12+($F141+($F141*0.5*($D141-1)))*(AK$3-1)</f>
        <v>111.18600000000001</v>
      </c>
    </row>
    <row r="142" spans="2:37" x14ac:dyDescent="0.3">
      <c r="B142" s="287"/>
      <c r="C142" s="290"/>
      <c r="D142" s="52">
        <v>4</v>
      </c>
      <c r="E142" s="52">
        <f>ServantLevelUPdStatus!$O$12+(ServantLevelUPdStatus!$O$12*0.5*($D142-1))</f>
        <v>0.41749999999999998</v>
      </c>
      <c r="F142" s="52">
        <f>F141</f>
        <v>0.16700000000000001</v>
      </c>
      <c r="H142" s="53">
        <f>Servant!$AA$12+($F142+($F142*0.5*($D142-1)))*(H$3-1)</f>
        <v>101.5</v>
      </c>
      <c r="I142" s="53">
        <f>Servant!$AA$12+($F142+($F142*0.5*($D142-1)))*(I$3-1)</f>
        <v>101.9175</v>
      </c>
      <c r="J142" s="53">
        <f>Servant!$AA$12+($F142+($F142*0.5*($D142-1)))*(J$3-1)</f>
        <v>102.33499999999999</v>
      </c>
      <c r="K142" s="53">
        <f>Servant!$AA$12+($F142+($F142*0.5*($D142-1)))*(K$3-1)</f>
        <v>102.7525</v>
      </c>
      <c r="L142" s="53">
        <f>Servant!$AA$12+($F142+($F142*0.5*($D142-1)))*(L$3-1)</f>
        <v>103.17</v>
      </c>
      <c r="M142" s="53">
        <f>Servant!$AA$12+($F142+($F142*0.5*($D142-1)))*(M$3-1)</f>
        <v>103.58750000000001</v>
      </c>
      <c r="N142" s="53">
        <f>Servant!$AA$12+($F142+($F142*0.5*($D142-1)))*(N$3-1)</f>
        <v>104.005</v>
      </c>
      <c r="O142" s="53">
        <f>Servant!$AA$12+($F142+($F142*0.5*($D142-1)))*(O$3-1)</f>
        <v>104.4225</v>
      </c>
      <c r="P142" s="53">
        <f>Servant!$AA$12+($F142+($F142*0.5*($D142-1)))*(P$3-1)</f>
        <v>104.84</v>
      </c>
      <c r="Q142" s="53">
        <f>Servant!$AA$12+($F142+($F142*0.5*($D142-1)))*(Q$3-1)</f>
        <v>105.25749999999999</v>
      </c>
      <c r="R142" s="53">
        <f>Servant!$AA$12+($F142+($F142*0.5*($D142-1)))*(R$3-1)</f>
        <v>105.675</v>
      </c>
      <c r="S142" s="53">
        <f>Servant!$AA$12+($F142+($F142*0.5*($D142-1)))*(S$3-1)</f>
        <v>106.0925</v>
      </c>
      <c r="T142" s="53">
        <f>Servant!$AA$12+($F142+($F142*0.5*($D142-1)))*(T$3-1)</f>
        <v>106.51</v>
      </c>
      <c r="U142" s="53">
        <f>Servant!$AA$12+($F142+($F142*0.5*($D142-1)))*(U$3-1)</f>
        <v>106.92749999999999</v>
      </c>
      <c r="V142" s="53">
        <f>Servant!$AA$12+($F142+($F142*0.5*($D142-1)))*(V$3-1)</f>
        <v>107.345</v>
      </c>
      <c r="W142" s="53">
        <f>Servant!$AA$12+($F142+($F142*0.5*($D142-1)))*(W$3-1)</f>
        <v>107.7625</v>
      </c>
      <c r="X142" s="53">
        <f>Servant!$AA$12+($F142+($F142*0.5*($D142-1)))*(X$3-1)</f>
        <v>108.18</v>
      </c>
      <c r="Y142" s="53">
        <f>Servant!$AA$12+($F142+($F142*0.5*($D142-1)))*(Y$3-1)</f>
        <v>108.5975</v>
      </c>
      <c r="Z142" s="53">
        <f>Servant!$AA$12+($F142+($F142*0.5*($D142-1)))*(Z$3-1)</f>
        <v>109.015</v>
      </c>
      <c r="AA142" s="53">
        <f>Servant!$AA$12+($F142+($F142*0.5*($D142-1)))*(AA$3-1)</f>
        <v>109.4325</v>
      </c>
      <c r="AB142" s="53">
        <f>Servant!$AA$12+($F142+($F142*0.5*($D142-1)))*(AB$3-1)</f>
        <v>109.85</v>
      </c>
      <c r="AC142" s="53">
        <f>Servant!$AA$12+($F142+($F142*0.5*($D142-1)))*(AC$3-1)</f>
        <v>110.2675</v>
      </c>
      <c r="AD142" s="53">
        <f>Servant!$AA$12+($F142+($F142*0.5*($D142-1)))*(AD$3-1)</f>
        <v>110.685</v>
      </c>
      <c r="AE142" s="53">
        <f>Servant!$AA$12+($F142+($F142*0.5*($D142-1)))*(AE$3-1)</f>
        <v>111.10249999999999</v>
      </c>
      <c r="AF142" s="53">
        <f>Servant!$AA$12+($F142+($F142*0.5*($D142-1)))*(AF$3-1)</f>
        <v>111.52</v>
      </c>
      <c r="AG142" s="53">
        <f>Servant!$AA$12+($F142+($F142*0.5*($D142-1)))*(AG$3-1)</f>
        <v>111.9375</v>
      </c>
      <c r="AH142" s="53">
        <f>Servant!$AA$12+($F142+($F142*0.5*($D142-1)))*(AH$3-1)</f>
        <v>112.355</v>
      </c>
      <c r="AI142" s="53">
        <f>Servant!$AA$12+($F142+($F142*0.5*($D142-1)))*(AI$3-1)</f>
        <v>112.77249999999999</v>
      </c>
      <c r="AJ142" s="53">
        <f>Servant!$AA$12+($F142+($F142*0.5*($D142-1)))*(AJ$3-1)</f>
        <v>113.19</v>
      </c>
      <c r="AK142" s="53">
        <f>Servant!$AA$12+($F142+($F142*0.5*($D142-1)))*(AK$3-1)</f>
        <v>113.6075</v>
      </c>
    </row>
    <row r="143" spans="2:37" x14ac:dyDescent="0.3">
      <c r="B143" s="287"/>
      <c r="C143" s="291" t="s">
        <v>244</v>
      </c>
      <c r="D143" s="56">
        <v>3</v>
      </c>
      <c r="E143" s="56">
        <f>ServantLevelUPdStatus!$O$18+(ServantLevelUPdStatus!$O$18*0.5*($D143-1))</f>
        <v>0.41399999999999998</v>
      </c>
      <c r="F143" s="56">
        <f>ServantLevelUPdStatus!O$18</f>
        <v>0.20699999999999999</v>
      </c>
      <c r="H143" s="57">
        <f>Servant!$AA$18+($F143+($F143*0.5*($D143-1)))*(H$3-1)</f>
        <v>102.13</v>
      </c>
      <c r="I143" s="57">
        <f>Servant!$AA$18+($F143+($F143*0.5*($D143-1)))*(I$3-1)</f>
        <v>102.544</v>
      </c>
      <c r="J143" s="57">
        <f>Servant!$AA$18+($F143+($F143*0.5*($D143-1)))*(J$3-1)</f>
        <v>102.958</v>
      </c>
      <c r="K143" s="57">
        <f>Servant!$AA$18+($F143+($F143*0.5*($D143-1)))*(K$3-1)</f>
        <v>103.372</v>
      </c>
      <c r="L143" s="57">
        <f>Servant!$AA$18+($F143+($F143*0.5*($D143-1)))*(L$3-1)</f>
        <v>103.786</v>
      </c>
      <c r="M143" s="57">
        <f>Servant!$AA$18+($F143+($F143*0.5*($D143-1)))*(M$3-1)</f>
        <v>104.19999999999999</v>
      </c>
      <c r="N143" s="57">
        <f>Servant!$AA$18+($F143+($F143*0.5*($D143-1)))*(N$3-1)</f>
        <v>104.61399999999999</v>
      </c>
      <c r="O143" s="57">
        <f>Servant!$AA$18+($F143+($F143*0.5*($D143-1)))*(O$3-1)</f>
        <v>105.02799999999999</v>
      </c>
      <c r="P143" s="57">
        <f>Servant!$AA$18+($F143+($F143*0.5*($D143-1)))*(P$3-1)</f>
        <v>105.44199999999999</v>
      </c>
      <c r="Q143" s="57">
        <f>Servant!$AA$18+($F143+($F143*0.5*($D143-1)))*(Q$3-1)</f>
        <v>105.85599999999999</v>
      </c>
      <c r="R143" s="57">
        <f>Servant!$AA$18+($F143+($F143*0.5*($D143-1)))*(R$3-1)</f>
        <v>106.27</v>
      </c>
      <c r="S143" s="57">
        <f>Servant!$AA$18+($F143+($F143*0.5*($D143-1)))*(S$3-1)</f>
        <v>106.684</v>
      </c>
      <c r="T143" s="57">
        <f>Servant!$AA$18+($F143+($F143*0.5*($D143-1)))*(T$3-1)</f>
        <v>107.098</v>
      </c>
      <c r="U143" s="57">
        <f>Servant!$AA$18+($F143+($F143*0.5*($D143-1)))*(U$3-1)</f>
        <v>107.512</v>
      </c>
      <c r="V143" s="57">
        <f>Servant!$AA$18+($F143+($F143*0.5*($D143-1)))*(V$3-1)</f>
        <v>107.92599999999999</v>
      </c>
      <c r="W143" s="57">
        <f>Servant!$AA$18+($F143+($F143*0.5*($D143-1)))*(W$3-1)</f>
        <v>108.33999999999999</v>
      </c>
      <c r="X143" s="57">
        <f>Servant!$AA$18+($F143+($F143*0.5*($D143-1)))*(X$3-1)</f>
        <v>108.75399999999999</v>
      </c>
      <c r="Y143" s="57">
        <f>Servant!$AA$18+($F143+($F143*0.5*($D143-1)))*(Y$3-1)</f>
        <v>109.16799999999999</v>
      </c>
      <c r="Z143" s="57">
        <f>Servant!$AA$18+($F143+($F143*0.5*($D143-1)))*(Z$3-1)</f>
        <v>109.58199999999999</v>
      </c>
      <c r="AA143" s="57">
        <f>Servant!$AA$18+($F143+($F143*0.5*($D143-1)))*(AA$3-1)</f>
        <v>109.996</v>
      </c>
      <c r="AB143" s="57">
        <f>Servant!$AA$18+($F143+($F143*0.5*($D143-1)))*(AB$3-1)</f>
        <v>110.41</v>
      </c>
      <c r="AC143" s="57">
        <f>Servant!$AA$18+($F143+($F143*0.5*($D143-1)))*(AC$3-1)</f>
        <v>110.824</v>
      </c>
      <c r="AD143" s="57">
        <f>Servant!$AA$18+($F143+($F143*0.5*($D143-1)))*(AD$3-1)</f>
        <v>111.238</v>
      </c>
      <c r="AE143" s="57">
        <f>Servant!$AA$18+($F143+($F143*0.5*($D143-1)))*(AE$3-1)</f>
        <v>111.652</v>
      </c>
      <c r="AF143" s="57">
        <f>Servant!$AA$18+($F143+($F143*0.5*($D143-1)))*(AF$3-1)</f>
        <v>112.066</v>
      </c>
      <c r="AG143" s="57">
        <f>Servant!$AA$18+($F143+($F143*0.5*($D143-1)))*(AG$3-1)</f>
        <v>112.47999999999999</v>
      </c>
      <c r="AH143" s="57">
        <f>Servant!$AA$18+($F143+($F143*0.5*($D143-1)))*(AH$3-1)</f>
        <v>112.89399999999999</v>
      </c>
      <c r="AI143" s="57">
        <f>Servant!$AA$18+($F143+($F143*0.5*($D143-1)))*(AI$3-1)</f>
        <v>113.30799999999999</v>
      </c>
      <c r="AJ143" s="57">
        <f>Servant!$AA$18+($F143+($F143*0.5*($D143-1)))*(AJ$3-1)</f>
        <v>113.72199999999999</v>
      </c>
      <c r="AK143" s="57">
        <f>Servant!$AA$18+($F143+($F143*0.5*($D143-1)))*(AK$3-1)</f>
        <v>114.136</v>
      </c>
    </row>
    <row r="144" spans="2:37" x14ac:dyDescent="0.3">
      <c r="B144" s="287"/>
      <c r="C144" s="291"/>
      <c r="D144" s="56">
        <v>4</v>
      </c>
      <c r="E144" s="56">
        <f>ServantLevelUPdStatus!$O$18+(ServantLevelUPdStatus!$O$18*0.5*($D144-1))</f>
        <v>0.51749999999999996</v>
      </c>
      <c r="F144" s="56">
        <f>F143</f>
        <v>0.20699999999999999</v>
      </c>
      <c r="H144" s="57">
        <f>Servant!$AA$18+($F144+($F144*0.5*($D144-1)))*(H$3-1)</f>
        <v>102.13</v>
      </c>
      <c r="I144" s="57">
        <f>Servant!$AA$18+($F144+($F144*0.5*($D144-1)))*(I$3-1)</f>
        <v>102.64749999999999</v>
      </c>
      <c r="J144" s="57">
        <f>Servant!$AA$18+($F144+($F144*0.5*($D144-1)))*(J$3-1)</f>
        <v>103.16499999999999</v>
      </c>
      <c r="K144" s="57">
        <f>Servant!$AA$18+($F144+($F144*0.5*($D144-1)))*(K$3-1)</f>
        <v>103.68249999999999</v>
      </c>
      <c r="L144" s="57">
        <f>Servant!$AA$18+($F144+($F144*0.5*($D144-1)))*(L$3-1)</f>
        <v>104.19999999999999</v>
      </c>
      <c r="M144" s="57">
        <f>Servant!$AA$18+($F144+($F144*0.5*($D144-1)))*(M$3-1)</f>
        <v>104.7175</v>
      </c>
      <c r="N144" s="57">
        <f>Servant!$AA$18+($F144+($F144*0.5*($D144-1)))*(N$3-1)</f>
        <v>105.235</v>
      </c>
      <c r="O144" s="57">
        <f>Servant!$AA$18+($F144+($F144*0.5*($D144-1)))*(O$3-1)</f>
        <v>105.7525</v>
      </c>
      <c r="P144" s="57">
        <f>Servant!$AA$18+($F144+($F144*0.5*($D144-1)))*(P$3-1)</f>
        <v>106.27</v>
      </c>
      <c r="Q144" s="57">
        <f>Servant!$AA$18+($F144+($F144*0.5*($D144-1)))*(Q$3-1)</f>
        <v>106.78749999999999</v>
      </c>
      <c r="R144" s="57">
        <f>Servant!$AA$18+($F144+($F144*0.5*($D144-1)))*(R$3-1)</f>
        <v>107.30499999999999</v>
      </c>
      <c r="S144" s="57">
        <f>Servant!$AA$18+($F144+($F144*0.5*($D144-1)))*(S$3-1)</f>
        <v>107.82249999999999</v>
      </c>
      <c r="T144" s="57">
        <f>Servant!$AA$18+($F144+($F144*0.5*($D144-1)))*(T$3-1)</f>
        <v>108.33999999999999</v>
      </c>
      <c r="U144" s="57">
        <f>Servant!$AA$18+($F144+($F144*0.5*($D144-1)))*(U$3-1)</f>
        <v>108.85749999999999</v>
      </c>
      <c r="V144" s="57">
        <f>Servant!$AA$18+($F144+($F144*0.5*($D144-1)))*(V$3-1)</f>
        <v>109.375</v>
      </c>
      <c r="W144" s="57">
        <f>Servant!$AA$18+($F144+($F144*0.5*($D144-1)))*(W$3-1)</f>
        <v>109.8925</v>
      </c>
      <c r="X144" s="57">
        <f>Servant!$AA$18+($F144+($F144*0.5*($D144-1)))*(X$3-1)</f>
        <v>110.41</v>
      </c>
      <c r="Y144" s="57">
        <f>Servant!$AA$18+($F144+($F144*0.5*($D144-1)))*(Y$3-1)</f>
        <v>110.92749999999999</v>
      </c>
      <c r="Z144" s="57">
        <f>Servant!$AA$18+($F144+($F144*0.5*($D144-1)))*(Z$3-1)</f>
        <v>111.44499999999999</v>
      </c>
      <c r="AA144" s="57">
        <f>Servant!$AA$18+($F144+($F144*0.5*($D144-1)))*(AA$3-1)</f>
        <v>111.96249999999999</v>
      </c>
      <c r="AB144" s="57">
        <f>Servant!$AA$18+($F144+($F144*0.5*($D144-1)))*(AB$3-1)</f>
        <v>112.47999999999999</v>
      </c>
      <c r="AC144" s="57">
        <f>Servant!$AA$18+($F144+($F144*0.5*($D144-1)))*(AC$3-1)</f>
        <v>112.9975</v>
      </c>
      <c r="AD144" s="57">
        <f>Servant!$AA$18+($F144+($F144*0.5*($D144-1)))*(AD$3-1)</f>
        <v>113.515</v>
      </c>
      <c r="AE144" s="57">
        <f>Servant!$AA$18+($F144+($F144*0.5*($D144-1)))*(AE$3-1)</f>
        <v>114.0325</v>
      </c>
      <c r="AF144" s="57">
        <f>Servant!$AA$18+($F144+($F144*0.5*($D144-1)))*(AF$3-1)</f>
        <v>114.55</v>
      </c>
      <c r="AG144" s="57">
        <f>Servant!$AA$18+($F144+($F144*0.5*($D144-1)))*(AG$3-1)</f>
        <v>115.0675</v>
      </c>
      <c r="AH144" s="57">
        <f>Servant!$AA$18+($F144+($F144*0.5*($D144-1)))*(AH$3-1)</f>
        <v>115.58499999999999</v>
      </c>
      <c r="AI144" s="57">
        <f>Servant!$AA$18+($F144+($F144*0.5*($D144-1)))*(AI$3-1)</f>
        <v>116.10249999999999</v>
      </c>
      <c r="AJ144" s="57">
        <f>Servant!$AA$18+($F144+($F144*0.5*($D144-1)))*(AJ$3-1)</f>
        <v>116.61999999999999</v>
      </c>
      <c r="AK144" s="57">
        <f>Servant!$AA$18+($F144+($F144*0.5*($D144-1)))*(AK$3-1)</f>
        <v>117.13749999999999</v>
      </c>
    </row>
    <row r="145" spans="2:37" x14ac:dyDescent="0.3">
      <c r="B145" s="287"/>
      <c r="C145" s="291"/>
      <c r="D145" s="56">
        <v>5</v>
      </c>
      <c r="E145" s="56">
        <f>ServantLevelUPdStatus!$O$18+(ServantLevelUPdStatus!$O$18*0.5*($D145-1))</f>
        <v>0.621</v>
      </c>
      <c r="F145" s="56">
        <f>F144</f>
        <v>0.20699999999999999</v>
      </c>
      <c r="H145" s="57">
        <f>Servant!$AA$18+($F145+($F145*0.5*($D145-1)))*(H$3-1)</f>
        <v>102.13</v>
      </c>
      <c r="I145" s="57">
        <f>Servant!$AA$18+($F145+($F145*0.5*($D145-1)))*(I$3-1)</f>
        <v>102.75099999999999</v>
      </c>
      <c r="J145" s="57">
        <f>Servant!$AA$18+($F145+($F145*0.5*($D145-1)))*(J$3-1)</f>
        <v>103.372</v>
      </c>
      <c r="K145" s="57">
        <f>Servant!$AA$18+($F145+($F145*0.5*($D145-1)))*(K$3-1)</f>
        <v>103.99299999999999</v>
      </c>
      <c r="L145" s="57">
        <f>Servant!$AA$18+($F145+($F145*0.5*($D145-1)))*(L$3-1)</f>
        <v>104.61399999999999</v>
      </c>
      <c r="M145" s="57">
        <f>Servant!$AA$18+($F145+($F145*0.5*($D145-1)))*(M$3-1)</f>
        <v>105.235</v>
      </c>
      <c r="N145" s="57">
        <f>Servant!$AA$18+($F145+($F145*0.5*($D145-1)))*(N$3-1)</f>
        <v>105.85599999999999</v>
      </c>
      <c r="O145" s="57">
        <f>Servant!$AA$18+($F145+($F145*0.5*($D145-1)))*(O$3-1)</f>
        <v>106.47699999999999</v>
      </c>
      <c r="P145" s="57">
        <f>Servant!$AA$18+($F145+($F145*0.5*($D145-1)))*(P$3-1)</f>
        <v>107.098</v>
      </c>
      <c r="Q145" s="57">
        <f>Servant!$AA$18+($F145+($F145*0.5*($D145-1)))*(Q$3-1)</f>
        <v>107.71899999999999</v>
      </c>
      <c r="R145" s="57">
        <f>Servant!$AA$18+($F145+($F145*0.5*($D145-1)))*(R$3-1)</f>
        <v>108.33999999999999</v>
      </c>
      <c r="S145" s="57">
        <f>Servant!$AA$18+($F145+($F145*0.5*($D145-1)))*(S$3-1)</f>
        <v>108.961</v>
      </c>
      <c r="T145" s="57">
        <f>Servant!$AA$18+($F145+($F145*0.5*($D145-1)))*(T$3-1)</f>
        <v>109.58199999999999</v>
      </c>
      <c r="U145" s="57">
        <f>Servant!$AA$18+($F145+($F145*0.5*($D145-1)))*(U$3-1)</f>
        <v>110.203</v>
      </c>
      <c r="V145" s="57">
        <f>Servant!$AA$18+($F145+($F145*0.5*($D145-1)))*(V$3-1)</f>
        <v>110.824</v>
      </c>
      <c r="W145" s="57">
        <f>Servant!$AA$18+($F145+($F145*0.5*($D145-1)))*(W$3-1)</f>
        <v>111.44499999999999</v>
      </c>
      <c r="X145" s="57">
        <f>Servant!$AA$18+($F145+($F145*0.5*($D145-1)))*(X$3-1)</f>
        <v>112.066</v>
      </c>
      <c r="Y145" s="57">
        <f>Servant!$AA$18+($F145+($F145*0.5*($D145-1)))*(Y$3-1)</f>
        <v>112.687</v>
      </c>
      <c r="Z145" s="57">
        <f>Servant!$AA$18+($F145+($F145*0.5*($D145-1)))*(Z$3-1)</f>
        <v>113.30799999999999</v>
      </c>
      <c r="AA145" s="57">
        <f>Servant!$AA$18+($F145+($F145*0.5*($D145-1)))*(AA$3-1)</f>
        <v>113.929</v>
      </c>
      <c r="AB145" s="57">
        <f>Servant!$AA$18+($F145+($F145*0.5*($D145-1)))*(AB$3-1)</f>
        <v>114.55</v>
      </c>
      <c r="AC145" s="57">
        <f>Servant!$AA$18+($F145+($F145*0.5*($D145-1)))*(AC$3-1)</f>
        <v>115.17099999999999</v>
      </c>
      <c r="AD145" s="57">
        <f>Servant!$AA$18+($F145+($F145*0.5*($D145-1)))*(AD$3-1)</f>
        <v>115.792</v>
      </c>
      <c r="AE145" s="57">
        <f>Servant!$AA$18+($F145+($F145*0.5*($D145-1)))*(AE$3-1)</f>
        <v>116.413</v>
      </c>
      <c r="AF145" s="57">
        <f>Servant!$AA$18+($F145+($F145*0.5*($D145-1)))*(AF$3-1)</f>
        <v>117.03399999999999</v>
      </c>
      <c r="AG145" s="57">
        <f>Servant!$AA$18+($F145+($F145*0.5*($D145-1)))*(AG$3-1)</f>
        <v>117.655</v>
      </c>
      <c r="AH145" s="57">
        <f>Servant!$AA$18+($F145+($F145*0.5*($D145-1)))*(AH$3-1)</f>
        <v>118.276</v>
      </c>
      <c r="AI145" s="57">
        <f>Servant!$AA$18+($F145+($F145*0.5*($D145-1)))*(AI$3-1)</f>
        <v>118.89699999999999</v>
      </c>
      <c r="AJ145" s="57">
        <f>Servant!$AA$18+($F145+($F145*0.5*($D145-1)))*(AJ$3-1)</f>
        <v>119.518</v>
      </c>
      <c r="AK145" s="57">
        <f>Servant!$AA$18+($F145+($F145*0.5*($D145-1)))*(AK$3-1)</f>
        <v>120.139</v>
      </c>
    </row>
    <row r="146" spans="2:37" x14ac:dyDescent="0.3">
      <c r="B146" s="287"/>
      <c r="C146" s="292" t="s">
        <v>245</v>
      </c>
      <c r="D146" s="58">
        <v>4</v>
      </c>
      <c r="E146" s="58">
        <f>ServantLevelUPdStatus!$O$22+(ServantLevelUPdStatus!$O$22*0.5*($D146-1))</f>
        <v>0.59749999999999992</v>
      </c>
      <c r="F146" s="58">
        <f>ServantLevelUPdStatus!O$22</f>
        <v>0.23899999999999999</v>
      </c>
      <c r="H146" s="59">
        <f>Servant!$AA$22+($F146+($F146*0.5*($D146-1)))*(H$3-1)</f>
        <v>101.01</v>
      </c>
      <c r="I146" s="59">
        <f>Servant!$AA$22+($F146+($F146*0.5*($D146-1)))*(I$3-1)</f>
        <v>101.6075</v>
      </c>
      <c r="J146" s="59">
        <f>Servant!$AA$22+($F146+($F146*0.5*($D146-1)))*(J$3-1)</f>
        <v>102.205</v>
      </c>
      <c r="K146" s="59">
        <f>Servant!$AA$22+($F146+($F146*0.5*($D146-1)))*(K$3-1)</f>
        <v>102.80250000000001</v>
      </c>
      <c r="L146" s="59">
        <f>Servant!$AA$22+($F146+($F146*0.5*($D146-1)))*(L$3-1)</f>
        <v>103.4</v>
      </c>
      <c r="M146" s="59">
        <f>Servant!$AA$22+($F146+($F146*0.5*($D146-1)))*(M$3-1)</f>
        <v>103.9975</v>
      </c>
      <c r="N146" s="59">
        <f>Servant!$AA$22+($F146+($F146*0.5*($D146-1)))*(N$3-1)</f>
        <v>104.595</v>
      </c>
      <c r="O146" s="59">
        <f>Servant!$AA$22+($F146+($F146*0.5*($D146-1)))*(O$3-1)</f>
        <v>105.19250000000001</v>
      </c>
      <c r="P146" s="59">
        <f>Servant!$AA$22+($F146+($F146*0.5*($D146-1)))*(P$3-1)</f>
        <v>105.79</v>
      </c>
      <c r="Q146" s="59">
        <f>Servant!$AA$22+($F146+($F146*0.5*($D146-1)))*(Q$3-1)</f>
        <v>106.3875</v>
      </c>
      <c r="R146" s="59">
        <f>Servant!$AA$22+($F146+($F146*0.5*($D146-1)))*(R$3-1)</f>
        <v>106.985</v>
      </c>
      <c r="S146" s="59">
        <f>Servant!$AA$22+($F146+($F146*0.5*($D146-1)))*(S$3-1)</f>
        <v>107.58250000000001</v>
      </c>
      <c r="T146" s="59">
        <f>Servant!$AA$22+($F146+($F146*0.5*($D146-1)))*(T$3-1)</f>
        <v>108.18</v>
      </c>
      <c r="U146" s="59">
        <f>Servant!$AA$22+($F146+($F146*0.5*($D146-1)))*(U$3-1)</f>
        <v>108.7775</v>
      </c>
      <c r="V146" s="59">
        <f>Servant!$AA$22+($F146+($F146*0.5*($D146-1)))*(V$3-1)</f>
        <v>109.375</v>
      </c>
      <c r="W146" s="59">
        <f>Servant!$AA$22+($F146+($F146*0.5*($D146-1)))*(W$3-1)</f>
        <v>109.9725</v>
      </c>
      <c r="X146" s="59">
        <f>Servant!$AA$22+($F146+($F146*0.5*($D146-1)))*(X$3-1)</f>
        <v>110.57000000000001</v>
      </c>
      <c r="Y146" s="59">
        <f>Servant!$AA$22+($F146+($F146*0.5*($D146-1)))*(Y$3-1)</f>
        <v>111.1675</v>
      </c>
      <c r="Z146" s="59">
        <f>Servant!$AA$22+($F146+($F146*0.5*($D146-1)))*(Z$3-1)</f>
        <v>111.765</v>
      </c>
      <c r="AA146" s="59">
        <f>Servant!$AA$22+($F146+($F146*0.5*($D146-1)))*(AA$3-1)</f>
        <v>112.36250000000001</v>
      </c>
      <c r="AB146" s="59">
        <f>Servant!$AA$22+($F146+($F146*0.5*($D146-1)))*(AB$3-1)</f>
        <v>112.96000000000001</v>
      </c>
      <c r="AC146" s="59">
        <f>Servant!$AA$22+($F146+($F146*0.5*($D146-1)))*(AC$3-1)</f>
        <v>113.5575</v>
      </c>
      <c r="AD146" s="59">
        <f>Servant!$AA$22+($F146+($F146*0.5*($D146-1)))*(AD$3-1)</f>
        <v>114.155</v>
      </c>
      <c r="AE146" s="59">
        <f>Servant!$AA$22+($F146+($F146*0.5*($D146-1)))*(AE$3-1)</f>
        <v>114.7525</v>
      </c>
      <c r="AF146" s="59">
        <f>Servant!$AA$22+($F146+($F146*0.5*($D146-1)))*(AF$3-1)</f>
        <v>115.35000000000001</v>
      </c>
      <c r="AG146" s="59">
        <f>Servant!$AA$22+($F146+($F146*0.5*($D146-1)))*(AG$3-1)</f>
        <v>115.94750000000001</v>
      </c>
      <c r="AH146" s="59">
        <f>Servant!$AA$22+($F146+($F146*0.5*($D146-1)))*(AH$3-1)</f>
        <v>116.545</v>
      </c>
      <c r="AI146" s="59">
        <f>Servant!$AA$22+($F146+($F146*0.5*($D146-1)))*(AI$3-1)</f>
        <v>117.1425</v>
      </c>
      <c r="AJ146" s="59">
        <f>Servant!$AA$22+($F146+($F146*0.5*($D146-1)))*(AJ$3-1)</f>
        <v>117.74000000000001</v>
      </c>
      <c r="AK146" s="59">
        <f>Servant!$AA$22+($F146+($F146*0.5*($D146-1)))*(AK$3-1)</f>
        <v>118.33750000000001</v>
      </c>
    </row>
    <row r="147" spans="2:37" x14ac:dyDescent="0.3">
      <c r="B147" s="287"/>
      <c r="C147" s="292"/>
      <c r="D147" s="58">
        <v>5</v>
      </c>
      <c r="E147" s="58">
        <f>ServantLevelUPdStatus!$O$22+(ServantLevelUPdStatus!$O$22*0.5*($D147-1))</f>
        <v>0.71699999999999997</v>
      </c>
      <c r="F147" s="58">
        <f>F146</f>
        <v>0.23899999999999999</v>
      </c>
      <c r="H147" s="59">
        <f>Servant!$AA$22+($F147+($F147*0.5*($D147-1)))*(H$3-1)</f>
        <v>101.01</v>
      </c>
      <c r="I147" s="59">
        <f>Servant!$AA$22+($F147+($F147*0.5*($D147-1)))*(I$3-1)</f>
        <v>101.727</v>
      </c>
      <c r="J147" s="59">
        <f>Servant!$AA$22+($F147+($F147*0.5*($D147-1)))*(J$3-1)</f>
        <v>102.444</v>
      </c>
      <c r="K147" s="59">
        <f>Servant!$AA$22+($F147+($F147*0.5*($D147-1)))*(K$3-1)</f>
        <v>103.161</v>
      </c>
      <c r="L147" s="59">
        <f>Servant!$AA$22+($F147+($F147*0.5*($D147-1)))*(L$3-1)</f>
        <v>103.878</v>
      </c>
      <c r="M147" s="59">
        <f>Servant!$AA$22+($F147+($F147*0.5*($D147-1)))*(M$3-1)</f>
        <v>104.595</v>
      </c>
      <c r="N147" s="59">
        <f>Servant!$AA$22+($F147+($F147*0.5*($D147-1)))*(N$3-1)</f>
        <v>105.31200000000001</v>
      </c>
      <c r="O147" s="59">
        <f>Servant!$AA$22+($F147+($F147*0.5*($D147-1)))*(O$3-1)</f>
        <v>106.02900000000001</v>
      </c>
      <c r="P147" s="59">
        <f>Servant!$AA$22+($F147+($F147*0.5*($D147-1)))*(P$3-1)</f>
        <v>106.74600000000001</v>
      </c>
      <c r="Q147" s="59">
        <f>Servant!$AA$22+($F147+($F147*0.5*($D147-1)))*(Q$3-1)</f>
        <v>107.46300000000001</v>
      </c>
      <c r="R147" s="59">
        <f>Servant!$AA$22+($F147+($F147*0.5*($D147-1)))*(R$3-1)</f>
        <v>108.18</v>
      </c>
      <c r="S147" s="59">
        <f>Servant!$AA$22+($F147+($F147*0.5*($D147-1)))*(S$3-1)</f>
        <v>108.89700000000001</v>
      </c>
      <c r="T147" s="59">
        <f>Servant!$AA$22+($F147+($F147*0.5*($D147-1)))*(T$3-1)</f>
        <v>109.614</v>
      </c>
      <c r="U147" s="59">
        <f>Servant!$AA$22+($F147+($F147*0.5*($D147-1)))*(U$3-1)</f>
        <v>110.331</v>
      </c>
      <c r="V147" s="59">
        <f>Servant!$AA$22+($F147+($F147*0.5*($D147-1)))*(V$3-1)</f>
        <v>111.048</v>
      </c>
      <c r="W147" s="59">
        <f>Servant!$AA$22+($F147+($F147*0.5*($D147-1)))*(W$3-1)</f>
        <v>111.765</v>
      </c>
      <c r="X147" s="59">
        <f>Servant!$AA$22+($F147+($F147*0.5*($D147-1)))*(X$3-1)</f>
        <v>112.482</v>
      </c>
      <c r="Y147" s="59">
        <f>Servant!$AA$22+($F147+($F147*0.5*($D147-1)))*(Y$3-1)</f>
        <v>113.19900000000001</v>
      </c>
      <c r="Z147" s="59">
        <f>Servant!$AA$22+($F147+($F147*0.5*($D147-1)))*(Z$3-1)</f>
        <v>113.916</v>
      </c>
      <c r="AA147" s="59">
        <f>Servant!$AA$22+($F147+($F147*0.5*($D147-1)))*(AA$3-1)</f>
        <v>114.63300000000001</v>
      </c>
      <c r="AB147" s="59">
        <f>Servant!$AA$22+($F147+($F147*0.5*($D147-1)))*(AB$3-1)</f>
        <v>115.35000000000001</v>
      </c>
      <c r="AC147" s="59">
        <f>Servant!$AA$22+($F147+($F147*0.5*($D147-1)))*(AC$3-1)</f>
        <v>116.06700000000001</v>
      </c>
      <c r="AD147" s="59">
        <f>Servant!$AA$22+($F147+($F147*0.5*($D147-1)))*(AD$3-1)</f>
        <v>116.78400000000001</v>
      </c>
      <c r="AE147" s="59">
        <f>Servant!$AA$22+($F147+($F147*0.5*($D147-1)))*(AE$3-1)</f>
        <v>117.501</v>
      </c>
      <c r="AF147" s="59">
        <f>Servant!$AA$22+($F147+($F147*0.5*($D147-1)))*(AF$3-1)</f>
        <v>118.218</v>
      </c>
      <c r="AG147" s="59">
        <f>Servant!$AA$22+($F147+($F147*0.5*($D147-1)))*(AG$3-1)</f>
        <v>118.935</v>
      </c>
      <c r="AH147" s="59">
        <f>Servant!$AA$22+($F147+($F147*0.5*($D147-1)))*(AH$3-1)</f>
        <v>119.652</v>
      </c>
      <c r="AI147" s="59">
        <f>Servant!$AA$22+($F147+($F147*0.5*($D147-1)))*(AI$3-1)</f>
        <v>120.369</v>
      </c>
      <c r="AJ147" s="59">
        <f>Servant!$AA$22+($F147+($F147*0.5*($D147-1)))*(AJ$3-1)</f>
        <v>121.08600000000001</v>
      </c>
      <c r="AK147" s="59">
        <f>Servant!$AA$22+($F147+($F147*0.5*($D147-1)))*(AK$3-1)</f>
        <v>121.803</v>
      </c>
    </row>
    <row r="148" spans="2:37" x14ac:dyDescent="0.3">
      <c r="B148" s="287"/>
      <c r="C148" s="292"/>
      <c r="D148" s="58">
        <v>6</v>
      </c>
      <c r="E148" s="58">
        <f>ServantLevelUPdStatus!$O$22+(ServantLevelUPdStatus!$O$22*0.5*($D148-1))</f>
        <v>0.83649999999999991</v>
      </c>
      <c r="F148" s="58">
        <f>F147</f>
        <v>0.23899999999999999</v>
      </c>
      <c r="H148" s="59">
        <f>Servant!$AA$22+($F148+($F148*0.5*($D148-1)))*(H$3-1)</f>
        <v>101.01</v>
      </c>
      <c r="I148" s="59">
        <f>Servant!$AA$22+($F148+($F148*0.5*($D148-1)))*(I$3-1)</f>
        <v>101.84650000000001</v>
      </c>
      <c r="J148" s="59">
        <f>Servant!$AA$22+($F148+($F148*0.5*($D148-1)))*(J$3-1)</f>
        <v>102.68300000000001</v>
      </c>
      <c r="K148" s="59">
        <f>Servant!$AA$22+($F148+($F148*0.5*($D148-1)))*(K$3-1)</f>
        <v>103.51950000000001</v>
      </c>
      <c r="L148" s="59">
        <f>Servant!$AA$22+($F148+($F148*0.5*($D148-1)))*(L$3-1)</f>
        <v>104.35600000000001</v>
      </c>
      <c r="M148" s="59">
        <f>Servant!$AA$22+($F148+($F148*0.5*($D148-1)))*(M$3-1)</f>
        <v>105.19250000000001</v>
      </c>
      <c r="N148" s="59">
        <f>Servant!$AA$22+($F148+($F148*0.5*($D148-1)))*(N$3-1)</f>
        <v>106.02900000000001</v>
      </c>
      <c r="O148" s="59">
        <f>Servant!$AA$22+($F148+($F148*0.5*($D148-1)))*(O$3-1)</f>
        <v>106.8655</v>
      </c>
      <c r="P148" s="59">
        <f>Servant!$AA$22+($F148+($F148*0.5*($D148-1)))*(P$3-1)</f>
        <v>107.702</v>
      </c>
      <c r="Q148" s="59">
        <f>Servant!$AA$22+($F148+($F148*0.5*($D148-1)))*(Q$3-1)</f>
        <v>108.5385</v>
      </c>
      <c r="R148" s="59">
        <f>Servant!$AA$22+($F148+($F148*0.5*($D148-1)))*(R$3-1)</f>
        <v>109.375</v>
      </c>
      <c r="S148" s="59">
        <f>Servant!$AA$22+($F148+($F148*0.5*($D148-1)))*(S$3-1)</f>
        <v>110.2115</v>
      </c>
      <c r="T148" s="59">
        <f>Servant!$AA$22+($F148+($F148*0.5*($D148-1)))*(T$3-1)</f>
        <v>111.048</v>
      </c>
      <c r="U148" s="59">
        <f>Servant!$AA$22+($F148+($F148*0.5*($D148-1)))*(U$3-1)</f>
        <v>111.8845</v>
      </c>
      <c r="V148" s="59">
        <f>Servant!$AA$22+($F148+($F148*0.5*($D148-1)))*(V$3-1)</f>
        <v>112.721</v>
      </c>
      <c r="W148" s="59">
        <f>Servant!$AA$22+($F148+($F148*0.5*($D148-1)))*(W$3-1)</f>
        <v>113.5575</v>
      </c>
      <c r="X148" s="59">
        <f>Servant!$AA$22+($F148+($F148*0.5*($D148-1)))*(X$3-1)</f>
        <v>114.39400000000001</v>
      </c>
      <c r="Y148" s="59">
        <f>Servant!$AA$22+($F148+($F148*0.5*($D148-1)))*(Y$3-1)</f>
        <v>115.23050000000001</v>
      </c>
      <c r="Z148" s="59">
        <f>Servant!$AA$22+($F148+($F148*0.5*($D148-1)))*(Z$3-1)</f>
        <v>116.06700000000001</v>
      </c>
      <c r="AA148" s="59">
        <f>Servant!$AA$22+($F148+($F148*0.5*($D148-1)))*(AA$3-1)</f>
        <v>116.90350000000001</v>
      </c>
      <c r="AB148" s="59">
        <f>Servant!$AA$22+($F148+($F148*0.5*($D148-1)))*(AB$3-1)</f>
        <v>117.74000000000001</v>
      </c>
      <c r="AC148" s="59">
        <f>Servant!$AA$22+($F148+($F148*0.5*($D148-1)))*(AC$3-1)</f>
        <v>118.57650000000001</v>
      </c>
      <c r="AD148" s="59">
        <f>Servant!$AA$22+($F148+($F148*0.5*($D148-1)))*(AD$3-1)</f>
        <v>119.41300000000001</v>
      </c>
      <c r="AE148" s="59">
        <f>Servant!$AA$22+($F148+($F148*0.5*($D148-1)))*(AE$3-1)</f>
        <v>120.24950000000001</v>
      </c>
      <c r="AF148" s="59">
        <f>Servant!$AA$22+($F148+($F148*0.5*($D148-1)))*(AF$3-1)</f>
        <v>121.086</v>
      </c>
      <c r="AG148" s="59">
        <f>Servant!$AA$22+($F148+($F148*0.5*($D148-1)))*(AG$3-1)</f>
        <v>121.9225</v>
      </c>
      <c r="AH148" s="59">
        <f>Servant!$AA$22+($F148+($F148*0.5*($D148-1)))*(AH$3-1)</f>
        <v>122.759</v>
      </c>
      <c r="AI148" s="59">
        <f>Servant!$AA$22+($F148+($F148*0.5*($D148-1)))*(AI$3-1)</f>
        <v>123.5955</v>
      </c>
      <c r="AJ148" s="59">
        <f>Servant!$AA$22+($F148+($F148*0.5*($D148-1)))*(AJ$3-1)</f>
        <v>124.432</v>
      </c>
      <c r="AK148" s="59">
        <f>Servant!$AA$22+($F148+($F148*0.5*($D148-1)))*(AK$3-1)</f>
        <v>125.2685</v>
      </c>
    </row>
    <row r="150" spans="2:37" x14ac:dyDescent="0.3">
      <c r="B150" s="286" t="s">
        <v>272</v>
      </c>
      <c r="C150" s="289" t="s">
        <v>217</v>
      </c>
      <c r="D150" s="54">
        <v>1</v>
      </c>
      <c r="E150" s="54">
        <f>ServantLevelUPdStatus!$P$6+(ServantLevelUPdStatus!$P$6*0.5*($D150-1))</f>
        <v>0.1</v>
      </c>
      <c r="F150" s="54">
        <f>ServantLevelUPdStatus!P$6</f>
        <v>0.1</v>
      </c>
      <c r="H150" s="55">
        <f>Servant!$AB$6+($F150+($F150*0.5*($D150-1)))*(H$3-1)</f>
        <v>2.9529999999999998</v>
      </c>
      <c r="I150" s="55">
        <f>Servant!$AB$6+($F150+($F150*0.5*($D150-1)))*(I$3-1)</f>
        <v>3.0529999999999999</v>
      </c>
      <c r="J150" s="55">
        <f>Servant!$AB$6+($F150+($F150*0.5*($D150-1)))*(J$3-1)</f>
        <v>3.153</v>
      </c>
      <c r="K150" s="55">
        <f>Servant!$AB$6+($F150+($F150*0.5*($D150-1)))*(K$3-1)</f>
        <v>3.2530000000000001</v>
      </c>
      <c r="L150" s="55">
        <f>Servant!$AB$6+($F150+($F150*0.5*($D150-1)))*(L$3-1)</f>
        <v>3.3529999999999998</v>
      </c>
      <c r="M150" s="55">
        <f>Servant!$AB$6+($F150+($F150*0.5*($D150-1)))*(M$3-1)</f>
        <v>3.4529999999999998</v>
      </c>
      <c r="N150" s="55">
        <f>Servant!$AB$6+($F150+($F150*0.5*($D150-1)))*(N$3-1)</f>
        <v>3.5529999999999999</v>
      </c>
      <c r="O150" s="55">
        <f>Servant!$AB$6+($F150+($F150*0.5*($D150-1)))*(O$3-1)</f>
        <v>3.653</v>
      </c>
      <c r="P150" s="55">
        <f>Servant!$AB$6+($F150+($F150*0.5*($D150-1)))*(P$3-1)</f>
        <v>3.7530000000000001</v>
      </c>
      <c r="Q150" s="55">
        <f>Servant!$AB$6+($F150+($F150*0.5*($D150-1)))*(Q$3-1)</f>
        <v>3.8529999999999998</v>
      </c>
      <c r="R150" s="55">
        <f>Servant!$AB$6+($F150+($F150*0.5*($D150-1)))*(R$3-1)</f>
        <v>3.9529999999999998</v>
      </c>
      <c r="S150" s="55">
        <f>Servant!$AB$6+($F150+($F150*0.5*($D150-1)))*(S$3-1)</f>
        <v>4.0529999999999999</v>
      </c>
      <c r="T150" s="55">
        <f>Servant!$AB$6+($F150+($F150*0.5*($D150-1)))*(T$3-1)</f>
        <v>4.1530000000000005</v>
      </c>
      <c r="U150" s="55">
        <f>Servant!$AB$6+($F150+($F150*0.5*($D150-1)))*(U$3-1)</f>
        <v>4.2530000000000001</v>
      </c>
      <c r="V150" s="55">
        <f>Servant!$AB$6+($F150+($F150*0.5*($D150-1)))*(V$3-1)</f>
        <v>4.3529999999999998</v>
      </c>
      <c r="W150" s="55">
        <f>Servant!$AB$6+($F150+($F150*0.5*($D150-1)))*(W$3-1)</f>
        <v>4.4529999999999994</v>
      </c>
      <c r="X150" s="55">
        <f>Servant!$AB$6+($F150+($F150*0.5*($D150-1)))*(X$3-1)</f>
        <v>4.5529999999999999</v>
      </c>
      <c r="Y150" s="55">
        <f>Servant!$AB$6+($F150+($F150*0.5*($D150-1)))*(Y$3-1)</f>
        <v>4.6530000000000005</v>
      </c>
      <c r="Z150" s="55">
        <f>Servant!$AB$6+($F150+($F150*0.5*($D150-1)))*(Z$3-1)</f>
        <v>4.7530000000000001</v>
      </c>
      <c r="AA150" s="55">
        <f>Servant!$AB$6+($F150+($F150*0.5*($D150-1)))*(AA$3-1)</f>
        <v>4.8529999999999998</v>
      </c>
      <c r="AB150" s="55">
        <f>Servant!$AB$6+($F150+($F150*0.5*($D150-1)))*(AB$3-1)</f>
        <v>4.9529999999999994</v>
      </c>
      <c r="AC150" s="55">
        <f>Servant!$AB$6+($F150+($F150*0.5*($D150-1)))*(AC$3-1)</f>
        <v>5.0529999999999999</v>
      </c>
      <c r="AD150" s="55">
        <f>Servant!$AB$6+($F150+($F150*0.5*($D150-1)))*(AD$3-1)</f>
        <v>5.1530000000000005</v>
      </c>
      <c r="AE150" s="55">
        <f>Servant!$AB$6+($F150+($F150*0.5*($D150-1)))*(AE$3-1)</f>
        <v>5.2530000000000001</v>
      </c>
      <c r="AF150" s="55">
        <f>Servant!$AB$6+($F150+($F150*0.5*($D150-1)))*(AF$3-1)</f>
        <v>5.3529999999999998</v>
      </c>
      <c r="AG150" s="55">
        <f>Servant!$AB$6+($F150+($F150*0.5*($D150-1)))*(AG$3-1)</f>
        <v>5.4529999999999994</v>
      </c>
      <c r="AH150" s="55">
        <f>Servant!$AB$6+($F150+($F150*0.5*($D150-1)))*(AH$3-1)</f>
        <v>5.5529999999999999</v>
      </c>
      <c r="AI150" s="55">
        <f>Servant!$AB$6+($F150+($F150*0.5*($D150-1)))*(AI$3-1)</f>
        <v>5.6530000000000005</v>
      </c>
      <c r="AJ150" s="55">
        <f>Servant!$AB$6+($F150+($F150*0.5*($D150-1)))*(AJ$3-1)</f>
        <v>5.7530000000000001</v>
      </c>
      <c r="AK150" s="55">
        <f>Servant!$AB$6+($F150+($F150*0.5*($D150-1)))*(AK$3-1)</f>
        <v>5.8529999999999998</v>
      </c>
    </row>
    <row r="151" spans="2:37" x14ac:dyDescent="0.3">
      <c r="B151" s="287"/>
      <c r="C151" s="289"/>
      <c r="D151" s="54">
        <v>2</v>
      </c>
      <c r="E151" s="54">
        <f>ServantLevelUPdStatus!$P$6+(ServantLevelUPdStatus!$P$6*0.5*($D151-1))</f>
        <v>0.15000000000000002</v>
      </c>
      <c r="F151" s="54">
        <f>F150</f>
        <v>0.1</v>
      </c>
      <c r="H151" s="55">
        <f>Servant!$AB$6+($F151+($F151*0.5*($D151-1)))*(H$3-1)</f>
        <v>2.9529999999999998</v>
      </c>
      <c r="I151" s="55">
        <f>Servant!$AB$6+($F151+($F151*0.5*($D151-1)))*(I$3-1)</f>
        <v>3.1029999999999998</v>
      </c>
      <c r="J151" s="55">
        <f>Servant!$AB$6+($F151+($F151*0.5*($D151-1)))*(J$3-1)</f>
        <v>3.2530000000000001</v>
      </c>
      <c r="K151" s="55">
        <f>Servant!$AB$6+($F151+($F151*0.5*($D151-1)))*(K$3-1)</f>
        <v>3.403</v>
      </c>
      <c r="L151" s="55">
        <f>Servant!$AB$6+($F151+($F151*0.5*($D151-1)))*(L$3-1)</f>
        <v>3.5529999999999999</v>
      </c>
      <c r="M151" s="55">
        <f>Servant!$AB$6+($F151+($F151*0.5*($D151-1)))*(M$3-1)</f>
        <v>3.7029999999999998</v>
      </c>
      <c r="N151" s="55">
        <f>Servant!$AB$6+($F151+($F151*0.5*($D151-1)))*(N$3-1)</f>
        <v>3.8529999999999998</v>
      </c>
      <c r="O151" s="55">
        <f>Servant!$AB$6+($F151+($F151*0.5*($D151-1)))*(O$3-1)</f>
        <v>4.0030000000000001</v>
      </c>
      <c r="P151" s="55">
        <f>Servant!$AB$6+($F151+($F151*0.5*($D151-1)))*(P$3-1)</f>
        <v>4.1530000000000005</v>
      </c>
      <c r="Q151" s="55">
        <f>Servant!$AB$6+($F151+($F151*0.5*($D151-1)))*(Q$3-1)</f>
        <v>4.3029999999999999</v>
      </c>
      <c r="R151" s="55">
        <f>Servant!$AB$6+($F151+($F151*0.5*($D151-1)))*(R$3-1)</f>
        <v>4.4530000000000003</v>
      </c>
      <c r="S151" s="55">
        <f>Servant!$AB$6+($F151+($F151*0.5*($D151-1)))*(S$3-1)</f>
        <v>4.6029999999999998</v>
      </c>
      <c r="T151" s="55">
        <f>Servant!$AB$6+($F151+($F151*0.5*($D151-1)))*(T$3-1)</f>
        <v>4.7530000000000001</v>
      </c>
      <c r="U151" s="55">
        <f>Servant!$AB$6+($F151+($F151*0.5*($D151-1)))*(U$3-1)</f>
        <v>4.9030000000000005</v>
      </c>
      <c r="V151" s="55">
        <f>Servant!$AB$6+($F151+($F151*0.5*($D151-1)))*(V$3-1)</f>
        <v>5.0530000000000008</v>
      </c>
      <c r="W151" s="55">
        <f>Servant!$AB$6+($F151+($F151*0.5*($D151-1)))*(W$3-1)</f>
        <v>5.2030000000000003</v>
      </c>
      <c r="X151" s="55">
        <f>Servant!$AB$6+($F151+($F151*0.5*($D151-1)))*(X$3-1)</f>
        <v>5.3529999999999998</v>
      </c>
      <c r="Y151" s="55">
        <f>Servant!$AB$6+($F151+($F151*0.5*($D151-1)))*(Y$3-1)</f>
        <v>5.5030000000000001</v>
      </c>
      <c r="Z151" s="55">
        <f>Servant!$AB$6+($F151+($F151*0.5*($D151-1)))*(Z$3-1)</f>
        <v>5.6530000000000005</v>
      </c>
      <c r="AA151" s="55">
        <f>Servant!$AB$6+($F151+($F151*0.5*($D151-1)))*(AA$3-1)</f>
        <v>5.8030000000000008</v>
      </c>
      <c r="AB151" s="55">
        <f>Servant!$AB$6+($F151+($F151*0.5*($D151-1)))*(AB$3-1)</f>
        <v>5.9530000000000003</v>
      </c>
      <c r="AC151" s="55">
        <f>Servant!$AB$6+($F151+($F151*0.5*($D151-1)))*(AC$3-1)</f>
        <v>6.1029999999999998</v>
      </c>
      <c r="AD151" s="55">
        <f>Servant!$AB$6+($F151+($F151*0.5*($D151-1)))*(AD$3-1)</f>
        <v>6.2530000000000001</v>
      </c>
      <c r="AE151" s="55">
        <f>Servant!$AB$6+($F151+($F151*0.5*($D151-1)))*(AE$3-1)</f>
        <v>6.4030000000000005</v>
      </c>
      <c r="AF151" s="55">
        <f>Servant!$AB$6+($F151+($F151*0.5*($D151-1)))*(AF$3-1)</f>
        <v>6.5530000000000008</v>
      </c>
      <c r="AG151" s="55">
        <f>Servant!$AB$6+($F151+($F151*0.5*($D151-1)))*(AG$3-1)</f>
        <v>6.7030000000000003</v>
      </c>
      <c r="AH151" s="55">
        <f>Servant!$AB$6+($F151+($F151*0.5*($D151-1)))*(AH$3-1)</f>
        <v>6.8529999999999998</v>
      </c>
      <c r="AI151" s="55">
        <f>Servant!$AB$6+($F151+($F151*0.5*($D151-1)))*(AI$3-1)</f>
        <v>7.0030000000000001</v>
      </c>
      <c r="AJ151" s="55">
        <f>Servant!$AB$6+($F151+($F151*0.5*($D151-1)))*(AJ$3-1)</f>
        <v>7.1530000000000005</v>
      </c>
      <c r="AK151" s="55">
        <f>Servant!$AB$6+($F151+($F151*0.5*($D151-1)))*(AK$3-1)</f>
        <v>7.3030000000000008</v>
      </c>
    </row>
    <row r="152" spans="2:37" x14ac:dyDescent="0.3">
      <c r="B152" s="287"/>
      <c r="C152" s="289"/>
      <c r="D152" s="54">
        <v>3</v>
      </c>
      <c r="E152" s="54">
        <f>ServantLevelUPdStatus!$P$6+(ServantLevelUPdStatus!$P$6*0.5*($D152-1))</f>
        <v>0.2</v>
      </c>
      <c r="F152" s="54">
        <f>F151</f>
        <v>0.1</v>
      </c>
      <c r="H152" s="55">
        <f>Servant!$AB$6+($F152+($F152*0.5*($D152-1)))*(H$3-1)</f>
        <v>2.9529999999999998</v>
      </c>
      <c r="I152" s="55">
        <f>Servant!$AB$6+($F152+($F152*0.5*($D152-1)))*(I$3-1)</f>
        <v>3.153</v>
      </c>
      <c r="J152" s="55">
        <f>Servant!$AB$6+($F152+($F152*0.5*($D152-1)))*(J$3-1)</f>
        <v>3.3529999999999998</v>
      </c>
      <c r="K152" s="55">
        <f>Servant!$AB$6+($F152+($F152*0.5*($D152-1)))*(K$3-1)</f>
        <v>3.5529999999999999</v>
      </c>
      <c r="L152" s="55">
        <f>Servant!$AB$6+($F152+($F152*0.5*($D152-1)))*(L$3-1)</f>
        <v>3.7530000000000001</v>
      </c>
      <c r="M152" s="55">
        <f>Servant!$AB$6+($F152+($F152*0.5*($D152-1)))*(M$3-1)</f>
        <v>3.9529999999999998</v>
      </c>
      <c r="N152" s="55">
        <f>Servant!$AB$6+($F152+($F152*0.5*($D152-1)))*(N$3-1)</f>
        <v>4.1530000000000005</v>
      </c>
      <c r="O152" s="55">
        <f>Servant!$AB$6+($F152+($F152*0.5*($D152-1)))*(O$3-1)</f>
        <v>4.3529999999999998</v>
      </c>
      <c r="P152" s="55">
        <f>Servant!$AB$6+($F152+($F152*0.5*($D152-1)))*(P$3-1)</f>
        <v>4.5529999999999999</v>
      </c>
      <c r="Q152" s="55">
        <f>Servant!$AB$6+($F152+($F152*0.5*($D152-1)))*(Q$3-1)</f>
        <v>4.7530000000000001</v>
      </c>
      <c r="R152" s="55">
        <f>Servant!$AB$6+($F152+($F152*0.5*($D152-1)))*(R$3-1)</f>
        <v>4.9529999999999994</v>
      </c>
      <c r="S152" s="55">
        <f>Servant!$AB$6+($F152+($F152*0.5*($D152-1)))*(S$3-1)</f>
        <v>5.1530000000000005</v>
      </c>
      <c r="T152" s="55">
        <f>Servant!$AB$6+($F152+($F152*0.5*($D152-1)))*(T$3-1)</f>
        <v>5.3529999999999998</v>
      </c>
      <c r="U152" s="55">
        <f>Servant!$AB$6+($F152+($F152*0.5*($D152-1)))*(U$3-1)</f>
        <v>5.5529999999999999</v>
      </c>
      <c r="V152" s="55">
        <f>Servant!$AB$6+($F152+($F152*0.5*($D152-1)))*(V$3-1)</f>
        <v>5.7530000000000001</v>
      </c>
      <c r="W152" s="55">
        <f>Servant!$AB$6+($F152+($F152*0.5*($D152-1)))*(W$3-1)</f>
        <v>5.9529999999999994</v>
      </c>
      <c r="X152" s="55">
        <f>Servant!$AB$6+($F152+($F152*0.5*($D152-1)))*(X$3-1)</f>
        <v>6.1530000000000005</v>
      </c>
      <c r="Y152" s="55">
        <f>Servant!$AB$6+($F152+($F152*0.5*($D152-1)))*(Y$3-1)</f>
        <v>6.3529999999999998</v>
      </c>
      <c r="Z152" s="55">
        <f>Servant!$AB$6+($F152+($F152*0.5*($D152-1)))*(Z$3-1)</f>
        <v>6.5529999999999999</v>
      </c>
      <c r="AA152" s="55">
        <f>Servant!$AB$6+($F152+($F152*0.5*($D152-1)))*(AA$3-1)</f>
        <v>6.7530000000000001</v>
      </c>
      <c r="AB152" s="55">
        <f>Servant!$AB$6+($F152+($F152*0.5*($D152-1)))*(AB$3-1)</f>
        <v>6.9529999999999994</v>
      </c>
      <c r="AC152" s="55">
        <f>Servant!$AB$6+($F152+($F152*0.5*($D152-1)))*(AC$3-1)</f>
        <v>7.1530000000000005</v>
      </c>
      <c r="AD152" s="55">
        <f>Servant!$AB$6+($F152+($F152*0.5*($D152-1)))*(AD$3-1)</f>
        <v>7.3529999999999998</v>
      </c>
      <c r="AE152" s="55">
        <f>Servant!$AB$6+($F152+($F152*0.5*($D152-1)))*(AE$3-1)</f>
        <v>7.5530000000000008</v>
      </c>
      <c r="AF152" s="55">
        <f>Servant!$AB$6+($F152+($F152*0.5*($D152-1)))*(AF$3-1)</f>
        <v>7.7530000000000001</v>
      </c>
      <c r="AG152" s="55">
        <f>Servant!$AB$6+($F152+($F152*0.5*($D152-1)))*(AG$3-1)</f>
        <v>7.9529999999999994</v>
      </c>
      <c r="AH152" s="55">
        <f>Servant!$AB$6+($F152+($F152*0.5*($D152-1)))*(AH$3-1)</f>
        <v>8.1530000000000005</v>
      </c>
      <c r="AI152" s="55">
        <f>Servant!$AB$6+($F152+($F152*0.5*($D152-1)))*(AI$3-1)</f>
        <v>8.3529999999999998</v>
      </c>
      <c r="AJ152" s="55">
        <f>Servant!$AB$6+($F152+($F152*0.5*($D152-1)))*(AJ$3-1)</f>
        <v>8.5530000000000008</v>
      </c>
      <c r="AK152" s="55">
        <f>Servant!$AB$6+($F152+($F152*0.5*($D152-1)))*(AK$3-1)</f>
        <v>8.7530000000000001</v>
      </c>
    </row>
    <row r="153" spans="2:37" x14ac:dyDescent="0.3">
      <c r="B153" s="287"/>
      <c r="C153" s="290" t="s">
        <v>243</v>
      </c>
      <c r="D153" s="52">
        <v>2</v>
      </c>
      <c r="E153" s="52">
        <f>ServantLevelUPdStatus!$P$12+(ServantLevelUPdStatus!$P$12*0.5*($D153-1))</f>
        <v>0.22499999999999998</v>
      </c>
      <c r="F153" s="52">
        <f>ServantLevelUPdStatus!P$12</f>
        <v>0.15</v>
      </c>
      <c r="H153" s="53">
        <f>Servant!$AB$12+($F153+($F153*0.5*($D153-1)))*(H$3-1)</f>
        <v>5.1319999999999997</v>
      </c>
      <c r="I153" s="53">
        <f>Servant!$AB$12+($F153+($F153*0.5*($D153-1)))*(I$3-1)</f>
        <v>5.3569999999999993</v>
      </c>
      <c r="J153" s="53">
        <f>Servant!$AB$12+($F153+($F153*0.5*($D153-1)))*(J$3-1)</f>
        <v>5.5819999999999999</v>
      </c>
      <c r="K153" s="53">
        <f>Servant!$AB$12+($F153+($F153*0.5*($D153-1)))*(K$3-1)</f>
        <v>5.8069999999999995</v>
      </c>
      <c r="L153" s="53">
        <f>Servant!$AB$12+($F153+($F153*0.5*($D153-1)))*(L$3-1)</f>
        <v>6.032</v>
      </c>
      <c r="M153" s="53">
        <f>Servant!$AB$12+($F153+($F153*0.5*($D153-1)))*(M$3-1)</f>
        <v>6.2569999999999997</v>
      </c>
      <c r="N153" s="53">
        <f>Servant!$AB$12+($F153+($F153*0.5*($D153-1)))*(N$3-1)</f>
        <v>6.4819999999999993</v>
      </c>
      <c r="O153" s="53">
        <f>Servant!$AB$12+($F153+($F153*0.5*($D153-1)))*(O$3-1)</f>
        <v>6.706999999999999</v>
      </c>
      <c r="P153" s="53">
        <f>Servant!$AB$12+($F153+($F153*0.5*($D153-1)))*(P$3-1)</f>
        <v>6.9319999999999995</v>
      </c>
      <c r="Q153" s="53">
        <f>Servant!$AB$12+($F153+($F153*0.5*($D153-1)))*(Q$3-1)</f>
        <v>7.157</v>
      </c>
      <c r="R153" s="53">
        <f>Servant!$AB$12+($F153+($F153*0.5*($D153-1)))*(R$3-1)</f>
        <v>7.3819999999999997</v>
      </c>
      <c r="S153" s="53">
        <f>Servant!$AB$12+($F153+($F153*0.5*($D153-1)))*(S$3-1)</f>
        <v>7.6069999999999993</v>
      </c>
      <c r="T153" s="53">
        <f>Servant!$AB$12+($F153+($F153*0.5*($D153-1)))*(T$3-1)</f>
        <v>7.831999999999999</v>
      </c>
      <c r="U153" s="53">
        <f>Servant!$AB$12+($F153+($F153*0.5*($D153-1)))*(U$3-1)</f>
        <v>8.0569999999999986</v>
      </c>
      <c r="V153" s="53">
        <f>Servant!$AB$12+($F153+($F153*0.5*($D153-1)))*(V$3-1)</f>
        <v>8.282</v>
      </c>
      <c r="W153" s="53">
        <f>Servant!$AB$12+($F153+($F153*0.5*($D153-1)))*(W$3-1)</f>
        <v>8.5069999999999997</v>
      </c>
      <c r="X153" s="53">
        <f>Servant!$AB$12+($F153+($F153*0.5*($D153-1)))*(X$3-1)</f>
        <v>8.7319999999999993</v>
      </c>
      <c r="Y153" s="53">
        <f>Servant!$AB$12+($F153+($F153*0.5*($D153-1)))*(Y$3-1)</f>
        <v>8.956999999999999</v>
      </c>
      <c r="Z153" s="53">
        <f>Servant!$AB$12+($F153+($F153*0.5*($D153-1)))*(Z$3-1)</f>
        <v>9.1819999999999986</v>
      </c>
      <c r="AA153" s="53">
        <f>Servant!$AB$12+($F153+($F153*0.5*($D153-1)))*(AA$3-1)</f>
        <v>9.407</v>
      </c>
      <c r="AB153" s="53">
        <f>Servant!$AB$12+($F153+($F153*0.5*($D153-1)))*(AB$3-1)</f>
        <v>9.6319999999999997</v>
      </c>
      <c r="AC153" s="53">
        <f>Servant!$AB$12+($F153+($F153*0.5*($D153-1)))*(AC$3-1)</f>
        <v>9.8569999999999993</v>
      </c>
      <c r="AD153" s="53">
        <f>Servant!$AB$12+($F153+($F153*0.5*($D153-1)))*(AD$3-1)</f>
        <v>10.081999999999999</v>
      </c>
      <c r="AE153" s="53">
        <f>Servant!$AB$12+($F153+($F153*0.5*($D153-1)))*(AE$3-1)</f>
        <v>10.306999999999999</v>
      </c>
      <c r="AF153" s="53">
        <f>Servant!$AB$12+($F153+($F153*0.5*($D153-1)))*(AF$3-1)</f>
        <v>10.532</v>
      </c>
      <c r="AG153" s="53">
        <f>Servant!$AB$12+($F153+($F153*0.5*($D153-1)))*(AG$3-1)</f>
        <v>10.756999999999998</v>
      </c>
      <c r="AH153" s="53">
        <f>Servant!$AB$12+($F153+($F153*0.5*($D153-1)))*(AH$3-1)</f>
        <v>10.981999999999999</v>
      </c>
      <c r="AI153" s="53">
        <f>Servant!$AB$12+($F153+($F153*0.5*($D153-1)))*(AI$3-1)</f>
        <v>11.206999999999999</v>
      </c>
      <c r="AJ153" s="53">
        <f>Servant!$AB$12+($F153+($F153*0.5*($D153-1)))*(AJ$3-1)</f>
        <v>11.431999999999999</v>
      </c>
      <c r="AK153" s="53">
        <f>Servant!$AB$12+($F153+($F153*0.5*($D153-1)))*(AK$3-1)</f>
        <v>11.657</v>
      </c>
    </row>
    <row r="154" spans="2:37" x14ac:dyDescent="0.3">
      <c r="B154" s="287"/>
      <c r="C154" s="290"/>
      <c r="D154" s="52">
        <v>3</v>
      </c>
      <c r="E154" s="52">
        <f>ServantLevelUPdStatus!$P$12+(ServantLevelUPdStatus!$P$12*0.5*($D154-1))</f>
        <v>0.3</v>
      </c>
      <c r="F154" s="52">
        <f>F153</f>
        <v>0.15</v>
      </c>
      <c r="H154" s="53">
        <f>Servant!$AB$12+($F154+($F154*0.5*($D154-1)))*(H$3-1)</f>
        <v>5.1319999999999997</v>
      </c>
      <c r="I154" s="53">
        <f>Servant!$AB$12+($F154+($F154*0.5*($D154-1)))*(I$3-1)</f>
        <v>5.4319999999999995</v>
      </c>
      <c r="J154" s="53">
        <f>Servant!$AB$12+($F154+($F154*0.5*($D154-1)))*(J$3-1)</f>
        <v>5.7319999999999993</v>
      </c>
      <c r="K154" s="53">
        <f>Servant!$AB$12+($F154+($F154*0.5*($D154-1)))*(K$3-1)</f>
        <v>6.032</v>
      </c>
      <c r="L154" s="53">
        <f>Servant!$AB$12+($F154+($F154*0.5*($D154-1)))*(L$3-1)</f>
        <v>6.3319999999999999</v>
      </c>
      <c r="M154" s="53">
        <f>Servant!$AB$12+($F154+($F154*0.5*($D154-1)))*(M$3-1)</f>
        <v>6.6319999999999997</v>
      </c>
      <c r="N154" s="53">
        <f>Servant!$AB$12+($F154+($F154*0.5*($D154-1)))*(N$3-1)</f>
        <v>6.9319999999999995</v>
      </c>
      <c r="O154" s="53">
        <f>Servant!$AB$12+($F154+($F154*0.5*($D154-1)))*(O$3-1)</f>
        <v>7.2319999999999993</v>
      </c>
      <c r="P154" s="53">
        <f>Servant!$AB$12+($F154+($F154*0.5*($D154-1)))*(P$3-1)</f>
        <v>7.532</v>
      </c>
      <c r="Q154" s="53">
        <f>Servant!$AB$12+($F154+($F154*0.5*($D154-1)))*(Q$3-1)</f>
        <v>7.831999999999999</v>
      </c>
      <c r="R154" s="53">
        <f>Servant!$AB$12+($F154+($F154*0.5*($D154-1)))*(R$3-1)</f>
        <v>8.1319999999999997</v>
      </c>
      <c r="S154" s="53">
        <f>Servant!$AB$12+($F154+($F154*0.5*($D154-1)))*(S$3-1)</f>
        <v>8.4319999999999986</v>
      </c>
      <c r="T154" s="53">
        <f>Servant!$AB$12+($F154+($F154*0.5*($D154-1)))*(T$3-1)</f>
        <v>8.7319999999999993</v>
      </c>
      <c r="U154" s="53">
        <f>Servant!$AB$12+($F154+($F154*0.5*($D154-1)))*(U$3-1)</f>
        <v>9.032</v>
      </c>
      <c r="V154" s="53">
        <f>Servant!$AB$12+($F154+($F154*0.5*($D154-1)))*(V$3-1)</f>
        <v>9.3320000000000007</v>
      </c>
      <c r="W154" s="53">
        <f>Servant!$AB$12+($F154+($F154*0.5*($D154-1)))*(W$3-1)</f>
        <v>9.6319999999999997</v>
      </c>
      <c r="X154" s="53">
        <f>Servant!$AB$12+($F154+($F154*0.5*($D154-1)))*(X$3-1)</f>
        <v>9.9319999999999986</v>
      </c>
      <c r="Y154" s="53">
        <f>Servant!$AB$12+($F154+($F154*0.5*($D154-1)))*(Y$3-1)</f>
        <v>10.231999999999999</v>
      </c>
      <c r="Z154" s="53">
        <f>Servant!$AB$12+($F154+($F154*0.5*($D154-1)))*(Z$3-1)</f>
        <v>10.532</v>
      </c>
      <c r="AA154" s="53">
        <f>Servant!$AB$12+($F154+($F154*0.5*($D154-1)))*(AA$3-1)</f>
        <v>10.832000000000001</v>
      </c>
      <c r="AB154" s="53">
        <f>Servant!$AB$12+($F154+($F154*0.5*($D154-1)))*(AB$3-1)</f>
        <v>11.132</v>
      </c>
      <c r="AC154" s="53">
        <f>Servant!$AB$12+($F154+($F154*0.5*($D154-1)))*(AC$3-1)</f>
        <v>11.431999999999999</v>
      </c>
      <c r="AD154" s="53">
        <f>Servant!$AB$12+($F154+($F154*0.5*($D154-1)))*(AD$3-1)</f>
        <v>11.731999999999999</v>
      </c>
      <c r="AE154" s="53">
        <f>Servant!$AB$12+($F154+($F154*0.5*($D154-1)))*(AE$3-1)</f>
        <v>12.032</v>
      </c>
      <c r="AF154" s="53">
        <f>Servant!$AB$12+($F154+($F154*0.5*($D154-1)))*(AF$3-1)</f>
        <v>12.331999999999999</v>
      </c>
      <c r="AG154" s="53">
        <f>Servant!$AB$12+($F154+($F154*0.5*($D154-1)))*(AG$3-1)</f>
        <v>12.632</v>
      </c>
      <c r="AH154" s="53">
        <f>Servant!$AB$12+($F154+($F154*0.5*($D154-1)))*(AH$3-1)</f>
        <v>12.931999999999999</v>
      </c>
      <c r="AI154" s="53">
        <f>Servant!$AB$12+($F154+($F154*0.5*($D154-1)))*(AI$3-1)</f>
        <v>13.231999999999999</v>
      </c>
      <c r="AJ154" s="53">
        <f>Servant!$AB$12+($F154+($F154*0.5*($D154-1)))*(AJ$3-1)</f>
        <v>13.532</v>
      </c>
      <c r="AK154" s="53">
        <f>Servant!$AB$12+($F154+($F154*0.5*($D154-1)))*(AK$3-1)</f>
        <v>13.831999999999999</v>
      </c>
    </row>
    <row r="155" spans="2:37" x14ac:dyDescent="0.3">
      <c r="B155" s="287"/>
      <c r="C155" s="290"/>
      <c r="D155" s="52">
        <v>4</v>
      </c>
      <c r="E155" s="52">
        <f>ServantLevelUPdStatus!$P$12+(ServantLevelUPdStatus!$P$12*0.5*($D155-1))</f>
        <v>0.375</v>
      </c>
      <c r="F155" s="52">
        <f>F154</f>
        <v>0.15</v>
      </c>
      <c r="H155" s="53">
        <f>Servant!$AB$12+($F155+($F155*0.5*($D155-1)))*(H$3-1)</f>
        <v>5.1319999999999997</v>
      </c>
      <c r="I155" s="53">
        <f>Servant!$AB$12+($F155+($F155*0.5*($D155-1)))*(I$3-1)</f>
        <v>5.5069999999999997</v>
      </c>
      <c r="J155" s="53">
        <f>Servant!$AB$12+($F155+($F155*0.5*($D155-1)))*(J$3-1)</f>
        <v>5.8819999999999997</v>
      </c>
      <c r="K155" s="53">
        <f>Servant!$AB$12+($F155+($F155*0.5*($D155-1)))*(K$3-1)</f>
        <v>6.2569999999999997</v>
      </c>
      <c r="L155" s="53">
        <f>Servant!$AB$12+($F155+($F155*0.5*($D155-1)))*(L$3-1)</f>
        <v>6.6319999999999997</v>
      </c>
      <c r="M155" s="53">
        <f>Servant!$AB$12+($F155+($F155*0.5*($D155-1)))*(M$3-1)</f>
        <v>7.0069999999999997</v>
      </c>
      <c r="N155" s="53">
        <f>Servant!$AB$12+($F155+($F155*0.5*($D155-1)))*(N$3-1)</f>
        <v>7.3819999999999997</v>
      </c>
      <c r="O155" s="53">
        <f>Servant!$AB$12+($F155+($F155*0.5*($D155-1)))*(O$3-1)</f>
        <v>7.7569999999999997</v>
      </c>
      <c r="P155" s="53">
        <f>Servant!$AB$12+($F155+($F155*0.5*($D155-1)))*(P$3-1)</f>
        <v>8.1319999999999997</v>
      </c>
      <c r="Q155" s="53">
        <f>Servant!$AB$12+($F155+($F155*0.5*($D155-1)))*(Q$3-1)</f>
        <v>8.5069999999999997</v>
      </c>
      <c r="R155" s="53">
        <f>Servant!$AB$12+($F155+($F155*0.5*($D155-1)))*(R$3-1)</f>
        <v>8.8819999999999997</v>
      </c>
      <c r="S155" s="53">
        <f>Servant!$AB$12+($F155+($F155*0.5*($D155-1)))*(S$3-1)</f>
        <v>9.2569999999999997</v>
      </c>
      <c r="T155" s="53">
        <f>Servant!$AB$12+($F155+($F155*0.5*($D155-1)))*(T$3-1)</f>
        <v>9.6319999999999997</v>
      </c>
      <c r="U155" s="53">
        <f>Servant!$AB$12+($F155+($F155*0.5*($D155-1)))*(U$3-1)</f>
        <v>10.007</v>
      </c>
      <c r="V155" s="53">
        <f>Servant!$AB$12+($F155+($F155*0.5*($D155-1)))*(V$3-1)</f>
        <v>10.382</v>
      </c>
      <c r="W155" s="53">
        <f>Servant!$AB$12+($F155+($F155*0.5*($D155-1)))*(W$3-1)</f>
        <v>10.757</v>
      </c>
      <c r="X155" s="53">
        <f>Servant!$AB$12+($F155+($F155*0.5*($D155-1)))*(X$3-1)</f>
        <v>11.132</v>
      </c>
      <c r="Y155" s="53">
        <f>Servant!$AB$12+($F155+($F155*0.5*($D155-1)))*(Y$3-1)</f>
        <v>11.507</v>
      </c>
      <c r="Z155" s="53">
        <f>Servant!$AB$12+($F155+($F155*0.5*($D155-1)))*(Z$3-1)</f>
        <v>11.882</v>
      </c>
      <c r="AA155" s="53">
        <f>Servant!$AB$12+($F155+($F155*0.5*($D155-1)))*(AA$3-1)</f>
        <v>12.257</v>
      </c>
      <c r="AB155" s="53">
        <f>Servant!$AB$12+($F155+($F155*0.5*($D155-1)))*(AB$3-1)</f>
        <v>12.632</v>
      </c>
      <c r="AC155" s="53">
        <f>Servant!$AB$12+($F155+($F155*0.5*($D155-1)))*(AC$3-1)</f>
        <v>13.007</v>
      </c>
      <c r="AD155" s="53">
        <f>Servant!$AB$12+($F155+($F155*0.5*($D155-1)))*(AD$3-1)</f>
        <v>13.382</v>
      </c>
      <c r="AE155" s="53">
        <f>Servant!$AB$12+($F155+($F155*0.5*($D155-1)))*(AE$3-1)</f>
        <v>13.757</v>
      </c>
      <c r="AF155" s="53">
        <f>Servant!$AB$12+($F155+($F155*0.5*($D155-1)))*(AF$3-1)</f>
        <v>14.132</v>
      </c>
      <c r="AG155" s="53">
        <f>Servant!$AB$12+($F155+($F155*0.5*($D155-1)))*(AG$3-1)</f>
        <v>14.507</v>
      </c>
      <c r="AH155" s="53">
        <f>Servant!$AB$12+($F155+($F155*0.5*($D155-1)))*(AH$3-1)</f>
        <v>14.882</v>
      </c>
      <c r="AI155" s="53">
        <f>Servant!$AB$12+($F155+($F155*0.5*($D155-1)))*(AI$3-1)</f>
        <v>15.257</v>
      </c>
      <c r="AJ155" s="53">
        <f>Servant!$AB$12+($F155+($F155*0.5*($D155-1)))*(AJ$3-1)</f>
        <v>15.632</v>
      </c>
      <c r="AK155" s="53">
        <f>Servant!$AB$12+($F155+($F155*0.5*($D155-1)))*(AK$3-1)</f>
        <v>16.006999999999998</v>
      </c>
    </row>
    <row r="156" spans="2:37" x14ac:dyDescent="0.3">
      <c r="B156" s="287"/>
      <c r="C156" s="291" t="s">
        <v>244</v>
      </c>
      <c r="D156" s="56">
        <v>3</v>
      </c>
      <c r="E156" s="56">
        <f>ServantLevelUPdStatus!$P$18+(ServantLevelUPdStatus!$P$18*0.5*($D156-1))</f>
        <v>0.4</v>
      </c>
      <c r="F156" s="56">
        <f>ServantLevelUPdStatus!P$18</f>
        <v>0.2</v>
      </c>
      <c r="H156" s="57">
        <f>Servant!$AB$18+($F156+($F156*0.5*($D156-1)))*(H$3-1)</f>
        <v>7.5650000000000004</v>
      </c>
      <c r="I156" s="57">
        <f>Servant!$AB$18+($F156+($F156*0.5*($D156-1)))*(I$3-1)</f>
        <v>7.9650000000000007</v>
      </c>
      <c r="J156" s="57">
        <f>Servant!$AB$18+($F156+($F156*0.5*($D156-1)))*(J$3-1)</f>
        <v>8.3650000000000002</v>
      </c>
      <c r="K156" s="57">
        <f>Servant!$AB$18+($F156+($F156*0.5*($D156-1)))*(K$3-1)</f>
        <v>8.7650000000000006</v>
      </c>
      <c r="L156" s="57">
        <f>Servant!$AB$18+($F156+($F156*0.5*($D156-1)))*(L$3-1)</f>
        <v>9.1650000000000009</v>
      </c>
      <c r="M156" s="57">
        <f>Servant!$AB$18+($F156+($F156*0.5*($D156-1)))*(M$3-1)</f>
        <v>9.5650000000000013</v>
      </c>
      <c r="N156" s="57">
        <f>Servant!$AB$18+($F156+($F156*0.5*($D156-1)))*(N$3-1)</f>
        <v>9.9649999999999999</v>
      </c>
      <c r="O156" s="57">
        <f>Servant!$AB$18+($F156+($F156*0.5*($D156-1)))*(O$3-1)</f>
        <v>10.365</v>
      </c>
      <c r="P156" s="57">
        <f>Servant!$AB$18+($F156+($F156*0.5*($D156-1)))*(P$3-1)</f>
        <v>10.765000000000001</v>
      </c>
      <c r="Q156" s="57">
        <f>Servant!$AB$18+($F156+($F156*0.5*($D156-1)))*(Q$3-1)</f>
        <v>11.165000000000001</v>
      </c>
      <c r="R156" s="57">
        <f>Servant!$AB$18+($F156+($F156*0.5*($D156-1)))*(R$3-1)</f>
        <v>11.565000000000001</v>
      </c>
      <c r="S156" s="57">
        <f>Servant!$AB$18+($F156+($F156*0.5*($D156-1)))*(S$3-1)</f>
        <v>11.965</v>
      </c>
      <c r="T156" s="57">
        <f>Servant!$AB$18+($F156+($F156*0.5*($D156-1)))*(T$3-1)</f>
        <v>12.365000000000002</v>
      </c>
      <c r="U156" s="57">
        <f>Servant!$AB$18+($F156+($F156*0.5*($D156-1)))*(U$3-1)</f>
        <v>12.765000000000001</v>
      </c>
      <c r="V156" s="57">
        <f>Servant!$AB$18+($F156+($F156*0.5*($D156-1)))*(V$3-1)</f>
        <v>13.165000000000001</v>
      </c>
      <c r="W156" s="57">
        <f>Servant!$AB$18+($F156+($F156*0.5*($D156-1)))*(W$3-1)</f>
        <v>13.565000000000001</v>
      </c>
      <c r="X156" s="57">
        <f>Servant!$AB$18+($F156+($F156*0.5*($D156-1)))*(X$3-1)</f>
        <v>13.965</v>
      </c>
      <c r="Y156" s="57">
        <f>Servant!$AB$18+($F156+($F156*0.5*($D156-1)))*(Y$3-1)</f>
        <v>14.365000000000002</v>
      </c>
      <c r="Z156" s="57">
        <f>Servant!$AB$18+($F156+($F156*0.5*($D156-1)))*(Z$3-1)</f>
        <v>14.765000000000001</v>
      </c>
      <c r="AA156" s="57">
        <f>Servant!$AB$18+($F156+($F156*0.5*($D156-1)))*(AA$3-1)</f>
        <v>15.165000000000001</v>
      </c>
      <c r="AB156" s="57">
        <f>Servant!$AB$18+($F156+($F156*0.5*($D156-1)))*(AB$3-1)</f>
        <v>15.565000000000001</v>
      </c>
      <c r="AC156" s="57">
        <f>Servant!$AB$18+($F156+($F156*0.5*($D156-1)))*(AC$3-1)</f>
        <v>15.965</v>
      </c>
      <c r="AD156" s="57">
        <f>Servant!$AB$18+($F156+($F156*0.5*($D156-1)))*(AD$3-1)</f>
        <v>16.365000000000002</v>
      </c>
      <c r="AE156" s="57">
        <f>Servant!$AB$18+($F156+($F156*0.5*($D156-1)))*(AE$3-1)</f>
        <v>16.765000000000001</v>
      </c>
      <c r="AF156" s="57">
        <f>Servant!$AB$18+($F156+($F156*0.5*($D156-1)))*(AF$3-1)</f>
        <v>17.165000000000003</v>
      </c>
      <c r="AG156" s="57">
        <f>Servant!$AB$18+($F156+($F156*0.5*($D156-1)))*(AG$3-1)</f>
        <v>17.565000000000001</v>
      </c>
      <c r="AH156" s="57">
        <f>Servant!$AB$18+($F156+($F156*0.5*($D156-1)))*(AH$3-1)</f>
        <v>17.965</v>
      </c>
      <c r="AI156" s="57">
        <f>Servant!$AB$18+($F156+($F156*0.5*($D156-1)))*(AI$3-1)</f>
        <v>18.365000000000002</v>
      </c>
      <c r="AJ156" s="57">
        <f>Servant!$AB$18+($F156+($F156*0.5*($D156-1)))*(AJ$3-1)</f>
        <v>18.765000000000001</v>
      </c>
      <c r="AK156" s="57">
        <f>Servant!$AB$18+($F156+($F156*0.5*($D156-1)))*(AK$3-1)</f>
        <v>19.165000000000003</v>
      </c>
    </row>
    <row r="157" spans="2:37" x14ac:dyDescent="0.3">
      <c r="B157" s="287"/>
      <c r="C157" s="291"/>
      <c r="D157" s="56">
        <v>4</v>
      </c>
      <c r="E157" s="56">
        <f>ServantLevelUPdStatus!$P$18+(ServantLevelUPdStatus!$P$18*0.5*($D157-1))</f>
        <v>0.5</v>
      </c>
      <c r="F157" s="56">
        <f>F156</f>
        <v>0.2</v>
      </c>
      <c r="H157" s="57">
        <f>Servant!$AB$18+($F157+($F157*0.5*($D157-1)))*(H$3-1)</f>
        <v>7.5650000000000004</v>
      </c>
      <c r="I157" s="57">
        <f>Servant!$AB$18+($F157+($F157*0.5*($D157-1)))*(I$3-1)</f>
        <v>8.0650000000000013</v>
      </c>
      <c r="J157" s="57">
        <f>Servant!$AB$18+($F157+($F157*0.5*($D157-1)))*(J$3-1)</f>
        <v>8.5650000000000013</v>
      </c>
      <c r="K157" s="57">
        <f>Servant!$AB$18+($F157+($F157*0.5*($D157-1)))*(K$3-1)</f>
        <v>9.0650000000000013</v>
      </c>
      <c r="L157" s="57">
        <f>Servant!$AB$18+($F157+($F157*0.5*($D157-1)))*(L$3-1)</f>
        <v>9.5650000000000013</v>
      </c>
      <c r="M157" s="57">
        <f>Servant!$AB$18+($F157+($F157*0.5*($D157-1)))*(M$3-1)</f>
        <v>10.065000000000001</v>
      </c>
      <c r="N157" s="57">
        <f>Servant!$AB$18+($F157+($F157*0.5*($D157-1)))*(N$3-1)</f>
        <v>10.565000000000001</v>
      </c>
      <c r="O157" s="57">
        <f>Servant!$AB$18+($F157+($F157*0.5*($D157-1)))*(O$3-1)</f>
        <v>11.065000000000001</v>
      </c>
      <c r="P157" s="57">
        <f>Servant!$AB$18+($F157+($F157*0.5*($D157-1)))*(P$3-1)</f>
        <v>11.565000000000001</v>
      </c>
      <c r="Q157" s="57">
        <f>Servant!$AB$18+($F157+($F157*0.5*($D157-1)))*(Q$3-1)</f>
        <v>12.065000000000001</v>
      </c>
      <c r="R157" s="57">
        <f>Servant!$AB$18+($F157+($F157*0.5*($D157-1)))*(R$3-1)</f>
        <v>12.565000000000001</v>
      </c>
      <c r="S157" s="57">
        <f>Servant!$AB$18+($F157+($F157*0.5*($D157-1)))*(S$3-1)</f>
        <v>13.065000000000001</v>
      </c>
      <c r="T157" s="57">
        <f>Servant!$AB$18+($F157+($F157*0.5*($D157-1)))*(T$3-1)</f>
        <v>13.565000000000001</v>
      </c>
      <c r="U157" s="57">
        <f>Servant!$AB$18+($F157+($F157*0.5*($D157-1)))*(U$3-1)</f>
        <v>14.065000000000001</v>
      </c>
      <c r="V157" s="57">
        <f>Servant!$AB$18+($F157+($F157*0.5*($D157-1)))*(V$3-1)</f>
        <v>14.565000000000001</v>
      </c>
      <c r="W157" s="57">
        <f>Servant!$AB$18+($F157+($F157*0.5*($D157-1)))*(W$3-1)</f>
        <v>15.065000000000001</v>
      </c>
      <c r="X157" s="57">
        <f>Servant!$AB$18+($F157+($F157*0.5*($D157-1)))*(X$3-1)</f>
        <v>15.565000000000001</v>
      </c>
      <c r="Y157" s="57">
        <f>Servant!$AB$18+($F157+($F157*0.5*($D157-1)))*(Y$3-1)</f>
        <v>16.065000000000001</v>
      </c>
      <c r="Z157" s="57">
        <f>Servant!$AB$18+($F157+($F157*0.5*($D157-1)))*(Z$3-1)</f>
        <v>16.565000000000001</v>
      </c>
      <c r="AA157" s="57">
        <f>Servant!$AB$18+($F157+($F157*0.5*($D157-1)))*(AA$3-1)</f>
        <v>17.065000000000001</v>
      </c>
      <c r="AB157" s="57">
        <f>Servant!$AB$18+($F157+($F157*0.5*($D157-1)))*(AB$3-1)</f>
        <v>17.565000000000001</v>
      </c>
      <c r="AC157" s="57">
        <f>Servant!$AB$18+($F157+($F157*0.5*($D157-1)))*(AC$3-1)</f>
        <v>18.065000000000001</v>
      </c>
      <c r="AD157" s="57">
        <f>Servant!$AB$18+($F157+($F157*0.5*($D157-1)))*(AD$3-1)</f>
        <v>18.565000000000001</v>
      </c>
      <c r="AE157" s="57">
        <f>Servant!$AB$18+($F157+($F157*0.5*($D157-1)))*(AE$3-1)</f>
        <v>19.065000000000001</v>
      </c>
      <c r="AF157" s="57">
        <f>Servant!$AB$18+($F157+($F157*0.5*($D157-1)))*(AF$3-1)</f>
        <v>19.565000000000001</v>
      </c>
      <c r="AG157" s="57">
        <f>Servant!$AB$18+($F157+($F157*0.5*($D157-1)))*(AG$3-1)</f>
        <v>20.065000000000001</v>
      </c>
      <c r="AH157" s="57">
        <f>Servant!$AB$18+($F157+($F157*0.5*($D157-1)))*(AH$3-1)</f>
        <v>20.565000000000001</v>
      </c>
      <c r="AI157" s="57">
        <f>Servant!$AB$18+($F157+($F157*0.5*($D157-1)))*(AI$3-1)</f>
        <v>21.065000000000001</v>
      </c>
      <c r="AJ157" s="57">
        <f>Servant!$AB$18+($F157+($F157*0.5*($D157-1)))*(AJ$3-1)</f>
        <v>21.565000000000001</v>
      </c>
      <c r="AK157" s="57">
        <f>Servant!$AB$18+($F157+($F157*0.5*($D157-1)))*(AK$3-1)</f>
        <v>22.065000000000001</v>
      </c>
    </row>
    <row r="158" spans="2:37" x14ac:dyDescent="0.3">
      <c r="B158" s="287"/>
      <c r="C158" s="291"/>
      <c r="D158" s="56">
        <v>5</v>
      </c>
      <c r="E158" s="56">
        <f>ServantLevelUPdStatus!$P$18+(ServantLevelUPdStatus!$P$18*0.5*($D158-1))</f>
        <v>0.60000000000000009</v>
      </c>
      <c r="F158" s="56">
        <f>F157</f>
        <v>0.2</v>
      </c>
      <c r="H158" s="57">
        <f>Servant!$AB$18+($F158+($F158*0.5*($D158-1)))*(H$3-1)</f>
        <v>7.5650000000000004</v>
      </c>
      <c r="I158" s="57">
        <f>Servant!$AB$18+($F158+($F158*0.5*($D158-1)))*(I$3-1)</f>
        <v>8.1650000000000009</v>
      </c>
      <c r="J158" s="57">
        <f>Servant!$AB$18+($F158+($F158*0.5*($D158-1)))*(J$3-1)</f>
        <v>8.7650000000000006</v>
      </c>
      <c r="K158" s="57">
        <f>Servant!$AB$18+($F158+($F158*0.5*($D158-1)))*(K$3-1)</f>
        <v>9.3650000000000002</v>
      </c>
      <c r="L158" s="57">
        <f>Servant!$AB$18+($F158+($F158*0.5*($D158-1)))*(L$3-1)</f>
        <v>9.9649999999999999</v>
      </c>
      <c r="M158" s="57">
        <f>Servant!$AB$18+($F158+($F158*0.5*($D158-1)))*(M$3-1)</f>
        <v>10.565000000000001</v>
      </c>
      <c r="N158" s="57">
        <f>Servant!$AB$18+($F158+($F158*0.5*($D158-1)))*(N$3-1)</f>
        <v>11.165000000000001</v>
      </c>
      <c r="O158" s="57">
        <f>Servant!$AB$18+($F158+($F158*0.5*($D158-1)))*(O$3-1)</f>
        <v>11.765000000000001</v>
      </c>
      <c r="P158" s="57">
        <f>Servant!$AB$18+($F158+($F158*0.5*($D158-1)))*(P$3-1)</f>
        <v>12.365000000000002</v>
      </c>
      <c r="Q158" s="57">
        <f>Servant!$AB$18+($F158+($F158*0.5*($D158-1)))*(Q$3-1)</f>
        <v>12.965</v>
      </c>
      <c r="R158" s="57">
        <f>Servant!$AB$18+($F158+($F158*0.5*($D158-1)))*(R$3-1)</f>
        <v>13.565000000000001</v>
      </c>
      <c r="S158" s="57">
        <f>Servant!$AB$18+($F158+($F158*0.5*($D158-1)))*(S$3-1)</f>
        <v>14.165000000000003</v>
      </c>
      <c r="T158" s="57">
        <f>Servant!$AB$18+($F158+($F158*0.5*($D158-1)))*(T$3-1)</f>
        <v>14.765000000000001</v>
      </c>
      <c r="U158" s="57">
        <f>Servant!$AB$18+($F158+($F158*0.5*($D158-1)))*(U$3-1)</f>
        <v>15.365000000000002</v>
      </c>
      <c r="V158" s="57">
        <f>Servant!$AB$18+($F158+($F158*0.5*($D158-1)))*(V$3-1)</f>
        <v>15.965000000000003</v>
      </c>
      <c r="W158" s="57">
        <f>Servant!$AB$18+($F158+($F158*0.5*($D158-1)))*(W$3-1)</f>
        <v>16.565000000000001</v>
      </c>
      <c r="X158" s="57">
        <f>Servant!$AB$18+($F158+($F158*0.5*($D158-1)))*(X$3-1)</f>
        <v>17.165000000000003</v>
      </c>
      <c r="Y158" s="57">
        <f>Servant!$AB$18+($F158+($F158*0.5*($D158-1)))*(Y$3-1)</f>
        <v>17.765000000000001</v>
      </c>
      <c r="Z158" s="57">
        <f>Servant!$AB$18+($F158+($F158*0.5*($D158-1)))*(Z$3-1)</f>
        <v>18.365000000000002</v>
      </c>
      <c r="AA158" s="57">
        <f>Servant!$AB$18+($F158+($F158*0.5*($D158-1)))*(AA$3-1)</f>
        <v>18.965000000000003</v>
      </c>
      <c r="AB158" s="57">
        <f>Servant!$AB$18+($F158+($F158*0.5*($D158-1)))*(AB$3-1)</f>
        <v>19.565000000000001</v>
      </c>
      <c r="AC158" s="57">
        <f>Servant!$AB$18+($F158+($F158*0.5*($D158-1)))*(AC$3-1)</f>
        <v>20.165000000000003</v>
      </c>
      <c r="AD158" s="57">
        <f>Servant!$AB$18+($F158+($F158*0.5*($D158-1)))*(AD$3-1)</f>
        <v>20.765000000000004</v>
      </c>
      <c r="AE158" s="57">
        <f>Servant!$AB$18+($F158+($F158*0.5*($D158-1)))*(AE$3-1)</f>
        <v>21.365000000000002</v>
      </c>
      <c r="AF158" s="57">
        <f>Servant!$AB$18+($F158+($F158*0.5*($D158-1)))*(AF$3-1)</f>
        <v>21.965000000000003</v>
      </c>
      <c r="AG158" s="57">
        <f>Servant!$AB$18+($F158+($F158*0.5*($D158-1)))*(AG$3-1)</f>
        <v>22.565000000000001</v>
      </c>
      <c r="AH158" s="57">
        <f>Servant!$AB$18+($F158+($F158*0.5*($D158-1)))*(AH$3-1)</f>
        <v>23.165000000000003</v>
      </c>
      <c r="AI158" s="57">
        <f>Servant!$AB$18+($F158+($F158*0.5*($D158-1)))*(AI$3-1)</f>
        <v>23.765000000000004</v>
      </c>
      <c r="AJ158" s="57">
        <f>Servant!$AB$18+($F158+($F158*0.5*($D158-1)))*(AJ$3-1)</f>
        <v>24.365000000000006</v>
      </c>
      <c r="AK158" s="57">
        <f>Servant!$AB$18+($F158+($F158*0.5*($D158-1)))*(AK$3-1)</f>
        <v>24.965000000000003</v>
      </c>
    </row>
    <row r="159" spans="2:37" x14ac:dyDescent="0.3">
      <c r="B159" s="287"/>
      <c r="C159" s="292" t="s">
        <v>245</v>
      </c>
      <c r="D159" s="58">
        <v>4</v>
      </c>
      <c r="E159" s="58">
        <f>ServantLevelUPdStatus!$P$22+(ServantLevelUPdStatus!$P$22*0.5*($D159-1))</f>
        <v>0.625</v>
      </c>
      <c r="F159" s="58">
        <f>ServantLevelUPdStatus!P$22</f>
        <v>0.25</v>
      </c>
      <c r="H159" s="59">
        <f>Servant!$AB$22+($F159+($F159*0.5*($D159-1)))*(H$3-1)</f>
        <v>11.265000000000001</v>
      </c>
      <c r="I159" s="59">
        <f>Servant!$AB$22+($F159+($F159*0.5*($D159-1)))*(I$3-1)</f>
        <v>11.89</v>
      </c>
      <c r="J159" s="59">
        <f>Servant!$AB$22+($F159+($F159*0.5*($D159-1)))*(J$3-1)</f>
        <v>12.515000000000001</v>
      </c>
      <c r="K159" s="59">
        <f>Servant!$AB$22+($F159+($F159*0.5*($D159-1)))*(K$3-1)</f>
        <v>13.14</v>
      </c>
      <c r="L159" s="59">
        <f>Servant!$AB$22+($F159+($F159*0.5*($D159-1)))*(L$3-1)</f>
        <v>13.765000000000001</v>
      </c>
      <c r="M159" s="59">
        <f>Servant!$AB$22+($F159+($F159*0.5*($D159-1)))*(M$3-1)</f>
        <v>14.39</v>
      </c>
      <c r="N159" s="59">
        <f>Servant!$AB$22+($F159+($F159*0.5*($D159-1)))*(N$3-1)</f>
        <v>15.015000000000001</v>
      </c>
      <c r="O159" s="59">
        <f>Servant!$AB$22+($F159+($F159*0.5*($D159-1)))*(O$3-1)</f>
        <v>15.64</v>
      </c>
      <c r="P159" s="59">
        <f>Servant!$AB$22+($F159+($F159*0.5*($D159-1)))*(P$3-1)</f>
        <v>16.265000000000001</v>
      </c>
      <c r="Q159" s="59">
        <f>Servant!$AB$22+($F159+($F159*0.5*($D159-1)))*(Q$3-1)</f>
        <v>16.89</v>
      </c>
      <c r="R159" s="59">
        <f>Servant!$AB$22+($F159+($F159*0.5*($D159-1)))*(R$3-1)</f>
        <v>17.515000000000001</v>
      </c>
      <c r="S159" s="59">
        <f>Servant!$AB$22+($F159+($F159*0.5*($D159-1)))*(S$3-1)</f>
        <v>18.14</v>
      </c>
      <c r="T159" s="59">
        <f>Servant!$AB$22+($F159+($F159*0.5*($D159-1)))*(T$3-1)</f>
        <v>18.765000000000001</v>
      </c>
      <c r="U159" s="59">
        <f>Servant!$AB$22+($F159+($F159*0.5*($D159-1)))*(U$3-1)</f>
        <v>19.39</v>
      </c>
      <c r="V159" s="59">
        <f>Servant!$AB$22+($F159+($F159*0.5*($D159-1)))*(V$3-1)</f>
        <v>20.015000000000001</v>
      </c>
      <c r="W159" s="59">
        <f>Servant!$AB$22+($F159+($F159*0.5*($D159-1)))*(W$3-1)</f>
        <v>20.64</v>
      </c>
      <c r="X159" s="59">
        <f>Servant!$AB$22+($F159+($F159*0.5*($D159-1)))*(X$3-1)</f>
        <v>21.265000000000001</v>
      </c>
      <c r="Y159" s="59">
        <f>Servant!$AB$22+($F159+($F159*0.5*($D159-1)))*(Y$3-1)</f>
        <v>21.89</v>
      </c>
      <c r="Z159" s="59">
        <f>Servant!$AB$22+($F159+($F159*0.5*($D159-1)))*(Z$3-1)</f>
        <v>22.515000000000001</v>
      </c>
      <c r="AA159" s="59">
        <f>Servant!$AB$22+($F159+($F159*0.5*($D159-1)))*(AA$3-1)</f>
        <v>23.14</v>
      </c>
      <c r="AB159" s="59">
        <f>Servant!$AB$22+($F159+($F159*0.5*($D159-1)))*(AB$3-1)</f>
        <v>23.765000000000001</v>
      </c>
      <c r="AC159" s="59">
        <f>Servant!$AB$22+($F159+($F159*0.5*($D159-1)))*(AC$3-1)</f>
        <v>24.39</v>
      </c>
      <c r="AD159" s="59">
        <f>Servant!$AB$22+($F159+($F159*0.5*($D159-1)))*(AD$3-1)</f>
        <v>25.015000000000001</v>
      </c>
      <c r="AE159" s="59">
        <f>Servant!$AB$22+($F159+($F159*0.5*($D159-1)))*(AE$3-1)</f>
        <v>25.64</v>
      </c>
      <c r="AF159" s="59">
        <f>Servant!$AB$22+($F159+($F159*0.5*($D159-1)))*(AF$3-1)</f>
        <v>26.265000000000001</v>
      </c>
      <c r="AG159" s="59">
        <f>Servant!$AB$22+($F159+($F159*0.5*($D159-1)))*(AG$3-1)</f>
        <v>26.89</v>
      </c>
      <c r="AH159" s="59">
        <f>Servant!$AB$22+($F159+($F159*0.5*($D159-1)))*(AH$3-1)</f>
        <v>27.515000000000001</v>
      </c>
      <c r="AI159" s="59">
        <f>Servant!$AB$22+($F159+($F159*0.5*($D159-1)))*(AI$3-1)</f>
        <v>28.14</v>
      </c>
      <c r="AJ159" s="59">
        <f>Servant!$AB$22+($F159+($F159*0.5*($D159-1)))*(AJ$3-1)</f>
        <v>28.765000000000001</v>
      </c>
      <c r="AK159" s="59">
        <f>Servant!$AB$22+($F159+($F159*0.5*($D159-1)))*(AK$3-1)</f>
        <v>29.39</v>
      </c>
    </row>
    <row r="160" spans="2:37" x14ac:dyDescent="0.3">
      <c r="B160" s="287"/>
      <c r="C160" s="292"/>
      <c r="D160" s="58">
        <v>5</v>
      </c>
      <c r="E160" s="58">
        <f>ServantLevelUPdStatus!$P$22+(ServantLevelUPdStatus!$P$22*0.5*($D160-1))</f>
        <v>0.75</v>
      </c>
      <c r="F160" s="58">
        <f>F159</f>
        <v>0.25</v>
      </c>
      <c r="H160" s="59">
        <f>Servant!$AB$22+($F160+($F160*0.5*($D160-1)))*(H$3-1)</f>
        <v>11.265000000000001</v>
      </c>
      <c r="I160" s="59">
        <f>Servant!$AB$22+($F160+($F160*0.5*($D160-1)))*(I$3-1)</f>
        <v>12.015000000000001</v>
      </c>
      <c r="J160" s="59">
        <f>Servant!$AB$22+($F160+($F160*0.5*($D160-1)))*(J$3-1)</f>
        <v>12.765000000000001</v>
      </c>
      <c r="K160" s="59">
        <f>Servant!$AB$22+($F160+($F160*0.5*($D160-1)))*(K$3-1)</f>
        <v>13.515000000000001</v>
      </c>
      <c r="L160" s="59">
        <f>Servant!$AB$22+($F160+($F160*0.5*($D160-1)))*(L$3-1)</f>
        <v>14.265000000000001</v>
      </c>
      <c r="M160" s="59">
        <f>Servant!$AB$22+($F160+($F160*0.5*($D160-1)))*(M$3-1)</f>
        <v>15.015000000000001</v>
      </c>
      <c r="N160" s="59">
        <f>Servant!$AB$22+($F160+($F160*0.5*($D160-1)))*(N$3-1)</f>
        <v>15.765000000000001</v>
      </c>
      <c r="O160" s="59">
        <f>Servant!$AB$22+($F160+($F160*0.5*($D160-1)))*(O$3-1)</f>
        <v>16.515000000000001</v>
      </c>
      <c r="P160" s="59">
        <f>Servant!$AB$22+($F160+($F160*0.5*($D160-1)))*(P$3-1)</f>
        <v>17.265000000000001</v>
      </c>
      <c r="Q160" s="59">
        <f>Servant!$AB$22+($F160+($F160*0.5*($D160-1)))*(Q$3-1)</f>
        <v>18.015000000000001</v>
      </c>
      <c r="R160" s="59">
        <f>Servant!$AB$22+($F160+($F160*0.5*($D160-1)))*(R$3-1)</f>
        <v>18.765000000000001</v>
      </c>
      <c r="S160" s="59">
        <f>Servant!$AB$22+($F160+($F160*0.5*($D160-1)))*(S$3-1)</f>
        <v>19.515000000000001</v>
      </c>
      <c r="T160" s="59">
        <f>Servant!$AB$22+($F160+($F160*0.5*($D160-1)))*(T$3-1)</f>
        <v>20.265000000000001</v>
      </c>
      <c r="U160" s="59">
        <f>Servant!$AB$22+($F160+($F160*0.5*($D160-1)))*(U$3-1)</f>
        <v>21.015000000000001</v>
      </c>
      <c r="V160" s="59">
        <f>Servant!$AB$22+($F160+($F160*0.5*($D160-1)))*(V$3-1)</f>
        <v>21.765000000000001</v>
      </c>
      <c r="W160" s="59">
        <f>Servant!$AB$22+($F160+($F160*0.5*($D160-1)))*(W$3-1)</f>
        <v>22.515000000000001</v>
      </c>
      <c r="X160" s="59">
        <f>Servant!$AB$22+($F160+($F160*0.5*($D160-1)))*(X$3-1)</f>
        <v>23.265000000000001</v>
      </c>
      <c r="Y160" s="59">
        <f>Servant!$AB$22+($F160+($F160*0.5*($D160-1)))*(Y$3-1)</f>
        <v>24.015000000000001</v>
      </c>
      <c r="Z160" s="59">
        <f>Servant!$AB$22+($F160+($F160*0.5*($D160-1)))*(Z$3-1)</f>
        <v>24.765000000000001</v>
      </c>
      <c r="AA160" s="59">
        <f>Servant!$AB$22+($F160+($F160*0.5*($D160-1)))*(AA$3-1)</f>
        <v>25.515000000000001</v>
      </c>
      <c r="AB160" s="59">
        <f>Servant!$AB$22+($F160+($F160*0.5*($D160-1)))*(AB$3-1)</f>
        <v>26.265000000000001</v>
      </c>
      <c r="AC160" s="59">
        <f>Servant!$AB$22+($F160+($F160*0.5*($D160-1)))*(AC$3-1)</f>
        <v>27.015000000000001</v>
      </c>
      <c r="AD160" s="59">
        <f>Servant!$AB$22+($F160+($F160*0.5*($D160-1)))*(AD$3-1)</f>
        <v>27.765000000000001</v>
      </c>
      <c r="AE160" s="59">
        <f>Servant!$AB$22+($F160+($F160*0.5*($D160-1)))*(AE$3-1)</f>
        <v>28.515000000000001</v>
      </c>
      <c r="AF160" s="59">
        <f>Servant!$AB$22+($F160+($F160*0.5*($D160-1)))*(AF$3-1)</f>
        <v>29.265000000000001</v>
      </c>
      <c r="AG160" s="59">
        <f>Servant!$AB$22+($F160+($F160*0.5*($D160-1)))*(AG$3-1)</f>
        <v>30.015000000000001</v>
      </c>
      <c r="AH160" s="59">
        <f>Servant!$AB$22+($F160+($F160*0.5*($D160-1)))*(AH$3-1)</f>
        <v>30.765000000000001</v>
      </c>
      <c r="AI160" s="59">
        <f>Servant!$AB$22+($F160+($F160*0.5*($D160-1)))*(AI$3-1)</f>
        <v>31.515000000000001</v>
      </c>
      <c r="AJ160" s="59">
        <f>Servant!$AB$22+($F160+($F160*0.5*($D160-1)))*(AJ$3-1)</f>
        <v>32.265000000000001</v>
      </c>
      <c r="AK160" s="59">
        <f>Servant!$AB$22+($F160+($F160*0.5*($D160-1)))*(AK$3-1)</f>
        <v>33.015000000000001</v>
      </c>
    </row>
    <row r="161" spans="2:37" x14ac:dyDescent="0.3">
      <c r="B161" s="287"/>
      <c r="C161" s="292"/>
      <c r="D161" s="58">
        <v>6</v>
      </c>
      <c r="E161" s="58">
        <f>ServantLevelUPdStatus!$P$22+(ServantLevelUPdStatus!$P$22*0.5*($D161-1))</f>
        <v>0.875</v>
      </c>
      <c r="F161" s="58">
        <f>F160</f>
        <v>0.25</v>
      </c>
      <c r="H161" s="59">
        <f>Servant!$AB$22+($F161+($F161*0.5*($D161-1)))*(H$3-1)</f>
        <v>11.265000000000001</v>
      </c>
      <c r="I161" s="59">
        <f>Servant!$AB$22+($F161+($F161*0.5*($D161-1)))*(I$3-1)</f>
        <v>12.14</v>
      </c>
      <c r="J161" s="59">
        <f>Servant!$AB$22+($F161+($F161*0.5*($D161-1)))*(J$3-1)</f>
        <v>13.015000000000001</v>
      </c>
      <c r="K161" s="59">
        <f>Servant!$AB$22+($F161+($F161*0.5*($D161-1)))*(K$3-1)</f>
        <v>13.89</v>
      </c>
      <c r="L161" s="59">
        <f>Servant!$AB$22+($F161+($F161*0.5*($D161-1)))*(L$3-1)</f>
        <v>14.765000000000001</v>
      </c>
      <c r="M161" s="59">
        <f>Servant!$AB$22+($F161+($F161*0.5*($D161-1)))*(M$3-1)</f>
        <v>15.64</v>
      </c>
      <c r="N161" s="59">
        <f>Servant!$AB$22+($F161+($F161*0.5*($D161-1)))*(N$3-1)</f>
        <v>16.515000000000001</v>
      </c>
      <c r="O161" s="59">
        <f>Servant!$AB$22+($F161+($F161*0.5*($D161-1)))*(O$3-1)</f>
        <v>17.39</v>
      </c>
      <c r="P161" s="59">
        <f>Servant!$AB$22+($F161+($F161*0.5*($D161-1)))*(P$3-1)</f>
        <v>18.265000000000001</v>
      </c>
      <c r="Q161" s="59">
        <f>Servant!$AB$22+($F161+($F161*0.5*($D161-1)))*(Q$3-1)</f>
        <v>19.14</v>
      </c>
      <c r="R161" s="59">
        <f>Servant!$AB$22+($F161+($F161*0.5*($D161-1)))*(R$3-1)</f>
        <v>20.015000000000001</v>
      </c>
      <c r="S161" s="59">
        <f>Servant!$AB$22+($F161+($F161*0.5*($D161-1)))*(S$3-1)</f>
        <v>20.89</v>
      </c>
      <c r="T161" s="59">
        <f>Servant!$AB$22+($F161+($F161*0.5*($D161-1)))*(T$3-1)</f>
        <v>21.765000000000001</v>
      </c>
      <c r="U161" s="59">
        <f>Servant!$AB$22+($F161+($F161*0.5*($D161-1)))*(U$3-1)</f>
        <v>22.64</v>
      </c>
      <c r="V161" s="59">
        <f>Servant!$AB$22+($F161+($F161*0.5*($D161-1)))*(V$3-1)</f>
        <v>23.515000000000001</v>
      </c>
      <c r="W161" s="59">
        <f>Servant!$AB$22+($F161+($F161*0.5*($D161-1)))*(W$3-1)</f>
        <v>24.39</v>
      </c>
      <c r="X161" s="59">
        <f>Servant!$AB$22+($F161+($F161*0.5*($D161-1)))*(X$3-1)</f>
        <v>25.265000000000001</v>
      </c>
      <c r="Y161" s="59">
        <f>Servant!$AB$22+($F161+($F161*0.5*($D161-1)))*(Y$3-1)</f>
        <v>26.14</v>
      </c>
      <c r="Z161" s="59">
        <f>Servant!$AB$22+($F161+($F161*0.5*($D161-1)))*(Z$3-1)</f>
        <v>27.015000000000001</v>
      </c>
      <c r="AA161" s="59">
        <f>Servant!$AB$22+($F161+($F161*0.5*($D161-1)))*(AA$3-1)</f>
        <v>27.89</v>
      </c>
      <c r="AB161" s="59">
        <f>Servant!$AB$22+($F161+($F161*0.5*($D161-1)))*(AB$3-1)</f>
        <v>28.765000000000001</v>
      </c>
      <c r="AC161" s="59">
        <f>Servant!$AB$22+($F161+($F161*0.5*($D161-1)))*(AC$3-1)</f>
        <v>29.64</v>
      </c>
      <c r="AD161" s="59">
        <f>Servant!$AB$22+($F161+($F161*0.5*($D161-1)))*(AD$3-1)</f>
        <v>30.515000000000001</v>
      </c>
      <c r="AE161" s="59">
        <f>Servant!$AB$22+($F161+($F161*0.5*($D161-1)))*(AE$3-1)</f>
        <v>31.39</v>
      </c>
      <c r="AF161" s="59">
        <f>Servant!$AB$22+($F161+($F161*0.5*($D161-1)))*(AF$3-1)</f>
        <v>32.265000000000001</v>
      </c>
      <c r="AG161" s="59">
        <f>Servant!$AB$22+($F161+($F161*0.5*($D161-1)))*(AG$3-1)</f>
        <v>33.14</v>
      </c>
      <c r="AH161" s="59">
        <f>Servant!$AB$22+($F161+($F161*0.5*($D161-1)))*(AH$3-1)</f>
        <v>34.015000000000001</v>
      </c>
      <c r="AI161" s="59">
        <f>Servant!$AB$22+($F161+($F161*0.5*($D161-1)))*(AI$3-1)</f>
        <v>34.89</v>
      </c>
      <c r="AJ161" s="59">
        <f>Servant!$AB$22+($F161+($F161*0.5*($D161-1)))*(AJ$3-1)</f>
        <v>35.765000000000001</v>
      </c>
      <c r="AK161" s="59">
        <f>Servant!$AB$22+($F161+($F161*0.5*($D161-1)))*(AK$3-1)</f>
        <v>36.64</v>
      </c>
    </row>
    <row r="163" spans="2:37" ht="16.5" customHeight="1" x14ac:dyDescent="0.3">
      <c r="B163" s="286" t="s">
        <v>255</v>
      </c>
      <c r="C163" s="289" t="s">
        <v>217</v>
      </c>
      <c r="D163" s="54">
        <v>1</v>
      </c>
      <c r="E163" s="54">
        <f>ServantLevelUPdStatus!$Q$6+(ServantLevelUPdStatus!$Q$6*0.5*($D163-1))</f>
        <v>0.02</v>
      </c>
      <c r="F163" s="54">
        <f>ServantLevelUPdStatus!Q$6</f>
        <v>0.02</v>
      </c>
      <c r="H163" s="55">
        <f>Servant!$AC$6+($F163+($F163*0.5*($D163-1)))*(H$3-1)</f>
        <v>8.3000000000000007</v>
      </c>
      <c r="I163" s="55">
        <f>Servant!$AC$6+($F163+($F163*0.5*($D163-1)))*(I$3-1)</f>
        <v>8.32</v>
      </c>
      <c r="J163" s="55">
        <f>Servant!$AC$6+($F163+($F163*0.5*($D163-1)))*(J$3-1)</f>
        <v>8.34</v>
      </c>
      <c r="K163" s="55">
        <f>Servant!$AC$6+($F163+($F163*0.5*($D163-1)))*(K$3-1)</f>
        <v>8.3600000000000012</v>
      </c>
      <c r="L163" s="55">
        <f>Servant!$AC$6+($F163+($F163*0.5*($D163-1)))*(L$3-1)</f>
        <v>8.3800000000000008</v>
      </c>
      <c r="M163" s="55">
        <f>Servant!$AC$6+($F163+($F163*0.5*($D163-1)))*(M$3-1)</f>
        <v>8.4</v>
      </c>
      <c r="N163" s="55">
        <f>Servant!$AC$6+($F163+($F163*0.5*($D163-1)))*(N$3-1)</f>
        <v>8.42</v>
      </c>
      <c r="O163" s="55">
        <f>Servant!$AC$6+($F163+($F163*0.5*($D163-1)))*(O$3-1)</f>
        <v>8.4400000000000013</v>
      </c>
      <c r="P163" s="55">
        <f>Servant!$AC$6+($F163+($F163*0.5*($D163-1)))*(P$3-1)</f>
        <v>8.4600000000000009</v>
      </c>
      <c r="Q163" s="55">
        <f>Servant!$AC$6+($F163+($F163*0.5*($D163-1)))*(Q$3-1)</f>
        <v>8.48</v>
      </c>
      <c r="R163" s="55">
        <f>Servant!$AC$6+($F163+($F163*0.5*($D163-1)))*(R$3-1)</f>
        <v>8.5</v>
      </c>
      <c r="S163" s="55">
        <f>Servant!$AC$6+($F163+($F163*0.5*($D163-1)))*(S$3-1)</f>
        <v>8.5200000000000014</v>
      </c>
      <c r="T163" s="55">
        <f>Servant!$AC$6+($F163+($F163*0.5*($D163-1)))*(T$3-1)</f>
        <v>8.5400000000000009</v>
      </c>
      <c r="U163" s="55">
        <f>Servant!$AC$6+($F163+($F163*0.5*($D163-1)))*(U$3-1)</f>
        <v>8.56</v>
      </c>
      <c r="V163" s="55">
        <f>Servant!$AC$6+($F163+($F163*0.5*($D163-1)))*(V$3-1)</f>
        <v>8.58</v>
      </c>
      <c r="W163" s="55">
        <f>Servant!$AC$6+($F163+($F163*0.5*($D163-1)))*(W$3-1)</f>
        <v>8.6000000000000014</v>
      </c>
      <c r="X163" s="55">
        <f>Servant!$AC$6+($F163+($F163*0.5*($D163-1)))*(X$3-1)</f>
        <v>8.620000000000001</v>
      </c>
      <c r="Y163" s="55">
        <f>Servant!$AC$6+($F163+($F163*0.5*($D163-1)))*(Y$3-1)</f>
        <v>8.64</v>
      </c>
      <c r="Z163" s="55">
        <f>Servant!$AC$6+($F163+($F163*0.5*($D163-1)))*(Z$3-1)</f>
        <v>8.66</v>
      </c>
      <c r="AA163" s="55">
        <f>Servant!$AC$6+($F163+($F163*0.5*($D163-1)))*(AA$3-1)</f>
        <v>8.6800000000000015</v>
      </c>
      <c r="AB163" s="55">
        <f>Servant!$AC$6+($F163+($F163*0.5*($D163-1)))*(AB$3-1)</f>
        <v>8.7000000000000011</v>
      </c>
      <c r="AC163" s="55">
        <f>Servant!$AC$6+($F163+($F163*0.5*($D163-1)))*(AC$3-1)</f>
        <v>8.7200000000000006</v>
      </c>
      <c r="AD163" s="55">
        <f>Servant!$AC$6+($F163+($F163*0.5*($D163-1)))*(AD$3-1)</f>
        <v>8.74</v>
      </c>
      <c r="AE163" s="55">
        <f>Servant!$AC$6+($F163+($F163*0.5*($D163-1)))*(AE$3-1)</f>
        <v>8.7600000000000016</v>
      </c>
      <c r="AF163" s="55">
        <f>Servant!$AC$6+($F163+($F163*0.5*($D163-1)))*(AF$3-1)</f>
        <v>8.7800000000000011</v>
      </c>
      <c r="AG163" s="55">
        <f>Servant!$AC$6+($F163+($F163*0.5*($D163-1)))*(AG$3-1)</f>
        <v>8.8000000000000007</v>
      </c>
      <c r="AH163" s="55">
        <f>Servant!$AC$6+($F163+($F163*0.5*($D163-1)))*(AH$3-1)</f>
        <v>8.82</v>
      </c>
      <c r="AI163" s="55">
        <f>Servant!$AC$6+($F163+($F163*0.5*($D163-1)))*(AI$3-1)</f>
        <v>8.84</v>
      </c>
      <c r="AJ163" s="55">
        <f>Servant!$AC$6+($F163+($F163*0.5*($D163-1)))*(AJ$3-1)</f>
        <v>8.8600000000000012</v>
      </c>
      <c r="AK163" s="55">
        <f>Servant!$AC$6+($F163+($F163*0.5*($D163-1)))*(AK$3-1)</f>
        <v>8.8800000000000008</v>
      </c>
    </row>
    <row r="164" spans="2:37" x14ac:dyDescent="0.3">
      <c r="B164" s="287"/>
      <c r="C164" s="289"/>
      <c r="D164" s="54">
        <v>2</v>
      </c>
      <c r="E164" s="54">
        <f>ServantLevelUPdStatus!$Q$6+(ServantLevelUPdStatus!$Q$6*0.5*($D164-1))</f>
        <v>0.03</v>
      </c>
      <c r="F164" s="54">
        <f>F163</f>
        <v>0.02</v>
      </c>
      <c r="H164" s="55">
        <f>Servant!$AC$6+($F164+($F164*0.5*($D164-1)))*(H$3-1)</f>
        <v>8.3000000000000007</v>
      </c>
      <c r="I164" s="55">
        <f>Servant!$AC$6+($F164+($F164*0.5*($D164-1)))*(I$3-1)</f>
        <v>8.33</v>
      </c>
      <c r="J164" s="55">
        <f>Servant!$AC$6+($F164+($F164*0.5*($D164-1)))*(J$3-1)</f>
        <v>8.3600000000000012</v>
      </c>
      <c r="K164" s="55">
        <f>Servant!$AC$6+($F164+($F164*0.5*($D164-1)))*(K$3-1)</f>
        <v>8.39</v>
      </c>
      <c r="L164" s="55">
        <f>Servant!$AC$6+($F164+($F164*0.5*($D164-1)))*(L$3-1)</f>
        <v>8.42</v>
      </c>
      <c r="M164" s="55">
        <f>Servant!$AC$6+($F164+($F164*0.5*($D164-1)))*(M$3-1)</f>
        <v>8.4500000000000011</v>
      </c>
      <c r="N164" s="55">
        <f>Servant!$AC$6+($F164+($F164*0.5*($D164-1)))*(N$3-1)</f>
        <v>8.48</v>
      </c>
      <c r="O164" s="55">
        <f>Servant!$AC$6+($F164+($F164*0.5*($D164-1)))*(O$3-1)</f>
        <v>8.5100000000000016</v>
      </c>
      <c r="P164" s="55">
        <f>Servant!$AC$6+($F164+($F164*0.5*($D164-1)))*(P$3-1)</f>
        <v>8.5400000000000009</v>
      </c>
      <c r="Q164" s="55">
        <f>Servant!$AC$6+($F164+($F164*0.5*($D164-1)))*(Q$3-1)</f>
        <v>8.57</v>
      </c>
      <c r="R164" s="55">
        <f>Servant!$AC$6+($F164+($F164*0.5*($D164-1)))*(R$3-1)</f>
        <v>8.6000000000000014</v>
      </c>
      <c r="S164" s="55">
        <f>Servant!$AC$6+($F164+($F164*0.5*($D164-1)))*(S$3-1)</f>
        <v>8.6300000000000008</v>
      </c>
      <c r="T164" s="55">
        <f>Servant!$AC$6+($F164+($F164*0.5*($D164-1)))*(T$3-1)</f>
        <v>8.66</v>
      </c>
      <c r="U164" s="55">
        <f>Servant!$AC$6+($F164+($F164*0.5*($D164-1)))*(U$3-1)</f>
        <v>8.6900000000000013</v>
      </c>
      <c r="V164" s="55">
        <f>Servant!$AC$6+($F164+($F164*0.5*($D164-1)))*(V$3-1)</f>
        <v>8.7200000000000006</v>
      </c>
      <c r="W164" s="55">
        <f>Servant!$AC$6+($F164+($F164*0.5*($D164-1)))*(W$3-1)</f>
        <v>8.75</v>
      </c>
      <c r="X164" s="55">
        <f>Servant!$AC$6+($F164+($F164*0.5*($D164-1)))*(X$3-1)</f>
        <v>8.7800000000000011</v>
      </c>
      <c r="Y164" s="55">
        <f>Servant!$AC$6+($F164+($F164*0.5*($D164-1)))*(Y$3-1)</f>
        <v>8.81</v>
      </c>
      <c r="Z164" s="55">
        <f>Servant!$AC$6+($F164+($F164*0.5*($D164-1)))*(Z$3-1)</f>
        <v>8.84</v>
      </c>
      <c r="AA164" s="55">
        <f>Servant!$AC$6+($F164+($F164*0.5*($D164-1)))*(AA$3-1)</f>
        <v>8.870000000000001</v>
      </c>
      <c r="AB164" s="55">
        <f>Servant!$AC$6+($F164+($F164*0.5*($D164-1)))*(AB$3-1)</f>
        <v>8.9</v>
      </c>
      <c r="AC164" s="55">
        <f>Servant!$AC$6+($F164+($F164*0.5*($D164-1)))*(AC$3-1)</f>
        <v>8.9300000000000015</v>
      </c>
      <c r="AD164" s="55">
        <f>Servant!$AC$6+($F164+($F164*0.5*($D164-1)))*(AD$3-1)</f>
        <v>8.9600000000000009</v>
      </c>
      <c r="AE164" s="55">
        <f>Servant!$AC$6+($F164+($F164*0.5*($D164-1)))*(AE$3-1)</f>
        <v>8.99</v>
      </c>
      <c r="AF164" s="55">
        <f>Servant!$AC$6+($F164+($F164*0.5*($D164-1)))*(AF$3-1)</f>
        <v>9.0200000000000014</v>
      </c>
      <c r="AG164" s="55">
        <f>Servant!$AC$6+($F164+($F164*0.5*($D164-1)))*(AG$3-1)</f>
        <v>9.0500000000000007</v>
      </c>
      <c r="AH164" s="55">
        <f>Servant!$AC$6+($F164+($F164*0.5*($D164-1)))*(AH$3-1)</f>
        <v>9.08</v>
      </c>
      <c r="AI164" s="55">
        <f>Servant!$AC$6+($F164+($F164*0.5*($D164-1)))*(AI$3-1)</f>
        <v>9.1100000000000012</v>
      </c>
      <c r="AJ164" s="55">
        <f>Servant!$AC$6+($F164+($F164*0.5*($D164-1)))*(AJ$3-1)</f>
        <v>9.14</v>
      </c>
      <c r="AK164" s="55">
        <f>Servant!$AC$6+($F164+($F164*0.5*($D164-1)))*(AK$3-1)</f>
        <v>9.17</v>
      </c>
    </row>
    <row r="165" spans="2:37" x14ac:dyDescent="0.3">
      <c r="B165" s="287"/>
      <c r="C165" s="289"/>
      <c r="D165" s="54">
        <v>3</v>
      </c>
      <c r="E165" s="54">
        <f>ServantLevelUPdStatus!$Q$6+(ServantLevelUPdStatus!$Q$6*0.5*($D165-1))</f>
        <v>0.04</v>
      </c>
      <c r="F165" s="54">
        <f>F164</f>
        <v>0.02</v>
      </c>
      <c r="H165" s="55">
        <f>Servant!$AC$6+($F165+($F165*0.5*($D165-1)))*(H$3-1)</f>
        <v>8.3000000000000007</v>
      </c>
      <c r="I165" s="55">
        <f>Servant!$AC$6+($F165+($F165*0.5*($D165-1)))*(I$3-1)</f>
        <v>8.34</v>
      </c>
      <c r="J165" s="55">
        <f>Servant!$AC$6+($F165+($F165*0.5*($D165-1)))*(J$3-1)</f>
        <v>8.3800000000000008</v>
      </c>
      <c r="K165" s="55">
        <f>Servant!$AC$6+($F165+($F165*0.5*($D165-1)))*(K$3-1)</f>
        <v>8.42</v>
      </c>
      <c r="L165" s="55">
        <f>Servant!$AC$6+($F165+($F165*0.5*($D165-1)))*(L$3-1)</f>
        <v>8.4600000000000009</v>
      </c>
      <c r="M165" s="55">
        <f>Servant!$AC$6+($F165+($F165*0.5*($D165-1)))*(M$3-1)</f>
        <v>8.5</v>
      </c>
      <c r="N165" s="55">
        <f>Servant!$AC$6+($F165+($F165*0.5*($D165-1)))*(N$3-1)</f>
        <v>8.5400000000000009</v>
      </c>
      <c r="O165" s="55">
        <f>Servant!$AC$6+($F165+($F165*0.5*($D165-1)))*(O$3-1)</f>
        <v>8.58</v>
      </c>
      <c r="P165" s="55">
        <f>Servant!$AC$6+($F165+($F165*0.5*($D165-1)))*(P$3-1)</f>
        <v>8.620000000000001</v>
      </c>
      <c r="Q165" s="55">
        <f>Servant!$AC$6+($F165+($F165*0.5*($D165-1)))*(Q$3-1)</f>
        <v>8.66</v>
      </c>
      <c r="R165" s="55">
        <f>Servant!$AC$6+($F165+($F165*0.5*($D165-1)))*(R$3-1)</f>
        <v>8.7000000000000011</v>
      </c>
      <c r="S165" s="55">
        <f>Servant!$AC$6+($F165+($F165*0.5*($D165-1)))*(S$3-1)</f>
        <v>8.74</v>
      </c>
      <c r="T165" s="55">
        <f>Servant!$AC$6+($F165+($F165*0.5*($D165-1)))*(T$3-1)</f>
        <v>8.7800000000000011</v>
      </c>
      <c r="U165" s="55">
        <f>Servant!$AC$6+($F165+($F165*0.5*($D165-1)))*(U$3-1)</f>
        <v>8.82</v>
      </c>
      <c r="V165" s="55">
        <f>Servant!$AC$6+($F165+($F165*0.5*($D165-1)))*(V$3-1)</f>
        <v>8.8600000000000012</v>
      </c>
      <c r="W165" s="55">
        <f>Servant!$AC$6+($F165+($F165*0.5*($D165-1)))*(W$3-1)</f>
        <v>8.9</v>
      </c>
      <c r="X165" s="55">
        <f>Servant!$AC$6+($F165+($F165*0.5*($D165-1)))*(X$3-1)</f>
        <v>8.9400000000000013</v>
      </c>
      <c r="Y165" s="55">
        <f>Servant!$AC$6+($F165+($F165*0.5*($D165-1)))*(Y$3-1)</f>
        <v>8.98</v>
      </c>
      <c r="Z165" s="55">
        <f>Servant!$AC$6+($F165+($F165*0.5*($D165-1)))*(Z$3-1)</f>
        <v>9.0200000000000014</v>
      </c>
      <c r="AA165" s="55">
        <f>Servant!$AC$6+($F165+($F165*0.5*($D165-1)))*(AA$3-1)</f>
        <v>9.06</v>
      </c>
      <c r="AB165" s="55">
        <f>Servant!$AC$6+($F165+($F165*0.5*($D165-1)))*(AB$3-1)</f>
        <v>9.1000000000000014</v>
      </c>
      <c r="AC165" s="55">
        <f>Servant!$AC$6+($F165+($F165*0.5*($D165-1)))*(AC$3-1)</f>
        <v>9.14</v>
      </c>
      <c r="AD165" s="55">
        <f>Servant!$AC$6+($F165+($F165*0.5*($D165-1)))*(AD$3-1)</f>
        <v>9.1800000000000015</v>
      </c>
      <c r="AE165" s="55">
        <f>Servant!$AC$6+($F165+($F165*0.5*($D165-1)))*(AE$3-1)</f>
        <v>9.2200000000000006</v>
      </c>
      <c r="AF165" s="55">
        <f>Servant!$AC$6+($F165+($F165*0.5*($D165-1)))*(AF$3-1)</f>
        <v>9.2600000000000016</v>
      </c>
      <c r="AG165" s="55">
        <f>Servant!$AC$6+($F165+($F165*0.5*($D165-1)))*(AG$3-1)</f>
        <v>9.3000000000000007</v>
      </c>
      <c r="AH165" s="55">
        <f>Servant!$AC$6+($F165+($F165*0.5*($D165-1)))*(AH$3-1)</f>
        <v>9.34</v>
      </c>
      <c r="AI165" s="55">
        <f>Servant!$AC$6+($F165+($F165*0.5*($D165-1)))*(AI$3-1)</f>
        <v>9.3800000000000008</v>
      </c>
      <c r="AJ165" s="55">
        <f>Servant!$AC$6+($F165+($F165*0.5*($D165-1)))*(AJ$3-1)</f>
        <v>9.4200000000000017</v>
      </c>
      <c r="AK165" s="55">
        <f>Servant!$AC$6+($F165+($F165*0.5*($D165-1)))*(AK$3-1)</f>
        <v>9.4600000000000009</v>
      </c>
    </row>
    <row r="166" spans="2:37" x14ac:dyDescent="0.3">
      <c r="B166" s="287"/>
      <c r="C166" s="290" t="s">
        <v>243</v>
      </c>
      <c r="D166" s="52">
        <v>2</v>
      </c>
      <c r="E166" s="52">
        <f>ServantLevelUPdStatus!$Q$12+(ServantLevelUPdStatus!$Q$12*0.5*($D166-1))</f>
        <v>0.03</v>
      </c>
      <c r="F166" s="52">
        <f>ServantLevelUPdStatus!Q$12</f>
        <v>0.02</v>
      </c>
      <c r="H166" s="53">
        <f>Servant!$AC$12+($F166+($F166*0.5*($D166-1)))*(H$3-1)</f>
        <v>8.2000000000000011</v>
      </c>
      <c r="I166" s="53">
        <f>Servant!$AC$12+($F166+($F166*0.5*($D166-1)))*(I$3-1)</f>
        <v>8.23</v>
      </c>
      <c r="J166" s="53">
        <f>Servant!$AC$12+($F166+($F166*0.5*($D166-1)))*(J$3-1)</f>
        <v>8.2600000000000016</v>
      </c>
      <c r="K166" s="53">
        <f>Servant!$AC$12+($F166+($F166*0.5*($D166-1)))*(K$3-1)</f>
        <v>8.2900000000000009</v>
      </c>
      <c r="L166" s="53">
        <f>Servant!$AC$12+($F166+($F166*0.5*($D166-1)))*(L$3-1)</f>
        <v>8.32</v>
      </c>
      <c r="M166" s="53">
        <f>Servant!$AC$12+($F166+($F166*0.5*($D166-1)))*(M$3-1)</f>
        <v>8.3500000000000014</v>
      </c>
      <c r="N166" s="53">
        <f>Servant!$AC$12+($F166+($F166*0.5*($D166-1)))*(N$3-1)</f>
        <v>8.3800000000000008</v>
      </c>
      <c r="O166" s="53">
        <f>Servant!$AC$12+($F166+($F166*0.5*($D166-1)))*(O$3-1)</f>
        <v>8.4100000000000019</v>
      </c>
      <c r="P166" s="53">
        <f>Servant!$AC$12+($F166+($F166*0.5*($D166-1)))*(P$3-1)</f>
        <v>8.4400000000000013</v>
      </c>
      <c r="Q166" s="53">
        <f>Servant!$AC$12+($F166+($F166*0.5*($D166-1)))*(Q$3-1)</f>
        <v>8.4700000000000006</v>
      </c>
      <c r="R166" s="53">
        <f>Servant!$AC$12+($F166+($F166*0.5*($D166-1)))*(R$3-1)</f>
        <v>8.5000000000000018</v>
      </c>
      <c r="S166" s="53">
        <f>Servant!$AC$12+($F166+($F166*0.5*($D166-1)))*(S$3-1)</f>
        <v>8.5300000000000011</v>
      </c>
      <c r="T166" s="53">
        <f>Servant!$AC$12+($F166+($F166*0.5*($D166-1)))*(T$3-1)</f>
        <v>8.56</v>
      </c>
      <c r="U166" s="53">
        <f>Servant!$AC$12+($F166+($F166*0.5*($D166-1)))*(U$3-1)</f>
        <v>8.5900000000000016</v>
      </c>
      <c r="V166" s="53">
        <f>Servant!$AC$12+($F166+($F166*0.5*($D166-1)))*(V$3-1)</f>
        <v>8.620000000000001</v>
      </c>
      <c r="W166" s="53">
        <f>Servant!$AC$12+($F166+($F166*0.5*($D166-1)))*(W$3-1)</f>
        <v>8.65</v>
      </c>
      <c r="X166" s="53">
        <f>Servant!$AC$12+($F166+($F166*0.5*($D166-1)))*(X$3-1)</f>
        <v>8.6800000000000015</v>
      </c>
      <c r="Y166" s="53">
        <f>Servant!$AC$12+($F166+($F166*0.5*($D166-1)))*(Y$3-1)</f>
        <v>8.7100000000000009</v>
      </c>
      <c r="Z166" s="53">
        <f>Servant!$AC$12+($F166+($F166*0.5*($D166-1)))*(Z$3-1)</f>
        <v>8.740000000000002</v>
      </c>
      <c r="AA166" s="53">
        <f>Servant!$AC$12+($F166+($F166*0.5*($D166-1)))*(AA$3-1)</f>
        <v>8.7700000000000014</v>
      </c>
      <c r="AB166" s="53">
        <f>Servant!$AC$12+($F166+($F166*0.5*($D166-1)))*(AB$3-1)</f>
        <v>8.8000000000000007</v>
      </c>
      <c r="AC166" s="53">
        <f>Servant!$AC$12+($F166+($F166*0.5*($D166-1)))*(AC$3-1)</f>
        <v>8.8300000000000018</v>
      </c>
      <c r="AD166" s="53">
        <f>Servant!$AC$12+($F166+($F166*0.5*($D166-1)))*(AD$3-1)</f>
        <v>8.8600000000000012</v>
      </c>
      <c r="AE166" s="53">
        <f>Servant!$AC$12+($F166+($F166*0.5*($D166-1)))*(AE$3-1)</f>
        <v>8.89</v>
      </c>
      <c r="AF166" s="53">
        <f>Servant!$AC$12+($F166+($F166*0.5*($D166-1)))*(AF$3-1)</f>
        <v>8.9200000000000017</v>
      </c>
      <c r="AG166" s="53">
        <f>Servant!$AC$12+($F166+($F166*0.5*($D166-1)))*(AG$3-1)</f>
        <v>8.9500000000000011</v>
      </c>
      <c r="AH166" s="53">
        <f>Servant!$AC$12+($F166+($F166*0.5*($D166-1)))*(AH$3-1)</f>
        <v>8.98</v>
      </c>
      <c r="AI166" s="53">
        <f>Servant!$AC$12+($F166+($F166*0.5*($D166-1)))*(AI$3-1)</f>
        <v>9.0100000000000016</v>
      </c>
      <c r="AJ166" s="53">
        <f>Servant!$AC$12+($F166+($F166*0.5*($D166-1)))*(AJ$3-1)</f>
        <v>9.0400000000000009</v>
      </c>
      <c r="AK166" s="53">
        <f>Servant!$AC$12+($F166+($F166*0.5*($D166-1)))*(AK$3-1)</f>
        <v>9.07</v>
      </c>
    </row>
    <row r="167" spans="2:37" x14ac:dyDescent="0.3">
      <c r="B167" s="287"/>
      <c r="C167" s="290"/>
      <c r="D167" s="52">
        <v>3</v>
      </c>
      <c r="E167" s="52">
        <f>ServantLevelUPdStatus!$Q$12+(ServantLevelUPdStatus!$Q$12*0.5*($D167-1))</f>
        <v>0.04</v>
      </c>
      <c r="F167" s="52">
        <f>F166</f>
        <v>0.02</v>
      </c>
      <c r="H167" s="53">
        <f>Servant!$AC$12+($F167+($F167*0.5*($D167-1)))*(H$3-1)</f>
        <v>8.2000000000000011</v>
      </c>
      <c r="I167" s="53">
        <f>Servant!$AC$12+($F167+($F167*0.5*($D167-1)))*(I$3-1)</f>
        <v>8.24</v>
      </c>
      <c r="J167" s="53">
        <f>Servant!$AC$12+($F167+($F167*0.5*($D167-1)))*(J$3-1)</f>
        <v>8.2800000000000011</v>
      </c>
      <c r="K167" s="53">
        <f>Servant!$AC$12+($F167+($F167*0.5*($D167-1)))*(K$3-1)</f>
        <v>8.32</v>
      </c>
      <c r="L167" s="53">
        <f>Servant!$AC$12+($F167+($F167*0.5*($D167-1)))*(L$3-1)</f>
        <v>8.3600000000000012</v>
      </c>
      <c r="M167" s="53">
        <f>Servant!$AC$12+($F167+($F167*0.5*($D167-1)))*(M$3-1)</f>
        <v>8.4</v>
      </c>
      <c r="N167" s="53">
        <f>Servant!$AC$12+($F167+($F167*0.5*($D167-1)))*(N$3-1)</f>
        <v>8.4400000000000013</v>
      </c>
      <c r="O167" s="53">
        <f>Servant!$AC$12+($F167+($F167*0.5*($D167-1)))*(O$3-1)</f>
        <v>8.48</v>
      </c>
      <c r="P167" s="53">
        <f>Servant!$AC$12+($F167+($F167*0.5*($D167-1)))*(P$3-1)</f>
        <v>8.5200000000000014</v>
      </c>
      <c r="Q167" s="53">
        <f>Servant!$AC$12+($F167+($F167*0.5*($D167-1)))*(Q$3-1)</f>
        <v>8.56</v>
      </c>
      <c r="R167" s="53">
        <f>Servant!$AC$12+($F167+($F167*0.5*($D167-1)))*(R$3-1)</f>
        <v>8.6000000000000014</v>
      </c>
      <c r="S167" s="53">
        <f>Servant!$AC$12+($F167+($F167*0.5*($D167-1)))*(S$3-1)</f>
        <v>8.64</v>
      </c>
      <c r="T167" s="53">
        <f>Servant!$AC$12+($F167+($F167*0.5*($D167-1)))*(T$3-1)</f>
        <v>8.6800000000000015</v>
      </c>
      <c r="U167" s="53">
        <f>Servant!$AC$12+($F167+($F167*0.5*($D167-1)))*(U$3-1)</f>
        <v>8.7200000000000006</v>
      </c>
      <c r="V167" s="53">
        <f>Servant!$AC$12+($F167+($F167*0.5*($D167-1)))*(V$3-1)</f>
        <v>8.7600000000000016</v>
      </c>
      <c r="W167" s="53">
        <f>Servant!$AC$12+($F167+($F167*0.5*($D167-1)))*(W$3-1)</f>
        <v>8.8000000000000007</v>
      </c>
      <c r="X167" s="53">
        <f>Servant!$AC$12+($F167+($F167*0.5*($D167-1)))*(X$3-1)</f>
        <v>8.8400000000000016</v>
      </c>
      <c r="Y167" s="53">
        <f>Servant!$AC$12+($F167+($F167*0.5*($D167-1)))*(Y$3-1)</f>
        <v>8.8800000000000008</v>
      </c>
      <c r="Z167" s="53">
        <f>Servant!$AC$12+($F167+($F167*0.5*($D167-1)))*(Z$3-1)</f>
        <v>8.9200000000000017</v>
      </c>
      <c r="AA167" s="53">
        <f>Servant!$AC$12+($F167+($F167*0.5*($D167-1)))*(AA$3-1)</f>
        <v>8.9600000000000009</v>
      </c>
      <c r="AB167" s="53">
        <f>Servant!$AC$12+($F167+($F167*0.5*($D167-1)))*(AB$3-1)</f>
        <v>9.0000000000000018</v>
      </c>
      <c r="AC167" s="53">
        <f>Servant!$AC$12+($F167+($F167*0.5*($D167-1)))*(AC$3-1)</f>
        <v>9.0400000000000009</v>
      </c>
      <c r="AD167" s="53">
        <f>Servant!$AC$12+($F167+($F167*0.5*($D167-1)))*(AD$3-1)</f>
        <v>9.0800000000000018</v>
      </c>
      <c r="AE167" s="53">
        <f>Servant!$AC$12+($F167+($F167*0.5*($D167-1)))*(AE$3-1)</f>
        <v>9.120000000000001</v>
      </c>
      <c r="AF167" s="53">
        <f>Servant!$AC$12+($F167+($F167*0.5*($D167-1)))*(AF$3-1)</f>
        <v>9.16</v>
      </c>
      <c r="AG167" s="53">
        <f>Servant!$AC$12+($F167+($F167*0.5*($D167-1)))*(AG$3-1)</f>
        <v>9.2000000000000011</v>
      </c>
      <c r="AH167" s="53">
        <f>Servant!$AC$12+($F167+($F167*0.5*($D167-1)))*(AH$3-1)</f>
        <v>9.240000000000002</v>
      </c>
      <c r="AI167" s="53">
        <f>Servant!$AC$12+($F167+($F167*0.5*($D167-1)))*(AI$3-1)</f>
        <v>9.2800000000000011</v>
      </c>
      <c r="AJ167" s="53">
        <f>Servant!$AC$12+($F167+($F167*0.5*($D167-1)))*(AJ$3-1)</f>
        <v>9.32</v>
      </c>
      <c r="AK167" s="53">
        <f>Servant!$AC$12+($F167+($F167*0.5*($D167-1)))*(AK$3-1)</f>
        <v>9.3600000000000012</v>
      </c>
    </row>
    <row r="168" spans="2:37" x14ac:dyDescent="0.3">
      <c r="B168" s="287"/>
      <c r="C168" s="290"/>
      <c r="D168" s="52">
        <v>4</v>
      </c>
      <c r="E168" s="52">
        <f>ServantLevelUPdStatus!$Q$12+(ServantLevelUPdStatus!$Q$12*0.5*($D168-1))</f>
        <v>0.05</v>
      </c>
      <c r="F168" s="52">
        <f>F167</f>
        <v>0.02</v>
      </c>
      <c r="H168" s="53">
        <f>Servant!$AC$12+($F168+($F168*0.5*($D168-1)))*(H$3-1)</f>
        <v>8.2000000000000011</v>
      </c>
      <c r="I168" s="53">
        <f>Servant!$AC$12+($F168+($F168*0.5*($D168-1)))*(I$3-1)</f>
        <v>8.2500000000000018</v>
      </c>
      <c r="J168" s="53">
        <f>Servant!$AC$12+($F168+($F168*0.5*($D168-1)))*(J$3-1)</f>
        <v>8.3000000000000007</v>
      </c>
      <c r="K168" s="53">
        <f>Servant!$AC$12+($F168+($F168*0.5*($D168-1)))*(K$3-1)</f>
        <v>8.3500000000000014</v>
      </c>
      <c r="L168" s="53">
        <f>Servant!$AC$12+($F168+($F168*0.5*($D168-1)))*(L$3-1)</f>
        <v>8.4</v>
      </c>
      <c r="M168" s="53">
        <f>Servant!$AC$12+($F168+($F168*0.5*($D168-1)))*(M$3-1)</f>
        <v>8.4500000000000011</v>
      </c>
      <c r="N168" s="53">
        <f>Servant!$AC$12+($F168+($F168*0.5*($D168-1)))*(N$3-1)</f>
        <v>8.5000000000000018</v>
      </c>
      <c r="O168" s="53">
        <f>Servant!$AC$12+($F168+($F168*0.5*($D168-1)))*(O$3-1)</f>
        <v>8.5500000000000007</v>
      </c>
      <c r="P168" s="53">
        <f>Servant!$AC$12+($F168+($F168*0.5*($D168-1)))*(P$3-1)</f>
        <v>8.6000000000000014</v>
      </c>
      <c r="Q168" s="53">
        <f>Servant!$AC$12+($F168+($F168*0.5*($D168-1)))*(Q$3-1)</f>
        <v>8.65</v>
      </c>
      <c r="R168" s="53">
        <f>Servant!$AC$12+($F168+($F168*0.5*($D168-1)))*(R$3-1)</f>
        <v>8.7000000000000011</v>
      </c>
      <c r="S168" s="53">
        <f>Servant!$AC$12+($F168+($F168*0.5*($D168-1)))*(S$3-1)</f>
        <v>8.7500000000000018</v>
      </c>
      <c r="T168" s="53">
        <f>Servant!$AC$12+($F168+($F168*0.5*($D168-1)))*(T$3-1)</f>
        <v>8.8000000000000007</v>
      </c>
      <c r="U168" s="53">
        <f>Servant!$AC$12+($F168+($F168*0.5*($D168-1)))*(U$3-1)</f>
        <v>8.8500000000000014</v>
      </c>
      <c r="V168" s="53">
        <f>Servant!$AC$12+($F168+($F168*0.5*($D168-1)))*(V$3-1)</f>
        <v>8.9</v>
      </c>
      <c r="W168" s="53">
        <f>Servant!$AC$12+($F168+($F168*0.5*($D168-1)))*(W$3-1)</f>
        <v>8.9500000000000011</v>
      </c>
      <c r="X168" s="53">
        <f>Servant!$AC$12+($F168+($F168*0.5*($D168-1)))*(X$3-1)</f>
        <v>9.0000000000000018</v>
      </c>
      <c r="Y168" s="53">
        <f>Servant!$AC$12+($F168+($F168*0.5*($D168-1)))*(Y$3-1)</f>
        <v>9.0500000000000007</v>
      </c>
      <c r="Z168" s="53">
        <f>Servant!$AC$12+($F168+($F168*0.5*($D168-1)))*(Z$3-1)</f>
        <v>9.1000000000000014</v>
      </c>
      <c r="AA168" s="53">
        <f>Servant!$AC$12+($F168+($F168*0.5*($D168-1)))*(AA$3-1)</f>
        <v>9.15</v>
      </c>
      <c r="AB168" s="53">
        <f>Servant!$AC$12+($F168+($F168*0.5*($D168-1)))*(AB$3-1)</f>
        <v>9.2000000000000011</v>
      </c>
      <c r="AC168" s="53">
        <f>Servant!$AC$12+($F168+($F168*0.5*($D168-1)))*(AC$3-1)</f>
        <v>9.2500000000000018</v>
      </c>
      <c r="AD168" s="53">
        <f>Servant!$AC$12+($F168+($F168*0.5*($D168-1)))*(AD$3-1)</f>
        <v>9.3000000000000007</v>
      </c>
      <c r="AE168" s="53">
        <f>Servant!$AC$12+($F168+($F168*0.5*($D168-1)))*(AE$3-1)</f>
        <v>9.3500000000000014</v>
      </c>
      <c r="AF168" s="53">
        <f>Servant!$AC$12+($F168+($F168*0.5*($D168-1)))*(AF$3-1)</f>
        <v>9.4000000000000021</v>
      </c>
      <c r="AG168" s="53">
        <f>Servant!$AC$12+($F168+($F168*0.5*($D168-1)))*(AG$3-1)</f>
        <v>9.4500000000000011</v>
      </c>
      <c r="AH168" s="53">
        <f>Servant!$AC$12+($F168+($F168*0.5*($D168-1)))*(AH$3-1)</f>
        <v>9.5000000000000018</v>
      </c>
      <c r="AI168" s="53">
        <f>Servant!$AC$12+($F168+($F168*0.5*($D168-1)))*(AI$3-1)</f>
        <v>9.5500000000000007</v>
      </c>
      <c r="AJ168" s="53">
        <f>Servant!$AC$12+($F168+($F168*0.5*($D168-1)))*(AJ$3-1)</f>
        <v>9.6000000000000014</v>
      </c>
      <c r="AK168" s="53">
        <f>Servant!$AC$12+($F168+($F168*0.5*($D168-1)))*(AK$3-1)</f>
        <v>9.6500000000000021</v>
      </c>
    </row>
    <row r="169" spans="2:37" x14ac:dyDescent="0.3">
      <c r="B169" s="287"/>
      <c r="C169" s="291" t="s">
        <v>244</v>
      </c>
      <c r="D169" s="56">
        <v>3</v>
      </c>
      <c r="E169" s="56">
        <f>ServantLevelUPdStatus!$Q$18+(ServantLevelUPdStatus!$Q$18*0.5*($D169-1))</f>
        <v>0.04</v>
      </c>
      <c r="F169" s="56">
        <f>ServantLevelUPdStatus!Q$18</f>
        <v>0.02</v>
      </c>
      <c r="H169" s="57">
        <f>Servant!$AC$18+($F169+($F169*0.5*($D169-1)))*(H$3-1)</f>
        <v>8.2000000000000011</v>
      </c>
      <c r="I169" s="57">
        <f>Servant!$AC$18+($F169+($F169*0.5*($D169-1)))*(I$3-1)</f>
        <v>8.24</v>
      </c>
      <c r="J169" s="57">
        <f>Servant!$AC$18+($F169+($F169*0.5*($D169-1)))*(J$3-1)</f>
        <v>8.2800000000000011</v>
      </c>
      <c r="K169" s="57">
        <f>Servant!$AC$18+($F169+($F169*0.5*($D169-1)))*(K$3-1)</f>
        <v>8.32</v>
      </c>
      <c r="L169" s="57">
        <f>Servant!$AC$18+($F169+($F169*0.5*($D169-1)))*(L$3-1)</f>
        <v>8.3600000000000012</v>
      </c>
      <c r="M169" s="57">
        <f>Servant!$AC$18+($F169+($F169*0.5*($D169-1)))*(M$3-1)</f>
        <v>8.4</v>
      </c>
      <c r="N169" s="57">
        <f>Servant!$AC$18+($F169+($F169*0.5*($D169-1)))*(N$3-1)</f>
        <v>8.4400000000000013</v>
      </c>
      <c r="O169" s="57">
        <f>Servant!$AC$18+($F169+($F169*0.5*($D169-1)))*(O$3-1)</f>
        <v>8.48</v>
      </c>
      <c r="P169" s="57">
        <f>Servant!$AC$18+($F169+($F169*0.5*($D169-1)))*(P$3-1)</f>
        <v>8.5200000000000014</v>
      </c>
      <c r="Q169" s="57">
        <f>Servant!$AC$18+($F169+($F169*0.5*($D169-1)))*(Q$3-1)</f>
        <v>8.56</v>
      </c>
      <c r="R169" s="57">
        <f>Servant!$AC$18+($F169+($F169*0.5*($D169-1)))*(R$3-1)</f>
        <v>8.6000000000000014</v>
      </c>
      <c r="S169" s="57">
        <f>Servant!$AC$18+($F169+($F169*0.5*($D169-1)))*(S$3-1)</f>
        <v>8.64</v>
      </c>
      <c r="T169" s="57">
        <f>Servant!$AC$18+($F169+($F169*0.5*($D169-1)))*(T$3-1)</f>
        <v>8.6800000000000015</v>
      </c>
      <c r="U169" s="57">
        <f>Servant!$AC$18+($F169+($F169*0.5*($D169-1)))*(U$3-1)</f>
        <v>8.7200000000000006</v>
      </c>
      <c r="V169" s="57">
        <f>Servant!$AC$18+($F169+($F169*0.5*($D169-1)))*(V$3-1)</f>
        <v>8.7600000000000016</v>
      </c>
      <c r="W169" s="57">
        <f>Servant!$AC$18+($F169+($F169*0.5*($D169-1)))*(W$3-1)</f>
        <v>8.8000000000000007</v>
      </c>
      <c r="X169" s="57">
        <f>Servant!$AC$18+($F169+($F169*0.5*($D169-1)))*(X$3-1)</f>
        <v>8.8400000000000016</v>
      </c>
      <c r="Y169" s="57">
        <f>Servant!$AC$18+($F169+($F169*0.5*($D169-1)))*(Y$3-1)</f>
        <v>8.8800000000000008</v>
      </c>
      <c r="Z169" s="57">
        <f>Servant!$AC$18+($F169+($F169*0.5*($D169-1)))*(Z$3-1)</f>
        <v>8.9200000000000017</v>
      </c>
      <c r="AA169" s="57">
        <f>Servant!$AC$18+($F169+($F169*0.5*($D169-1)))*(AA$3-1)</f>
        <v>8.9600000000000009</v>
      </c>
      <c r="AB169" s="57">
        <f>Servant!$AC$18+($F169+($F169*0.5*($D169-1)))*(AB$3-1)</f>
        <v>9.0000000000000018</v>
      </c>
      <c r="AC169" s="57">
        <f>Servant!$AC$18+($F169+($F169*0.5*($D169-1)))*(AC$3-1)</f>
        <v>9.0400000000000009</v>
      </c>
      <c r="AD169" s="57">
        <f>Servant!$AC$18+($F169+($F169*0.5*($D169-1)))*(AD$3-1)</f>
        <v>9.0800000000000018</v>
      </c>
      <c r="AE169" s="57">
        <f>Servant!$AC$18+($F169+($F169*0.5*($D169-1)))*(AE$3-1)</f>
        <v>9.120000000000001</v>
      </c>
      <c r="AF169" s="57">
        <f>Servant!$AC$18+($F169+($F169*0.5*($D169-1)))*(AF$3-1)</f>
        <v>9.16</v>
      </c>
      <c r="AG169" s="57">
        <f>Servant!$AC$18+($F169+($F169*0.5*($D169-1)))*(AG$3-1)</f>
        <v>9.2000000000000011</v>
      </c>
      <c r="AH169" s="57">
        <f>Servant!$AC$18+($F169+($F169*0.5*($D169-1)))*(AH$3-1)</f>
        <v>9.240000000000002</v>
      </c>
      <c r="AI169" s="57">
        <f>Servant!$AC$18+($F169+($F169*0.5*($D169-1)))*(AI$3-1)</f>
        <v>9.2800000000000011</v>
      </c>
      <c r="AJ169" s="57">
        <f>Servant!$AC$18+($F169+($F169*0.5*($D169-1)))*(AJ$3-1)</f>
        <v>9.32</v>
      </c>
      <c r="AK169" s="57">
        <f>Servant!$AC$18+($F169+($F169*0.5*($D169-1)))*(AK$3-1)</f>
        <v>9.3600000000000012</v>
      </c>
    </row>
    <row r="170" spans="2:37" x14ac:dyDescent="0.3">
      <c r="B170" s="287"/>
      <c r="C170" s="291"/>
      <c r="D170" s="56">
        <v>4</v>
      </c>
      <c r="E170" s="56">
        <f>ServantLevelUPdStatus!$Q$18+(ServantLevelUPdStatus!$Q$18*0.5*($D170-1))</f>
        <v>0.05</v>
      </c>
      <c r="F170" s="56">
        <f>F169</f>
        <v>0.02</v>
      </c>
      <c r="H170" s="57">
        <f>Servant!$AC$18+($F170+($F170*0.5*($D170-1)))*(H$3-1)</f>
        <v>8.2000000000000011</v>
      </c>
      <c r="I170" s="57">
        <f>Servant!$AC$18+($F170+($F170*0.5*($D170-1)))*(I$3-1)</f>
        <v>8.2500000000000018</v>
      </c>
      <c r="J170" s="57">
        <f>Servant!$AC$18+($F170+($F170*0.5*($D170-1)))*(J$3-1)</f>
        <v>8.3000000000000007</v>
      </c>
      <c r="K170" s="57">
        <f>Servant!$AC$18+($F170+($F170*0.5*($D170-1)))*(K$3-1)</f>
        <v>8.3500000000000014</v>
      </c>
      <c r="L170" s="57">
        <f>Servant!$AC$18+($F170+($F170*0.5*($D170-1)))*(L$3-1)</f>
        <v>8.4</v>
      </c>
      <c r="M170" s="57">
        <f>Servant!$AC$18+($F170+($F170*0.5*($D170-1)))*(M$3-1)</f>
        <v>8.4500000000000011</v>
      </c>
      <c r="N170" s="57">
        <f>Servant!$AC$18+($F170+($F170*0.5*($D170-1)))*(N$3-1)</f>
        <v>8.5000000000000018</v>
      </c>
      <c r="O170" s="57">
        <f>Servant!$AC$18+($F170+($F170*0.5*($D170-1)))*(O$3-1)</f>
        <v>8.5500000000000007</v>
      </c>
      <c r="P170" s="57">
        <f>Servant!$AC$18+($F170+($F170*0.5*($D170-1)))*(P$3-1)</f>
        <v>8.6000000000000014</v>
      </c>
      <c r="Q170" s="57">
        <f>Servant!$AC$18+($F170+($F170*0.5*($D170-1)))*(Q$3-1)</f>
        <v>8.65</v>
      </c>
      <c r="R170" s="57">
        <f>Servant!$AC$18+($F170+($F170*0.5*($D170-1)))*(R$3-1)</f>
        <v>8.7000000000000011</v>
      </c>
      <c r="S170" s="57">
        <f>Servant!$AC$18+($F170+($F170*0.5*($D170-1)))*(S$3-1)</f>
        <v>8.7500000000000018</v>
      </c>
      <c r="T170" s="57">
        <f>Servant!$AC$18+($F170+($F170*0.5*($D170-1)))*(T$3-1)</f>
        <v>8.8000000000000007</v>
      </c>
      <c r="U170" s="57">
        <f>Servant!$AC$18+($F170+($F170*0.5*($D170-1)))*(U$3-1)</f>
        <v>8.8500000000000014</v>
      </c>
      <c r="V170" s="57">
        <f>Servant!$AC$18+($F170+($F170*0.5*($D170-1)))*(V$3-1)</f>
        <v>8.9</v>
      </c>
      <c r="W170" s="57">
        <f>Servant!$AC$18+($F170+($F170*0.5*($D170-1)))*(W$3-1)</f>
        <v>8.9500000000000011</v>
      </c>
      <c r="X170" s="57">
        <f>Servant!$AC$18+($F170+($F170*0.5*($D170-1)))*(X$3-1)</f>
        <v>9.0000000000000018</v>
      </c>
      <c r="Y170" s="57">
        <f>Servant!$AC$18+($F170+($F170*0.5*($D170-1)))*(Y$3-1)</f>
        <v>9.0500000000000007</v>
      </c>
      <c r="Z170" s="57">
        <f>Servant!$AC$18+($F170+($F170*0.5*($D170-1)))*(Z$3-1)</f>
        <v>9.1000000000000014</v>
      </c>
      <c r="AA170" s="57">
        <f>Servant!$AC$18+($F170+($F170*0.5*($D170-1)))*(AA$3-1)</f>
        <v>9.15</v>
      </c>
      <c r="AB170" s="57">
        <f>Servant!$AC$18+($F170+($F170*0.5*($D170-1)))*(AB$3-1)</f>
        <v>9.2000000000000011</v>
      </c>
      <c r="AC170" s="57">
        <f>Servant!$AC$18+($F170+($F170*0.5*($D170-1)))*(AC$3-1)</f>
        <v>9.2500000000000018</v>
      </c>
      <c r="AD170" s="57">
        <f>Servant!$AC$18+($F170+($F170*0.5*($D170-1)))*(AD$3-1)</f>
        <v>9.3000000000000007</v>
      </c>
      <c r="AE170" s="57">
        <f>Servant!$AC$18+($F170+($F170*0.5*($D170-1)))*(AE$3-1)</f>
        <v>9.3500000000000014</v>
      </c>
      <c r="AF170" s="57">
        <f>Servant!$AC$18+($F170+($F170*0.5*($D170-1)))*(AF$3-1)</f>
        <v>9.4000000000000021</v>
      </c>
      <c r="AG170" s="57">
        <f>Servant!$AC$18+($F170+($F170*0.5*($D170-1)))*(AG$3-1)</f>
        <v>9.4500000000000011</v>
      </c>
      <c r="AH170" s="57">
        <f>Servant!$AC$18+($F170+($F170*0.5*($D170-1)))*(AH$3-1)</f>
        <v>9.5000000000000018</v>
      </c>
      <c r="AI170" s="57">
        <f>Servant!$AC$18+($F170+($F170*0.5*($D170-1)))*(AI$3-1)</f>
        <v>9.5500000000000007</v>
      </c>
      <c r="AJ170" s="57">
        <f>Servant!$AC$18+($F170+($F170*0.5*($D170-1)))*(AJ$3-1)</f>
        <v>9.6000000000000014</v>
      </c>
      <c r="AK170" s="57">
        <f>Servant!$AC$18+($F170+($F170*0.5*($D170-1)))*(AK$3-1)</f>
        <v>9.6500000000000021</v>
      </c>
    </row>
    <row r="171" spans="2:37" x14ac:dyDescent="0.3">
      <c r="B171" s="287"/>
      <c r="C171" s="291"/>
      <c r="D171" s="56">
        <v>5</v>
      </c>
      <c r="E171" s="56">
        <f>ServantLevelUPdStatus!$Q$18+(ServantLevelUPdStatus!$Q$18*0.5*($D171-1))</f>
        <v>0.06</v>
      </c>
      <c r="F171" s="56">
        <f>F170</f>
        <v>0.02</v>
      </c>
      <c r="H171" s="57">
        <f>Servant!$AC$18+($F171+($F171*0.5*($D171-1)))*(H$3-1)</f>
        <v>8.2000000000000011</v>
      </c>
      <c r="I171" s="57">
        <f>Servant!$AC$18+($F171+($F171*0.5*($D171-1)))*(I$3-1)</f>
        <v>8.2600000000000016</v>
      </c>
      <c r="J171" s="57">
        <f>Servant!$AC$18+($F171+($F171*0.5*($D171-1)))*(J$3-1)</f>
        <v>8.32</v>
      </c>
      <c r="K171" s="57">
        <f>Servant!$AC$18+($F171+($F171*0.5*($D171-1)))*(K$3-1)</f>
        <v>8.3800000000000008</v>
      </c>
      <c r="L171" s="57">
        <f>Servant!$AC$18+($F171+($F171*0.5*($D171-1)))*(L$3-1)</f>
        <v>8.4400000000000013</v>
      </c>
      <c r="M171" s="57">
        <f>Servant!$AC$18+($F171+($F171*0.5*($D171-1)))*(M$3-1)</f>
        <v>8.5000000000000018</v>
      </c>
      <c r="N171" s="57">
        <f>Servant!$AC$18+($F171+($F171*0.5*($D171-1)))*(N$3-1)</f>
        <v>8.56</v>
      </c>
      <c r="O171" s="57">
        <f>Servant!$AC$18+($F171+($F171*0.5*($D171-1)))*(O$3-1)</f>
        <v>8.620000000000001</v>
      </c>
      <c r="P171" s="57">
        <f>Servant!$AC$18+($F171+($F171*0.5*($D171-1)))*(P$3-1)</f>
        <v>8.6800000000000015</v>
      </c>
      <c r="Q171" s="57">
        <f>Servant!$AC$18+($F171+($F171*0.5*($D171-1)))*(Q$3-1)</f>
        <v>8.740000000000002</v>
      </c>
      <c r="R171" s="57">
        <f>Servant!$AC$18+($F171+($F171*0.5*($D171-1)))*(R$3-1)</f>
        <v>8.8000000000000007</v>
      </c>
      <c r="S171" s="57">
        <f>Servant!$AC$18+($F171+($F171*0.5*($D171-1)))*(S$3-1)</f>
        <v>8.8600000000000012</v>
      </c>
      <c r="T171" s="57">
        <f>Servant!$AC$18+($F171+($F171*0.5*($D171-1)))*(T$3-1)</f>
        <v>8.9200000000000017</v>
      </c>
      <c r="U171" s="57">
        <f>Servant!$AC$18+($F171+($F171*0.5*($D171-1)))*(U$3-1)</f>
        <v>8.98</v>
      </c>
      <c r="V171" s="57">
        <f>Servant!$AC$18+($F171+($F171*0.5*($D171-1)))*(V$3-1)</f>
        <v>9.0400000000000009</v>
      </c>
      <c r="W171" s="57">
        <f>Servant!$AC$18+($F171+($F171*0.5*($D171-1)))*(W$3-1)</f>
        <v>9.1000000000000014</v>
      </c>
      <c r="X171" s="57">
        <f>Servant!$AC$18+($F171+($F171*0.5*($D171-1)))*(X$3-1)</f>
        <v>9.16</v>
      </c>
      <c r="Y171" s="57">
        <f>Servant!$AC$18+($F171+($F171*0.5*($D171-1)))*(Y$3-1)</f>
        <v>9.2200000000000006</v>
      </c>
      <c r="Z171" s="57">
        <f>Servant!$AC$18+($F171+($F171*0.5*($D171-1)))*(Z$3-1)</f>
        <v>9.2800000000000011</v>
      </c>
      <c r="AA171" s="57">
        <f>Servant!$AC$18+($F171+($F171*0.5*($D171-1)))*(AA$3-1)</f>
        <v>9.3400000000000016</v>
      </c>
      <c r="AB171" s="57">
        <f>Servant!$AC$18+($F171+($F171*0.5*($D171-1)))*(AB$3-1)</f>
        <v>9.4</v>
      </c>
      <c r="AC171" s="57">
        <f>Servant!$AC$18+($F171+($F171*0.5*($D171-1)))*(AC$3-1)</f>
        <v>9.4600000000000009</v>
      </c>
      <c r="AD171" s="57">
        <f>Servant!$AC$18+($F171+($F171*0.5*($D171-1)))*(AD$3-1)</f>
        <v>9.5200000000000014</v>
      </c>
      <c r="AE171" s="57">
        <f>Servant!$AC$18+($F171+($F171*0.5*($D171-1)))*(AE$3-1)</f>
        <v>9.5800000000000018</v>
      </c>
      <c r="AF171" s="57">
        <f>Servant!$AC$18+($F171+($F171*0.5*($D171-1)))*(AF$3-1)</f>
        <v>9.64</v>
      </c>
      <c r="AG171" s="57">
        <f>Servant!$AC$18+($F171+($F171*0.5*($D171-1)))*(AG$3-1)</f>
        <v>9.7000000000000011</v>
      </c>
      <c r="AH171" s="57">
        <f>Servant!$AC$18+($F171+($F171*0.5*($D171-1)))*(AH$3-1)</f>
        <v>9.7600000000000016</v>
      </c>
      <c r="AI171" s="57">
        <f>Servant!$AC$18+($F171+($F171*0.5*($D171-1)))*(AI$3-1)</f>
        <v>9.82</v>
      </c>
      <c r="AJ171" s="57">
        <f>Servant!$AC$18+($F171+($F171*0.5*($D171-1)))*(AJ$3-1)</f>
        <v>9.8800000000000008</v>
      </c>
      <c r="AK171" s="57">
        <f>Servant!$AC$18+($F171+($F171*0.5*($D171-1)))*(AK$3-1)</f>
        <v>9.9400000000000013</v>
      </c>
    </row>
    <row r="172" spans="2:37" x14ac:dyDescent="0.3">
      <c r="B172" s="287"/>
      <c r="C172" s="292" t="s">
        <v>245</v>
      </c>
      <c r="D172" s="58">
        <v>4</v>
      </c>
      <c r="E172" s="58">
        <f>ServantLevelUPdStatus!$Q$22+(ServantLevelUPdStatus!$Q$22*0.5*($D172-1))</f>
        <v>0.05</v>
      </c>
      <c r="F172" s="58">
        <f>ServantLevelUPdStatus!Q$22</f>
        <v>0.02</v>
      </c>
      <c r="H172" s="59">
        <f>Servant!$AC$22+($F172+($F172*0.5*($D172-1)))*(H$3-1)</f>
        <v>8.3000000000000007</v>
      </c>
      <c r="I172" s="59">
        <f>Servant!$AC$22+($F172+($F172*0.5*($D172-1)))*(I$3-1)</f>
        <v>8.3500000000000014</v>
      </c>
      <c r="J172" s="59">
        <f>Servant!$AC$22+($F172+($F172*0.5*($D172-1)))*(J$3-1)</f>
        <v>8.4</v>
      </c>
      <c r="K172" s="59">
        <f>Servant!$AC$22+($F172+($F172*0.5*($D172-1)))*(K$3-1)</f>
        <v>8.4500000000000011</v>
      </c>
      <c r="L172" s="59">
        <f>Servant!$AC$22+($F172+($F172*0.5*($D172-1)))*(L$3-1)</f>
        <v>8.5</v>
      </c>
      <c r="M172" s="59">
        <f>Servant!$AC$22+($F172+($F172*0.5*($D172-1)))*(M$3-1)</f>
        <v>8.5500000000000007</v>
      </c>
      <c r="N172" s="59">
        <f>Servant!$AC$22+($F172+($F172*0.5*($D172-1)))*(N$3-1)</f>
        <v>8.6000000000000014</v>
      </c>
      <c r="O172" s="59">
        <f>Servant!$AC$22+($F172+($F172*0.5*($D172-1)))*(O$3-1)</f>
        <v>8.65</v>
      </c>
      <c r="P172" s="59">
        <f>Servant!$AC$22+($F172+($F172*0.5*($D172-1)))*(P$3-1)</f>
        <v>8.7000000000000011</v>
      </c>
      <c r="Q172" s="59">
        <f>Servant!$AC$22+($F172+($F172*0.5*($D172-1)))*(Q$3-1)</f>
        <v>8.75</v>
      </c>
      <c r="R172" s="59">
        <f>Servant!$AC$22+($F172+($F172*0.5*($D172-1)))*(R$3-1)</f>
        <v>8.8000000000000007</v>
      </c>
      <c r="S172" s="59">
        <f>Servant!$AC$22+($F172+($F172*0.5*($D172-1)))*(S$3-1)</f>
        <v>8.8500000000000014</v>
      </c>
      <c r="T172" s="59">
        <f>Servant!$AC$22+($F172+($F172*0.5*($D172-1)))*(T$3-1)</f>
        <v>8.9</v>
      </c>
      <c r="U172" s="59">
        <f>Servant!$AC$22+($F172+($F172*0.5*($D172-1)))*(U$3-1)</f>
        <v>8.9500000000000011</v>
      </c>
      <c r="V172" s="59">
        <f>Servant!$AC$22+($F172+($F172*0.5*($D172-1)))*(V$3-1)</f>
        <v>9</v>
      </c>
      <c r="W172" s="59">
        <f>Servant!$AC$22+($F172+($F172*0.5*($D172-1)))*(W$3-1)</f>
        <v>9.0500000000000007</v>
      </c>
      <c r="X172" s="59">
        <f>Servant!$AC$22+($F172+($F172*0.5*($D172-1)))*(X$3-1)</f>
        <v>9.1000000000000014</v>
      </c>
      <c r="Y172" s="59">
        <f>Servant!$AC$22+($F172+($F172*0.5*($D172-1)))*(Y$3-1)</f>
        <v>9.15</v>
      </c>
      <c r="Z172" s="59">
        <f>Servant!$AC$22+($F172+($F172*0.5*($D172-1)))*(Z$3-1)</f>
        <v>9.2000000000000011</v>
      </c>
      <c r="AA172" s="59">
        <f>Servant!$AC$22+($F172+($F172*0.5*($D172-1)))*(AA$3-1)</f>
        <v>9.25</v>
      </c>
      <c r="AB172" s="59">
        <f>Servant!$AC$22+($F172+($F172*0.5*($D172-1)))*(AB$3-1)</f>
        <v>9.3000000000000007</v>
      </c>
      <c r="AC172" s="59">
        <f>Servant!$AC$22+($F172+($F172*0.5*($D172-1)))*(AC$3-1)</f>
        <v>9.3500000000000014</v>
      </c>
      <c r="AD172" s="59">
        <f>Servant!$AC$22+($F172+($F172*0.5*($D172-1)))*(AD$3-1)</f>
        <v>9.4</v>
      </c>
      <c r="AE172" s="59">
        <f>Servant!$AC$22+($F172+($F172*0.5*($D172-1)))*(AE$3-1)</f>
        <v>9.4500000000000011</v>
      </c>
      <c r="AF172" s="59">
        <f>Servant!$AC$22+($F172+($F172*0.5*($D172-1)))*(AF$3-1)</f>
        <v>9.5</v>
      </c>
      <c r="AG172" s="59">
        <f>Servant!$AC$22+($F172+($F172*0.5*($D172-1)))*(AG$3-1)</f>
        <v>9.5500000000000007</v>
      </c>
      <c r="AH172" s="59">
        <f>Servant!$AC$22+($F172+($F172*0.5*($D172-1)))*(AH$3-1)</f>
        <v>9.6000000000000014</v>
      </c>
      <c r="AI172" s="59">
        <f>Servant!$AC$22+($F172+($F172*0.5*($D172-1)))*(AI$3-1)</f>
        <v>9.65</v>
      </c>
      <c r="AJ172" s="59">
        <f>Servant!$AC$22+($F172+($F172*0.5*($D172-1)))*(AJ$3-1)</f>
        <v>9.7000000000000011</v>
      </c>
      <c r="AK172" s="59">
        <f>Servant!$AC$22+($F172+($F172*0.5*($D172-1)))*(AK$3-1)</f>
        <v>9.75</v>
      </c>
    </row>
    <row r="173" spans="2:37" x14ac:dyDescent="0.3">
      <c r="B173" s="287"/>
      <c r="C173" s="292"/>
      <c r="D173" s="58">
        <v>5</v>
      </c>
      <c r="E173" s="58">
        <f>ServantLevelUPdStatus!$Q$22+(ServantLevelUPdStatus!$Q$22*0.5*($D173-1))</f>
        <v>0.06</v>
      </c>
      <c r="F173" s="58">
        <f>F172</f>
        <v>0.02</v>
      </c>
      <c r="H173" s="59">
        <f>Servant!$AC$22+($F173+($F173*0.5*($D173-1)))*(H$3-1)</f>
        <v>8.3000000000000007</v>
      </c>
      <c r="I173" s="59">
        <f>Servant!$AC$22+($F173+($F173*0.5*($D173-1)))*(I$3-1)</f>
        <v>8.3600000000000012</v>
      </c>
      <c r="J173" s="59">
        <f>Servant!$AC$22+($F173+($F173*0.5*($D173-1)))*(J$3-1)</f>
        <v>8.42</v>
      </c>
      <c r="K173" s="59">
        <f>Servant!$AC$22+($F173+($F173*0.5*($D173-1)))*(K$3-1)</f>
        <v>8.48</v>
      </c>
      <c r="L173" s="59">
        <f>Servant!$AC$22+($F173+($F173*0.5*($D173-1)))*(L$3-1)</f>
        <v>8.5400000000000009</v>
      </c>
      <c r="M173" s="59">
        <f>Servant!$AC$22+($F173+($F173*0.5*($D173-1)))*(M$3-1)</f>
        <v>8.6000000000000014</v>
      </c>
      <c r="N173" s="59">
        <f>Servant!$AC$22+($F173+($F173*0.5*($D173-1)))*(N$3-1)</f>
        <v>8.66</v>
      </c>
      <c r="O173" s="59">
        <f>Servant!$AC$22+($F173+($F173*0.5*($D173-1)))*(O$3-1)</f>
        <v>8.7200000000000006</v>
      </c>
      <c r="P173" s="59">
        <f>Servant!$AC$22+($F173+($F173*0.5*($D173-1)))*(P$3-1)</f>
        <v>8.7800000000000011</v>
      </c>
      <c r="Q173" s="59">
        <f>Servant!$AC$22+($F173+($F173*0.5*($D173-1)))*(Q$3-1)</f>
        <v>8.84</v>
      </c>
      <c r="R173" s="59">
        <f>Servant!$AC$22+($F173+($F173*0.5*($D173-1)))*(R$3-1)</f>
        <v>8.9</v>
      </c>
      <c r="S173" s="59">
        <f>Servant!$AC$22+($F173+($F173*0.5*($D173-1)))*(S$3-1)</f>
        <v>8.9600000000000009</v>
      </c>
      <c r="T173" s="59">
        <f>Servant!$AC$22+($F173+($F173*0.5*($D173-1)))*(T$3-1)</f>
        <v>9.0200000000000014</v>
      </c>
      <c r="U173" s="59">
        <f>Servant!$AC$22+($F173+($F173*0.5*($D173-1)))*(U$3-1)</f>
        <v>9.08</v>
      </c>
      <c r="V173" s="59">
        <f>Servant!$AC$22+($F173+($F173*0.5*($D173-1)))*(V$3-1)</f>
        <v>9.14</v>
      </c>
      <c r="W173" s="59">
        <f>Servant!$AC$22+($F173+($F173*0.5*($D173-1)))*(W$3-1)</f>
        <v>9.2000000000000011</v>
      </c>
      <c r="X173" s="59">
        <f>Servant!$AC$22+($F173+($F173*0.5*($D173-1)))*(X$3-1)</f>
        <v>9.2600000000000016</v>
      </c>
      <c r="Y173" s="59">
        <f>Servant!$AC$22+($F173+($F173*0.5*($D173-1)))*(Y$3-1)</f>
        <v>9.32</v>
      </c>
      <c r="Z173" s="59">
        <f>Servant!$AC$22+($F173+($F173*0.5*($D173-1)))*(Z$3-1)</f>
        <v>9.3800000000000008</v>
      </c>
      <c r="AA173" s="59">
        <f>Servant!$AC$22+($F173+($F173*0.5*($D173-1)))*(AA$3-1)</f>
        <v>9.4400000000000013</v>
      </c>
      <c r="AB173" s="59">
        <f>Servant!$AC$22+($F173+($F173*0.5*($D173-1)))*(AB$3-1)</f>
        <v>9.5</v>
      </c>
      <c r="AC173" s="59">
        <f>Servant!$AC$22+($F173+($F173*0.5*($D173-1)))*(AC$3-1)</f>
        <v>9.56</v>
      </c>
      <c r="AD173" s="59">
        <f>Servant!$AC$22+($F173+($F173*0.5*($D173-1)))*(AD$3-1)</f>
        <v>9.620000000000001</v>
      </c>
      <c r="AE173" s="59">
        <f>Servant!$AC$22+($F173+($F173*0.5*($D173-1)))*(AE$3-1)</f>
        <v>9.68</v>
      </c>
      <c r="AF173" s="59">
        <f>Servant!$AC$22+($F173+($F173*0.5*($D173-1)))*(AF$3-1)</f>
        <v>9.74</v>
      </c>
      <c r="AG173" s="59">
        <f>Servant!$AC$22+($F173+($F173*0.5*($D173-1)))*(AG$3-1)</f>
        <v>9.8000000000000007</v>
      </c>
      <c r="AH173" s="59">
        <f>Servant!$AC$22+($F173+($F173*0.5*($D173-1)))*(AH$3-1)</f>
        <v>9.8600000000000012</v>
      </c>
      <c r="AI173" s="59">
        <f>Servant!$AC$22+($F173+($F173*0.5*($D173-1)))*(AI$3-1)</f>
        <v>9.92</v>
      </c>
      <c r="AJ173" s="59">
        <f>Servant!$AC$22+($F173+($F173*0.5*($D173-1)))*(AJ$3-1)</f>
        <v>9.98</v>
      </c>
      <c r="AK173" s="59">
        <f>Servant!$AC$22+($F173+($F173*0.5*($D173-1)))*(AK$3-1)</f>
        <v>10.040000000000001</v>
      </c>
    </row>
    <row r="174" spans="2:37" x14ac:dyDescent="0.3">
      <c r="B174" s="287"/>
      <c r="C174" s="292"/>
      <c r="D174" s="58">
        <v>6</v>
      </c>
      <c r="E174" s="58">
        <f>ServantLevelUPdStatus!$Q$22+(ServantLevelUPdStatus!$Q$22*0.5*($D174-1))</f>
        <v>7.0000000000000007E-2</v>
      </c>
      <c r="F174" s="58">
        <f>F173</f>
        <v>0.02</v>
      </c>
      <c r="H174" s="59">
        <f>Servant!$AC$22+($F174+($F174*0.5*($D174-1)))*(H$3-1)</f>
        <v>8.3000000000000007</v>
      </c>
      <c r="I174" s="59">
        <f>Servant!$AC$22+($F174+($F174*0.5*($D174-1)))*(I$3-1)</f>
        <v>8.370000000000001</v>
      </c>
      <c r="J174" s="59">
        <f>Servant!$AC$22+($F174+($F174*0.5*($D174-1)))*(J$3-1)</f>
        <v>8.4400000000000013</v>
      </c>
      <c r="K174" s="59">
        <f>Servant!$AC$22+($F174+($F174*0.5*($D174-1)))*(K$3-1)</f>
        <v>8.5100000000000016</v>
      </c>
      <c r="L174" s="59">
        <f>Servant!$AC$22+($F174+($F174*0.5*($D174-1)))*(L$3-1)</f>
        <v>8.58</v>
      </c>
      <c r="M174" s="59">
        <f>Servant!$AC$22+($F174+($F174*0.5*($D174-1)))*(M$3-1)</f>
        <v>8.65</v>
      </c>
      <c r="N174" s="59">
        <f>Servant!$AC$22+($F174+($F174*0.5*($D174-1)))*(N$3-1)</f>
        <v>8.7200000000000006</v>
      </c>
      <c r="O174" s="59">
        <f>Servant!$AC$22+($F174+($F174*0.5*($D174-1)))*(O$3-1)</f>
        <v>8.7900000000000009</v>
      </c>
      <c r="P174" s="59">
        <f>Servant!$AC$22+($F174+($F174*0.5*($D174-1)))*(P$3-1)</f>
        <v>8.8600000000000012</v>
      </c>
      <c r="Q174" s="59">
        <f>Servant!$AC$22+($F174+($F174*0.5*($D174-1)))*(Q$3-1)</f>
        <v>8.9300000000000015</v>
      </c>
      <c r="R174" s="59">
        <f>Servant!$AC$22+($F174+($F174*0.5*($D174-1)))*(R$3-1)</f>
        <v>9</v>
      </c>
      <c r="S174" s="59">
        <f>Servant!$AC$22+($F174+($F174*0.5*($D174-1)))*(S$3-1)</f>
        <v>9.07</v>
      </c>
      <c r="T174" s="59">
        <f>Servant!$AC$22+($F174+($F174*0.5*($D174-1)))*(T$3-1)</f>
        <v>9.14</v>
      </c>
      <c r="U174" s="59">
        <f>Servant!$AC$22+($F174+($F174*0.5*($D174-1)))*(U$3-1)</f>
        <v>9.2100000000000009</v>
      </c>
      <c r="V174" s="59">
        <f>Servant!$AC$22+($F174+($F174*0.5*($D174-1)))*(V$3-1)</f>
        <v>9.2800000000000011</v>
      </c>
      <c r="W174" s="59">
        <f>Servant!$AC$22+($F174+($F174*0.5*($D174-1)))*(W$3-1)</f>
        <v>9.3500000000000014</v>
      </c>
      <c r="X174" s="59">
        <f>Servant!$AC$22+($F174+($F174*0.5*($D174-1)))*(X$3-1)</f>
        <v>9.4200000000000017</v>
      </c>
      <c r="Y174" s="59">
        <f>Servant!$AC$22+($F174+($F174*0.5*($D174-1)))*(Y$3-1)</f>
        <v>9.49</v>
      </c>
      <c r="Z174" s="59">
        <f>Servant!$AC$22+($F174+($F174*0.5*($D174-1)))*(Z$3-1)</f>
        <v>9.56</v>
      </c>
      <c r="AA174" s="59">
        <f>Servant!$AC$22+($F174+($F174*0.5*($D174-1)))*(AA$3-1)</f>
        <v>9.6300000000000008</v>
      </c>
      <c r="AB174" s="59">
        <f>Servant!$AC$22+($F174+($F174*0.5*($D174-1)))*(AB$3-1)</f>
        <v>9.7000000000000011</v>
      </c>
      <c r="AC174" s="59">
        <f>Servant!$AC$22+($F174+($F174*0.5*($D174-1)))*(AC$3-1)</f>
        <v>9.7700000000000014</v>
      </c>
      <c r="AD174" s="59">
        <f>Servant!$AC$22+($F174+($F174*0.5*($D174-1)))*(AD$3-1)</f>
        <v>9.84</v>
      </c>
      <c r="AE174" s="59">
        <f>Servant!$AC$22+($F174+($F174*0.5*($D174-1)))*(AE$3-1)</f>
        <v>9.91</v>
      </c>
      <c r="AF174" s="59">
        <f>Servant!$AC$22+($F174+($F174*0.5*($D174-1)))*(AF$3-1)</f>
        <v>9.98</v>
      </c>
      <c r="AG174" s="59">
        <f>Servant!$AC$22+($F174+($F174*0.5*($D174-1)))*(AG$3-1)</f>
        <v>10.050000000000001</v>
      </c>
      <c r="AH174" s="59">
        <f>Servant!$AC$22+($F174+($F174*0.5*($D174-1)))*(AH$3-1)</f>
        <v>10.120000000000001</v>
      </c>
      <c r="AI174" s="59">
        <f>Servant!$AC$22+($F174+($F174*0.5*($D174-1)))*(AI$3-1)</f>
        <v>10.190000000000001</v>
      </c>
      <c r="AJ174" s="59">
        <f>Servant!$AC$22+($F174+($F174*0.5*($D174-1)))*(AJ$3-1)</f>
        <v>10.260000000000002</v>
      </c>
      <c r="AK174" s="59">
        <f>Servant!$AC$22+($F174+($F174*0.5*($D174-1)))*(AK$3-1)</f>
        <v>10.330000000000002</v>
      </c>
    </row>
    <row r="176" spans="2:37" x14ac:dyDescent="0.3">
      <c r="B176" s="286" t="s">
        <v>256</v>
      </c>
      <c r="C176" s="289" t="s">
        <v>217</v>
      </c>
      <c r="D176" s="54">
        <v>1</v>
      </c>
      <c r="E176" s="54">
        <f>ServantLevelUPdStatus!$R$6+(ServantLevelUPdStatus!$R$6*0.5*($D176-1))</f>
        <v>0.1</v>
      </c>
      <c r="F176" s="54">
        <f>ServantLevelUPdStatus!R$6</f>
        <v>0.1</v>
      </c>
      <c r="H176" s="55">
        <f>Servant!$AD$6+($F176+($F176*0.5*($D176-1)))*(H$3-1)</f>
        <v>0.1</v>
      </c>
      <c r="I176" s="55">
        <f>Servant!$AD$6+($F176+($F176*0.5*($D176-1)))*(I$3-1)</f>
        <v>0.2</v>
      </c>
      <c r="J176" s="55">
        <f>Servant!$AD$6+($F176+($F176*0.5*($D176-1)))*(J$3-1)</f>
        <v>0.30000000000000004</v>
      </c>
      <c r="K176" s="55">
        <f>Servant!$AD$6+($F176+($F176*0.5*($D176-1)))*(K$3-1)</f>
        <v>0.4</v>
      </c>
      <c r="L176" s="55">
        <f>Servant!$AD$6+($F176+($F176*0.5*($D176-1)))*(L$3-1)</f>
        <v>0.5</v>
      </c>
      <c r="M176" s="55">
        <f>Servant!$AD$6+($F176+($F176*0.5*($D176-1)))*(M$3-1)</f>
        <v>0.6</v>
      </c>
      <c r="N176" s="55">
        <f>Servant!$AD$6+($F176+($F176*0.5*($D176-1)))*(N$3-1)</f>
        <v>0.70000000000000007</v>
      </c>
      <c r="O176" s="55">
        <f>Servant!$AD$6+($F176+($F176*0.5*($D176-1)))*(O$3-1)</f>
        <v>0.8</v>
      </c>
      <c r="P176" s="55">
        <f>Servant!$AD$6+($F176+($F176*0.5*($D176-1)))*(P$3-1)</f>
        <v>0.9</v>
      </c>
      <c r="Q176" s="55">
        <f>Servant!$AD$6+($F176+($F176*0.5*($D176-1)))*(Q$3-1)</f>
        <v>1</v>
      </c>
      <c r="R176" s="55">
        <f>Servant!$AD$6+($F176+($F176*0.5*($D176-1)))*(R$3-1)</f>
        <v>1.1000000000000001</v>
      </c>
      <c r="S176" s="55">
        <f>Servant!$AD$6+($F176+($F176*0.5*($D176-1)))*(S$3-1)</f>
        <v>1.2000000000000002</v>
      </c>
      <c r="T176" s="55">
        <f>Servant!$AD$6+($F176+($F176*0.5*($D176-1)))*(T$3-1)</f>
        <v>1.3000000000000003</v>
      </c>
      <c r="U176" s="55">
        <f>Servant!$AD$6+($F176+($F176*0.5*($D176-1)))*(U$3-1)</f>
        <v>1.4000000000000001</v>
      </c>
      <c r="V176" s="55">
        <f>Servant!$AD$6+($F176+($F176*0.5*($D176-1)))*(V$3-1)</f>
        <v>1.5000000000000002</v>
      </c>
      <c r="W176" s="55">
        <f>Servant!$AD$6+($F176+($F176*0.5*($D176-1)))*(W$3-1)</f>
        <v>1.6</v>
      </c>
      <c r="X176" s="55">
        <f>Servant!$AD$6+($F176+($F176*0.5*($D176-1)))*(X$3-1)</f>
        <v>1.7000000000000002</v>
      </c>
      <c r="Y176" s="55">
        <f>Servant!$AD$6+($F176+($F176*0.5*($D176-1)))*(Y$3-1)</f>
        <v>1.8000000000000003</v>
      </c>
      <c r="Z176" s="55">
        <f>Servant!$AD$6+($F176+($F176*0.5*($D176-1)))*(Z$3-1)</f>
        <v>1.9000000000000001</v>
      </c>
      <c r="AA176" s="55">
        <f>Servant!$AD$6+($F176+($F176*0.5*($D176-1)))*(AA$3-1)</f>
        <v>2</v>
      </c>
      <c r="AB176" s="55">
        <f>Servant!$AD$6+($F176+($F176*0.5*($D176-1)))*(AB$3-1)</f>
        <v>2.1</v>
      </c>
      <c r="AC176" s="55">
        <f>Servant!$AD$6+($F176+($F176*0.5*($D176-1)))*(AC$3-1)</f>
        <v>2.2000000000000002</v>
      </c>
      <c r="AD176" s="55">
        <f>Servant!$AD$6+($F176+($F176*0.5*($D176-1)))*(AD$3-1)</f>
        <v>2.3000000000000003</v>
      </c>
      <c r="AE176" s="55">
        <f>Servant!$AD$6+($F176+($F176*0.5*($D176-1)))*(AE$3-1)</f>
        <v>2.4000000000000004</v>
      </c>
      <c r="AF176" s="55">
        <f>Servant!$AD$6+($F176+($F176*0.5*($D176-1)))*(AF$3-1)</f>
        <v>2.5000000000000004</v>
      </c>
      <c r="AG176" s="55">
        <f>Servant!$AD$6+($F176+($F176*0.5*($D176-1)))*(AG$3-1)</f>
        <v>2.6</v>
      </c>
      <c r="AH176" s="55">
        <f>Servant!$AD$6+($F176+($F176*0.5*($D176-1)))*(AH$3-1)</f>
        <v>2.7</v>
      </c>
      <c r="AI176" s="55">
        <f>Servant!$AD$6+($F176+($F176*0.5*($D176-1)))*(AI$3-1)</f>
        <v>2.8000000000000003</v>
      </c>
      <c r="AJ176" s="55">
        <f>Servant!$AD$6+($F176+($F176*0.5*($D176-1)))*(AJ$3-1)</f>
        <v>2.9000000000000004</v>
      </c>
      <c r="AK176" s="55">
        <f>Servant!$AD$6+($F176+($F176*0.5*($D176-1)))*(AK$3-1)</f>
        <v>3.0000000000000004</v>
      </c>
    </row>
    <row r="177" spans="2:37" x14ac:dyDescent="0.3">
      <c r="B177" s="287"/>
      <c r="C177" s="289"/>
      <c r="D177" s="54">
        <v>2</v>
      </c>
      <c r="E177" s="54">
        <f>ServantLevelUPdStatus!$R$6+(ServantLevelUPdStatus!$R$6*0.5*($D177-1))</f>
        <v>0.15000000000000002</v>
      </c>
      <c r="F177" s="54">
        <f>F176</f>
        <v>0.1</v>
      </c>
      <c r="H177" s="55">
        <f>Servant!$AD$6+($F177+($F177*0.5*($D177-1)))*(H$3-1)</f>
        <v>0.1</v>
      </c>
      <c r="I177" s="55">
        <f>Servant!$AD$6+($F177+($F177*0.5*($D177-1)))*(I$3-1)</f>
        <v>0.25</v>
      </c>
      <c r="J177" s="55">
        <f>Servant!$AD$6+($F177+($F177*0.5*($D177-1)))*(J$3-1)</f>
        <v>0.4</v>
      </c>
      <c r="K177" s="55">
        <f>Servant!$AD$6+($F177+($F177*0.5*($D177-1)))*(K$3-1)</f>
        <v>0.55000000000000004</v>
      </c>
      <c r="L177" s="55">
        <f>Servant!$AD$6+($F177+($F177*0.5*($D177-1)))*(L$3-1)</f>
        <v>0.70000000000000007</v>
      </c>
      <c r="M177" s="55">
        <f>Servant!$AD$6+($F177+($F177*0.5*($D177-1)))*(M$3-1)</f>
        <v>0.85000000000000009</v>
      </c>
      <c r="N177" s="55">
        <f>Servant!$AD$6+($F177+($F177*0.5*($D177-1)))*(N$3-1)</f>
        <v>1.0000000000000002</v>
      </c>
      <c r="O177" s="55">
        <f>Servant!$AD$6+($F177+($F177*0.5*($D177-1)))*(O$3-1)</f>
        <v>1.1500000000000004</v>
      </c>
      <c r="P177" s="55">
        <f>Servant!$AD$6+($F177+($F177*0.5*($D177-1)))*(P$3-1)</f>
        <v>1.3000000000000003</v>
      </c>
      <c r="Q177" s="55">
        <f>Servant!$AD$6+($F177+($F177*0.5*($D177-1)))*(Q$3-1)</f>
        <v>1.4500000000000002</v>
      </c>
      <c r="R177" s="55">
        <f>Servant!$AD$6+($F177+($F177*0.5*($D177-1)))*(R$3-1)</f>
        <v>1.6000000000000003</v>
      </c>
      <c r="S177" s="55">
        <f>Servant!$AD$6+($F177+($F177*0.5*($D177-1)))*(S$3-1)</f>
        <v>1.7500000000000004</v>
      </c>
      <c r="T177" s="55">
        <f>Servant!$AD$6+($F177+($F177*0.5*($D177-1)))*(T$3-1)</f>
        <v>1.9000000000000004</v>
      </c>
      <c r="U177" s="55">
        <f>Servant!$AD$6+($F177+($F177*0.5*($D177-1)))*(U$3-1)</f>
        <v>2.0500000000000003</v>
      </c>
      <c r="V177" s="55">
        <f>Servant!$AD$6+($F177+($F177*0.5*($D177-1)))*(V$3-1)</f>
        <v>2.2000000000000006</v>
      </c>
      <c r="W177" s="55">
        <f>Servant!$AD$6+($F177+($F177*0.5*($D177-1)))*(W$3-1)</f>
        <v>2.3500000000000005</v>
      </c>
      <c r="X177" s="55">
        <f>Servant!$AD$6+($F177+($F177*0.5*($D177-1)))*(X$3-1)</f>
        <v>2.5000000000000004</v>
      </c>
      <c r="Y177" s="55">
        <f>Servant!$AD$6+($F177+($F177*0.5*($D177-1)))*(Y$3-1)</f>
        <v>2.6500000000000004</v>
      </c>
      <c r="Z177" s="55">
        <f>Servant!$AD$6+($F177+($F177*0.5*($D177-1)))*(Z$3-1)</f>
        <v>2.8000000000000003</v>
      </c>
      <c r="AA177" s="55">
        <f>Servant!$AD$6+($F177+($F177*0.5*($D177-1)))*(AA$3-1)</f>
        <v>2.9500000000000006</v>
      </c>
      <c r="AB177" s="55">
        <f>Servant!$AD$6+($F177+($F177*0.5*($D177-1)))*(AB$3-1)</f>
        <v>3.1000000000000005</v>
      </c>
      <c r="AC177" s="55">
        <f>Servant!$AD$6+($F177+($F177*0.5*($D177-1)))*(AC$3-1)</f>
        <v>3.2500000000000004</v>
      </c>
      <c r="AD177" s="55">
        <f>Servant!$AD$6+($F177+($F177*0.5*($D177-1)))*(AD$3-1)</f>
        <v>3.4000000000000008</v>
      </c>
      <c r="AE177" s="55">
        <f>Servant!$AD$6+($F177+($F177*0.5*($D177-1)))*(AE$3-1)</f>
        <v>3.5500000000000007</v>
      </c>
      <c r="AF177" s="55">
        <f>Servant!$AD$6+($F177+($F177*0.5*($D177-1)))*(AF$3-1)</f>
        <v>3.7000000000000006</v>
      </c>
      <c r="AG177" s="55">
        <f>Servant!$AD$6+($F177+($F177*0.5*($D177-1)))*(AG$3-1)</f>
        <v>3.8500000000000005</v>
      </c>
      <c r="AH177" s="55">
        <f>Servant!$AD$6+($F177+($F177*0.5*($D177-1)))*(AH$3-1)</f>
        <v>4</v>
      </c>
      <c r="AI177" s="55">
        <f>Servant!$AD$6+($F177+($F177*0.5*($D177-1)))*(AI$3-1)</f>
        <v>4.1500000000000004</v>
      </c>
      <c r="AJ177" s="55">
        <f>Servant!$AD$6+($F177+($F177*0.5*($D177-1)))*(AJ$3-1)</f>
        <v>4.3000000000000007</v>
      </c>
      <c r="AK177" s="55">
        <f>Servant!$AD$6+($F177+($F177*0.5*($D177-1)))*(AK$3-1)</f>
        <v>4.45</v>
      </c>
    </row>
    <row r="178" spans="2:37" x14ac:dyDescent="0.3">
      <c r="B178" s="287"/>
      <c r="C178" s="289"/>
      <c r="D178" s="54">
        <v>3</v>
      </c>
      <c r="E178" s="54">
        <f>ServantLevelUPdStatus!$R$6+(ServantLevelUPdStatus!$R$6*0.5*($D178-1))</f>
        <v>0.2</v>
      </c>
      <c r="F178" s="54">
        <f>F177</f>
        <v>0.1</v>
      </c>
      <c r="H178" s="55">
        <f>Servant!$AD$6+($F178+($F178*0.5*($D178-1)))*(H$3-1)</f>
        <v>0.1</v>
      </c>
      <c r="I178" s="55">
        <f>Servant!$AD$6+($F178+($F178*0.5*($D178-1)))*(I$3-1)</f>
        <v>0.30000000000000004</v>
      </c>
      <c r="J178" s="55">
        <f>Servant!$AD$6+($F178+($F178*0.5*($D178-1)))*(J$3-1)</f>
        <v>0.5</v>
      </c>
      <c r="K178" s="55">
        <f>Servant!$AD$6+($F178+($F178*0.5*($D178-1)))*(K$3-1)</f>
        <v>0.70000000000000007</v>
      </c>
      <c r="L178" s="55">
        <f>Servant!$AD$6+($F178+($F178*0.5*($D178-1)))*(L$3-1)</f>
        <v>0.9</v>
      </c>
      <c r="M178" s="55">
        <f>Servant!$AD$6+($F178+($F178*0.5*($D178-1)))*(M$3-1)</f>
        <v>1.1000000000000001</v>
      </c>
      <c r="N178" s="55">
        <f>Servant!$AD$6+($F178+($F178*0.5*($D178-1)))*(N$3-1)</f>
        <v>1.3000000000000003</v>
      </c>
      <c r="O178" s="55">
        <f>Servant!$AD$6+($F178+($F178*0.5*($D178-1)))*(O$3-1)</f>
        <v>1.5000000000000002</v>
      </c>
      <c r="P178" s="55">
        <f>Servant!$AD$6+($F178+($F178*0.5*($D178-1)))*(P$3-1)</f>
        <v>1.7000000000000002</v>
      </c>
      <c r="Q178" s="55">
        <f>Servant!$AD$6+($F178+($F178*0.5*($D178-1)))*(Q$3-1)</f>
        <v>1.9000000000000001</v>
      </c>
      <c r="R178" s="55">
        <f>Servant!$AD$6+($F178+($F178*0.5*($D178-1)))*(R$3-1)</f>
        <v>2.1</v>
      </c>
      <c r="S178" s="55">
        <f>Servant!$AD$6+($F178+($F178*0.5*($D178-1)))*(S$3-1)</f>
        <v>2.3000000000000003</v>
      </c>
      <c r="T178" s="55">
        <f>Servant!$AD$6+($F178+($F178*0.5*($D178-1)))*(T$3-1)</f>
        <v>2.5000000000000004</v>
      </c>
      <c r="U178" s="55">
        <f>Servant!$AD$6+($F178+($F178*0.5*($D178-1)))*(U$3-1)</f>
        <v>2.7</v>
      </c>
      <c r="V178" s="55">
        <f>Servant!$AD$6+($F178+($F178*0.5*($D178-1)))*(V$3-1)</f>
        <v>2.9000000000000004</v>
      </c>
      <c r="W178" s="55">
        <f>Servant!$AD$6+($F178+($F178*0.5*($D178-1)))*(W$3-1)</f>
        <v>3.1</v>
      </c>
      <c r="X178" s="55">
        <f>Servant!$AD$6+($F178+($F178*0.5*($D178-1)))*(X$3-1)</f>
        <v>3.3000000000000003</v>
      </c>
      <c r="Y178" s="55">
        <f>Servant!$AD$6+($F178+($F178*0.5*($D178-1)))*(Y$3-1)</f>
        <v>3.5000000000000004</v>
      </c>
      <c r="Z178" s="55">
        <f>Servant!$AD$6+($F178+($F178*0.5*($D178-1)))*(Z$3-1)</f>
        <v>3.7</v>
      </c>
      <c r="AA178" s="55">
        <f>Servant!$AD$6+($F178+($F178*0.5*($D178-1)))*(AA$3-1)</f>
        <v>3.9000000000000004</v>
      </c>
      <c r="AB178" s="55">
        <f>Servant!$AD$6+($F178+($F178*0.5*($D178-1)))*(AB$3-1)</f>
        <v>4.0999999999999996</v>
      </c>
      <c r="AC178" s="55">
        <f>Servant!$AD$6+($F178+($F178*0.5*($D178-1)))*(AC$3-1)</f>
        <v>4.3</v>
      </c>
      <c r="AD178" s="55">
        <f>Servant!$AD$6+($F178+($F178*0.5*($D178-1)))*(AD$3-1)</f>
        <v>4.5</v>
      </c>
      <c r="AE178" s="55">
        <f>Servant!$AD$6+($F178+($F178*0.5*($D178-1)))*(AE$3-1)</f>
        <v>4.7</v>
      </c>
      <c r="AF178" s="55">
        <f>Servant!$AD$6+($F178+($F178*0.5*($D178-1)))*(AF$3-1)</f>
        <v>4.9000000000000004</v>
      </c>
      <c r="AG178" s="55">
        <f>Servant!$AD$6+($F178+($F178*0.5*($D178-1)))*(AG$3-1)</f>
        <v>5.0999999999999996</v>
      </c>
      <c r="AH178" s="55">
        <f>Servant!$AD$6+($F178+($F178*0.5*($D178-1)))*(AH$3-1)</f>
        <v>5.3</v>
      </c>
      <c r="AI178" s="55">
        <f>Servant!$AD$6+($F178+($F178*0.5*($D178-1)))*(AI$3-1)</f>
        <v>5.5</v>
      </c>
      <c r="AJ178" s="55">
        <f>Servant!$AD$6+($F178+($F178*0.5*($D178-1)))*(AJ$3-1)</f>
        <v>5.7</v>
      </c>
      <c r="AK178" s="55">
        <f>Servant!$AD$6+($F178+($F178*0.5*($D178-1)))*(AK$3-1)</f>
        <v>5.9</v>
      </c>
    </row>
    <row r="179" spans="2:37" x14ac:dyDescent="0.3">
      <c r="B179" s="287"/>
      <c r="C179" s="290" t="s">
        <v>243</v>
      </c>
      <c r="D179" s="52">
        <v>2</v>
      </c>
      <c r="E179" s="52">
        <f>ServantLevelUPdStatus!$R$12+(ServantLevelUPdStatus!$R$12*0.5*($D179-1))</f>
        <v>0.15000000000000002</v>
      </c>
      <c r="F179" s="52">
        <f>ServantLevelUPdStatus!R$12</f>
        <v>0.1</v>
      </c>
      <c r="H179" s="53">
        <f>Servant!$AD$12+($F179+($F179*0.5*($D179-1)))*(H$3-1)</f>
        <v>0.2</v>
      </c>
      <c r="I179" s="53">
        <f>Servant!$AD$12+($F179+($F179*0.5*($D179-1)))*(I$3-1)</f>
        <v>0.35000000000000003</v>
      </c>
      <c r="J179" s="53">
        <f>Servant!$AD$12+($F179+($F179*0.5*($D179-1)))*(J$3-1)</f>
        <v>0.5</v>
      </c>
      <c r="K179" s="53">
        <f>Servant!$AD$12+($F179+($F179*0.5*($D179-1)))*(K$3-1)</f>
        <v>0.65000000000000013</v>
      </c>
      <c r="L179" s="53">
        <f>Servant!$AD$12+($F179+($F179*0.5*($D179-1)))*(L$3-1)</f>
        <v>0.8</v>
      </c>
      <c r="M179" s="53">
        <f>Servant!$AD$12+($F179+($F179*0.5*($D179-1)))*(M$3-1)</f>
        <v>0.95000000000000018</v>
      </c>
      <c r="N179" s="53">
        <f>Servant!$AD$12+($F179+($F179*0.5*($D179-1)))*(N$3-1)</f>
        <v>1.1000000000000001</v>
      </c>
      <c r="O179" s="53">
        <f>Servant!$AD$12+($F179+($F179*0.5*($D179-1)))*(O$3-1)</f>
        <v>1.2500000000000002</v>
      </c>
      <c r="P179" s="53">
        <f>Servant!$AD$12+($F179+($F179*0.5*($D179-1)))*(P$3-1)</f>
        <v>1.4000000000000001</v>
      </c>
      <c r="Q179" s="53">
        <f>Servant!$AD$12+($F179+($F179*0.5*($D179-1)))*(Q$3-1)</f>
        <v>1.55</v>
      </c>
      <c r="R179" s="53">
        <f>Servant!$AD$12+($F179+($F179*0.5*($D179-1)))*(R$3-1)</f>
        <v>1.7000000000000002</v>
      </c>
      <c r="S179" s="53">
        <f>Servant!$AD$12+($F179+($F179*0.5*($D179-1)))*(S$3-1)</f>
        <v>1.8500000000000003</v>
      </c>
      <c r="T179" s="53">
        <f>Servant!$AD$12+($F179+($F179*0.5*($D179-1)))*(T$3-1)</f>
        <v>2.0000000000000004</v>
      </c>
      <c r="U179" s="53">
        <f>Servant!$AD$12+($F179+($F179*0.5*($D179-1)))*(U$3-1)</f>
        <v>2.1500000000000004</v>
      </c>
      <c r="V179" s="53">
        <f>Servant!$AD$12+($F179+($F179*0.5*($D179-1)))*(V$3-1)</f>
        <v>2.3000000000000007</v>
      </c>
      <c r="W179" s="53">
        <f>Servant!$AD$12+($F179+($F179*0.5*($D179-1)))*(W$3-1)</f>
        <v>2.4500000000000006</v>
      </c>
      <c r="X179" s="53">
        <f>Servant!$AD$12+($F179+($F179*0.5*($D179-1)))*(X$3-1)</f>
        <v>2.6000000000000005</v>
      </c>
      <c r="Y179" s="53">
        <f>Servant!$AD$12+($F179+($F179*0.5*($D179-1)))*(Y$3-1)</f>
        <v>2.7500000000000004</v>
      </c>
      <c r="Z179" s="53">
        <f>Servant!$AD$12+($F179+($F179*0.5*($D179-1)))*(Z$3-1)</f>
        <v>2.9000000000000004</v>
      </c>
      <c r="AA179" s="53">
        <f>Servant!$AD$12+($F179+($F179*0.5*($D179-1)))*(AA$3-1)</f>
        <v>3.0500000000000007</v>
      </c>
      <c r="AB179" s="53">
        <f>Servant!$AD$12+($F179+($F179*0.5*($D179-1)))*(AB$3-1)</f>
        <v>3.2000000000000006</v>
      </c>
      <c r="AC179" s="53">
        <f>Servant!$AD$12+($F179+($F179*0.5*($D179-1)))*(AC$3-1)</f>
        <v>3.3500000000000005</v>
      </c>
      <c r="AD179" s="53">
        <f>Servant!$AD$12+($F179+($F179*0.5*($D179-1)))*(AD$3-1)</f>
        <v>3.5000000000000009</v>
      </c>
      <c r="AE179" s="53">
        <f>Servant!$AD$12+($F179+($F179*0.5*($D179-1)))*(AE$3-1)</f>
        <v>3.6500000000000008</v>
      </c>
      <c r="AF179" s="53">
        <f>Servant!$AD$12+($F179+($F179*0.5*($D179-1)))*(AF$3-1)</f>
        <v>3.8000000000000007</v>
      </c>
      <c r="AG179" s="53">
        <f>Servant!$AD$12+($F179+($F179*0.5*($D179-1)))*(AG$3-1)</f>
        <v>3.9500000000000006</v>
      </c>
      <c r="AH179" s="53">
        <f>Servant!$AD$12+($F179+($F179*0.5*($D179-1)))*(AH$3-1)</f>
        <v>4.1000000000000005</v>
      </c>
      <c r="AI179" s="53">
        <f>Servant!$AD$12+($F179+($F179*0.5*($D179-1)))*(AI$3-1)</f>
        <v>4.2500000000000009</v>
      </c>
      <c r="AJ179" s="53">
        <f>Servant!$AD$12+($F179+($F179*0.5*($D179-1)))*(AJ$3-1)</f>
        <v>4.4000000000000012</v>
      </c>
      <c r="AK179" s="53">
        <f>Servant!$AD$12+($F179+($F179*0.5*($D179-1)))*(AK$3-1)</f>
        <v>4.5500000000000007</v>
      </c>
    </row>
    <row r="180" spans="2:37" x14ac:dyDescent="0.3">
      <c r="B180" s="287"/>
      <c r="C180" s="290"/>
      <c r="D180" s="52">
        <v>3</v>
      </c>
      <c r="E180" s="52">
        <f>ServantLevelUPdStatus!$R$12+(ServantLevelUPdStatus!$R$12*0.5*($D180-1))</f>
        <v>0.2</v>
      </c>
      <c r="F180" s="52">
        <f>F179</f>
        <v>0.1</v>
      </c>
      <c r="H180" s="53">
        <f>Servant!$AD$12+($F180+($F180*0.5*($D180-1)))*(H$3-1)</f>
        <v>0.2</v>
      </c>
      <c r="I180" s="53">
        <f>Servant!$AD$12+($F180+($F180*0.5*($D180-1)))*(I$3-1)</f>
        <v>0.4</v>
      </c>
      <c r="J180" s="53">
        <f>Servant!$AD$12+($F180+($F180*0.5*($D180-1)))*(J$3-1)</f>
        <v>0.60000000000000009</v>
      </c>
      <c r="K180" s="53">
        <f>Servant!$AD$12+($F180+($F180*0.5*($D180-1)))*(K$3-1)</f>
        <v>0.8</v>
      </c>
      <c r="L180" s="53">
        <f>Servant!$AD$12+($F180+($F180*0.5*($D180-1)))*(L$3-1)</f>
        <v>1</v>
      </c>
      <c r="M180" s="53">
        <f>Servant!$AD$12+($F180+($F180*0.5*($D180-1)))*(M$3-1)</f>
        <v>1.2</v>
      </c>
      <c r="N180" s="53">
        <f>Servant!$AD$12+($F180+($F180*0.5*($D180-1)))*(N$3-1)</f>
        <v>1.4000000000000001</v>
      </c>
      <c r="O180" s="53">
        <f>Servant!$AD$12+($F180+($F180*0.5*($D180-1)))*(O$3-1)</f>
        <v>1.6</v>
      </c>
      <c r="P180" s="53">
        <f>Servant!$AD$12+($F180+($F180*0.5*($D180-1)))*(P$3-1)</f>
        <v>1.8</v>
      </c>
      <c r="Q180" s="53">
        <f>Servant!$AD$12+($F180+($F180*0.5*($D180-1)))*(Q$3-1)</f>
        <v>2</v>
      </c>
      <c r="R180" s="53">
        <f>Servant!$AD$12+($F180+($F180*0.5*($D180-1)))*(R$3-1)</f>
        <v>2.2000000000000002</v>
      </c>
      <c r="S180" s="53">
        <f>Servant!$AD$12+($F180+($F180*0.5*($D180-1)))*(S$3-1)</f>
        <v>2.4000000000000004</v>
      </c>
      <c r="T180" s="53">
        <f>Servant!$AD$12+($F180+($F180*0.5*($D180-1)))*(T$3-1)</f>
        <v>2.6000000000000005</v>
      </c>
      <c r="U180" s="53">
        <f>Servant!$AD$12+($F180+($F180*0.5*($D180-1)))*(U$3-1)</f>
        <v>2.8000000000000003</v>
      </c>
      <c r="V180" s="53">
        <f>Servant!$AD$12+($F180+($F180*0.5*($D180-1)))*(V$3-1)</f>
        <v>3.0000000000000004</v>
      </c>
      <c r="W180" s="53">
        <f>Servant!$AD$12+($F180+($F180*0.5*($D180-1)))*(W$3-1)</f>
        <v>3.2</v>
      </c>
      <c r="X180" s="53">
        <f>Servant!$AD$12+($F180+($F180*0.5*($D180-1)))*(X$3-1)</f>
        <v>3.4000000000000004</v>
      </c>
      <c r="Y180" s="53">
        <f>Servant!$AD$12+($F180+($F180*0.5*($D180-1)))*(Y$3-1)</f>
        <v>3.6000000000000005</v>
      </c>
      <c r="Z180" s="53">
        <f>Servant!$AD$12+($F180+($F180*0.5*($D180-1)))*(Z$3-1)</f>
        <v>3.8000000000000003</v>
      </c>
      <c r="AA180" s="53">
        <f>Servant!$AD$12+($F180+($F180*0.5*($D180-1)))*(AA$3-1)</f>
        <v>4</v>
      </c>
      <c r="AB180" s="53">
        <f>Servant!$AD$12+($F180+($F180*0.5*($D180-1)))*(AB$3-1)</f>
        <v>4.2</v>
      </c>
      <c r="AC180" s="53">
        <f>Servant!$AD$12+($F180+($F180*0.5*($D180-1)))*(AC$3-1)</f>
        <v>4.4000000000000004</v>
      </c>
      <c r="AD180" s="53">
        <f>Servant!$AD$12+($F180+($F180*0.5*($D180-1)))*(AD$3-1)</f>
        <v>4.6000000000000005</v>
      </c>
      <c r="AE180" s="53">
        <f>Servant!$AD$12+($F180+($F180*0.5*($D180-1)))*(AE$3-1)</f>
        <v>4.8000000000000007</v>
      </c>
      <c r="AF180" s="53">
        <f>Servant!$AD$12+($F180+($F180*0.5*($D180-1)))*(AF$3-1)</f>
        <v>5.0000000000000009</v>
      </c>
      <c r="AG180" s="53">
        <f>Servant!$AD$12+($F180+($F180*0.5*($D180-1)))*(AG$3-1)</f>
        <v>5.2</v>
      </c>
      <c r="AH180" s="53">
        <f>Servant!$AD$12+($F180+($F180*0.5*($D180-1)))*(AH$3-1)</f>
        <v>5.4</v>
      </c>
      <c r="AI180" s="53">
        <f>Servant!$AD$12+($F180+($F180*0.5*($D180-1)))*(AI$3-1)</f>
        <v>5.6000000000000005</v>
      </c>
      <c r="AJ180" s="53">
        <f>Servant!$AD$12+($F180+($F180*0.5*($D180-1)))*(AJ$3-1)</f>
        <v>5.8000000000000007</v>
      </c>
      <c r="AK180" s="53">
        <f>Servant!$AD$12+($F180+($F180*0.5*($D180-1)))*(AK$3-1)</f>
        <v>6.0000000000000009</v>
      </c>
    </row>
    <row r="181" spans="2:37" x14ac:dyDescent="0.3">
      <c r="B181" s="287"/>
      <c r="C181" s="290"/>
      <c r="D181" s="52">
        <v>4</v>
      </c>
      <c r="E181" s="52">
        <f>ServantLevelUPdStatus!$R$12+(ServantLevelUPdStatus!$R$12*0.5*($D181-1))</f>
        <v>0.25</v>
      </c>
      <c r="F181" s="52">
        <f>F180</f>
        <v>0.1</v>
      </c>
      <c r="H181" s="53">
        <f>Servant!$AD$12+($F181+($F181*0.5*($D181-1)))*(H$3-1)</f>
        <v>0.2</v>
      </c>
      <c r="I181" s="53">
        <f>Servant!$AD$12+($F181+($F181*0.5*($D181-1)))*(I$3-1)</f>
        <v>0.45</v>
      </c>
      <c r="J181" s="53">
        <f>Servant!$AD$12+($F181+($F181*0.5*($D181-1)))*(J$3-1)</f>
        <v>0.7</v>
      </c>
      <c r="K181" s="53">
        <f>Servant!$AD$12+($F181+($F181*0.5*($D181-1)))*(K$3-1)</f>
        <v>0.95</v>
      </c>
      <c r="L181" s="53">
        <f>Servant!$AD$12+($F181+($F181*0.5*($D181-1)))*(L$3-1)</f>
        <v>1.2</v>
      </c>
      <c r="M181" s="53">
        <f>Servant!$AD$12+($F181+($F181*0.5*($D181-1)))*(M$3-1)</f>
        <v>1.45</v>
      </c>
      <c r="N181" s="53">
        <f>Servant!$AD$12+($F181+($F181*0.5*($D181-1)))*(N$3-1)</f>
        <v>1.7</v>
      </c>
      <c r="O181" s="53">
        <f>Servant!$AD$12+($F181+($F181*0.5*($D181-1)))*(O$3-1)</f>
        <v>1.95</v>
      </c>
      <c r="P181" s="53">
        <f>Servant!$AD$12+($F181+($F181*0.5*($D181-1)))*(P$3-1)</f>
        <v>2.2000000000000002</v>
      </c>
      <c r="Q181" s="53">
        <f>Servant!$AD$12+($F181+($F181*0.5*($D181-1)))*(Q$3-1)</f>
        <v>2.4500000000000002</v>
      </c>
      <c r="R181" s="53">
        <f>Servant!$AD$12+($F181+($F181*0.5*($D181-1)))*(R$3-1)</f>
        <v>2.7</v>
      </c>
      <c r="S181" s="53">
        <f>Servant!$AD$12+($F181+($F181*0.5*($D181-1)))*(S$3-1)</f>
        <v>2.95</v>
      </c>
      <c r="T181" s="53">
        <f>Servant!$AD$12+($F181+($F181*0.5*($D181-1)))*(T$3-1)</f>
        <v>3.2</v>
      </c>
      <c r="U181" s="53">
        <f>Servant!$AD$12+($F181+($F181*0.5*($D181-1)))*(U$3-1)</f>
        <v>3.45</v>
      </c>
      <c r="V181" s="53">
        <f>Servant!$AD$12+($F181+($F181*0.5*($D181-1)))*(V$3-1)</f>
        <v>3.7</v>
      </c>
      <c r="W181" s="53">
        <f>Servant!$AD$12+($F181+($F181*0.5*($D181-1)))*(W$3-1)</f>
        <v>3.95</v>
      </c>
      <c r="X181" s="53">
        <f>Servant!$AD$12+($F181+($F181*0.5*($D181-1)))*(X$3-1)</f>
        <v>4.2</v>
      </c>
      <c r="Y181" s="53">
        <f>Servant!$AD$12+($F181+($F181*0.5*($D181-1)))*(Y$3-1)</f>
        <v>4.45</v>
      </c>
      <c r="Z181" s="53">
        <f>Servant!$AD$12+($F181+($F181*0.5*($D181-1)))*(Z$3-1)</f>
        <v>4.7</v>
      </c>
      <c r="AA181" s="53">
        <f>Servant!$AD$12+($F181+($F181*0.5*($D181-1)))*(AA$3-1)</f>
        <v>4.95</v>
      </c>
      <c r="AB181" s="53">
        <f>Servant!$AD$12+($F181+($F181*0.5*($D181-1)))*(AB$3-1)</f>
        <v>5.2</v>
      </c>
      <c r="AC181" s="53">
        <f>Servant!$AD$12+($F181+($F181*0.5*($D181-1)))*(AC$3-1)</f>
        <v>5.45</v>
      </c>
      <c r="AD181" s="53">
        <f>Servant!$AD$12+($F181+($F181*0.5*($D181-1)))*(AD$3-1)</f>
        <v>5.7</v>
      </c>
      <c r="AE181" s="53">
        <f>Servant!$AD$12+($F181+($F181*0.5*($D181-1)))*(AE$3-1)</f>
        <v>5.95</v>
      </c>
      <c r="AF181" s="53">
        <f>Servant!$AD$12+($F181+($F181*0.5*($D181-1)))*(AF$3-1)</f>
        <v>6.2</v>
      </c>
      <c r="AG181" s="53">
        <f>Servant!$AD$12+($F181+($F181*0.5*($D181-1)))*(AG$3-1)</f>
        <v>6.45</v>
      </c>
      <c r="AH181" s="53">
        <f>Servant!$AD$12+($F181+($F181*0.5*($D181-1)))*(AH$3-1)</f>
        <v>6.7</v>
      </c>
      <c r="AI181" s="53">
        <f>Servant!$AD$12+($F181+($F181*0.5*($D181-1)))*(AI$3-1)</f>
        <v>6.95</v>
      </c>
      <c r="AJ181" s="53">
        <f>Servant!$AD$12+($F181+($F181*0.5*($D181-1)))*(AJ$3-1)</f>
        <v>7.2</v>
      </c>
      <c r="AK181" s="53">
        <f>Servant!$AD$12+($F181+($F181*0.5*($D181-1)))*(AK$3-1)</f>
        <v>7.45</v>
      </c>
    </row>
    <row r="182" spans="2:37" x14ac:dyDescent="0.3">
      <c r="B182" s="287"/>
      <c r="C182" s="291" t="s">
        <v>244</v>
      </c>
      <c r="D182" s="56">
        <v>3</v>
      </c>
      <c r="E182" s="56">
        <f>ServantLevelUPdStatus!$R$18+(ServantLevelUPdStatus!$R$18*0.5*($D182-1))</f>
        <v>0.2</v>
      </c>
      <c r="F182" s="56">
        <f>ServantLevelUPdStatus!R$18</f>
        <v>0.1</v>
      </c>
      <c r="H182" s="57">
        <f>Servant!$AD$18+($F182+($F182*0.5*($D182-1)))*(H$3-1)</f>
        <v>0.3</v>
      </c>
      <c r="I182" s="57">
        <f>Servant!$AD$18+($F182+($F182*0.5*($D182-1)))*(I$3-1)</f>
        <v>0.5</v>
      </c>
      <c r="J182" s="57">
        <f>Servant!$AD$18+($F182+($F182*0.5*($D182-1)))*(J$3-1)</f>
        <v>0.7</v>
      </c>
      <c r="K182" s="57">
        <f>Servant!$AD$18+($F182+($F182*0.5*($D182-1)))*(K$3-1)</f>
        <v>0.90000000000000013</v>
      </c>
      <c r="L182" s="57">
        <f>Servant!$AD$18+($F182+($F182*0.5*($D182-1)))*(L$3-1)</f>
        <v>1.1000000000000001</v>
      </c>
      <c r="M182" s="57">
        <f>Servant!$AD$18+($F182+($F182*0.5*($D182-1)))*(M$3-1)</f>
        <v>1.3</v>
      </c>
      <c r="N182" s="57">
        <f>Servant!$AD$18+($F182+($F182*0.5*($D182-1)))*(N$3-1)</f>
        <v>1.5000000000000002</v>
      </c>
      <c r="O182" s="57">
        <f>Servant!$AD$18+($F182+($F182*0.5*($D182-1)))*(O$3-1)</f>
        <v>1.7000000000000002</v>
      </c>
      <c r="P182" s="57">
        <f>Servant!$AD$18+($F182+($F182*0.5*($D182-1)))*(P$3-1)</f>
        <v>1.9000000000000001</v>
      </c>
      <c r="Q182" s="57">
        <f>Servant!$AD$18+($F182+($F182*0.5*($D182-1)))*(Q$3-1)</f>
        <v>2.1</v>
      </c>
      <c r="R182" s="57">
        <f>Servant!$AD$18+($F182+($F182*0.5*($D182-1)))*(R$3-1)</f>
        <v>2.2999999999999998</v>
      </c>
      <c r="S182" s="57">
        <f>Servant!$AD$18+($F182+($F182*0.5*($D182-1)))*(S$3-1)</f>
        <v>2.5</v>
      </c>
      <c r="T182" s="57">
        <f>Servant!$AD$18+($F182+($F182*0.5*($D182-1)))*(T$3-1)</f>
        <v>2.7</v>
      </c>
      <c r="U182" s="57">
        <f>Servant!$AD$18+($F182+($F182*0.5*($D182-1)))*(U$3-1)</f>
        <v>2.9</v>
      </c>
      <c r="V182" s="57">
        <f>Servant!$AD$18+($F182+($F182*0.5*($D182-1)))*(V$3-1)</f>
        <v>3.1</v>
      </c>
      <c r="W182" s="57">
        <f>Servant!$AD$18+($F182+($F182*0.5*($D182-1)))*(W$3-1)</f>
        <v>3.3</v>
      </c>
      <c r="X182" s="57">
        <f>Servant!$AD$18+($F182+($F182*0.5*($D182-1)))*(X$3-1)</f>
        <v>3.5</v>
      </c>
      <c r="Y182" s="57">
        <f>Servant!$AD$18+($F182+($F182*0.5*($D182-1)))*(Y$3-1)</f>
        <v>3.7</v>
      </c>
      <c r="Z182" s="57">
        <f>Servant!$AD$18+($F182+($F182*0.5*($D182-1)))*(Z$3-1)</f>
        <v>3.9</v>
      </c>
      <c r="AA182" s="57">
        <f>Servant!$AD$18+($F182+($F182*0.5*($D182-1)))*(AA$3-1)</f>
        <v>4.1000000000000005</v>
      </c>
      <c r="AB182" s="57">
        <f>Servant!$AD$18+($F182+($F182*0.5*($D182-1)))*(AB$3-1)</f>
        <v>4.3</v>
      </c>
      <c r="AC182" s="57">
        <f>Servant!$AD$18+($F182+($F182*0.5*($D182-1)))*(AC$3-1)</f>
        <v>4.5</v>
      </c>
      <c r="AD182" s="57">
        <f>Servant!$AD$18+($F182+($F182*0.5*($D182-1)))*(AD$3-1)</f>
        <v>4.7</v>
      </c>
      <c r="AE182" s="57">
        <f>Servant!$AD$18+($F182+($F182*0.5*($D182-1)))*(AE$3-1)</f>
        <v>4.9000000000000004</v>
      </c>
      <c r="AF182" s="57">
        <f>Servant!$AD$18+($F182+($F182*0.5*($D182-1)))*(AF$3-1)</f>
        <v>5.1000000000000005</v>
      </c>
      <c r="AG182" s="57">
        <f>Servant!$AD$18+($F182+($F182*0.5*($D182-1)))*(AG$3-1)</f>
        <v>5.3</v>
      </c>
      <c r="AH182" s="57">
        <f>Servant!$AD$18+($F182+($F182*0.5*($D182-1)))*(AH$3-1)</f>
        <v>5.5</v>
      </c>
      <c r="AI182" s="57">
        <f>Servant!$AD$18+($F182+($F182*0.5*($D182-1)))*(AI$3-1)</f>
        <v>5.7</v>
      </c>
      <c r="AJ182" s="57">
        <f>Servant!$AD$18+($F182+($F182*0.5*($D182-1)))*(AJ$3-1)</f>
        <v>5.9</v>
      </c>
      <c r="AK182" s="57">
        <f>Servant!$AD$18+($F182+($F182*0.5*($D182-1)))*(AK$3-1)</f>
        <v>6.1000000000000005</v>
      </c>
    </row>
    <row r="183" spans="2:37" x14ac:dyDescent="0.3">
      <c r="B183" s="287"/>
      <c r="C183" s="291"/>
      <c r="D183" s="56">
        <v>4</v>
      </c>
      <c r="E183" s="56">
        <f>ServantLevelUPdStatus!$R$18+(ServantLevelUPdStatus!$R$18*0.5*($D183-1))</f>
        <v>0.25</v>
      </c>
      <c r="F183" s="56">
        <f>F182</f>
        <v>0.1</v>
      </c>
      <c r="H183" s="57">
        <f>Servant!$AD$18+($F183+($F183*0.5*($D183-1)))*(H$3-1)</f>
        <v>0.3</v>
      </c>
      <c r="I183" s="57">
        <f>Servant!$AD$18+($F183+($F183*0.5*($D183-1)))*(I$3-1)</f>
        <v>0.55000000000000004</v>
      </c>
      <c r="J183" s="57">
        <f>Servant!$AD$18+($F183+($F183*0.5*($D183-1)))*(J$3-1)</f>
        <v>0.8</v>
      </c>
      <c r="K183" s="57">
        <f>Servant!$AD$18+($F183+($F183*0.5*($D183-1)))*(K$3-1)</f>
        <v>1.05</v>
      </c>
      <c r="L183" s="57">
        <f>Servant!$AD$18+($F183+($F183*0.5*($D183-1)))*(L$3-1)</f>
        <v>1.3</v>
      </c>
      <c r="M183" s="57">
        <f>Servant!$AD$18+($F183+($F183*0.5*($D183-1)))*(M$3-1)</f>
        <v>1.55</v>
      </c>
      <c r="N183" s="57">
        <f>Servant!$AD$18+($F183+($F183*0.5*($D183-1)))*(N$3-1)</f>
        <v>1.8</v>
      </c>
      <c r="O183" s="57">
        <f>Servant!$AD$18+($F183+($F183*0.5*($D183-1)))*(O$3-1)</f>
        <v>2.0499999999999998</v>
      </c>
      <c r="P183" s="57">
        <f>Servant!$AD$18+($F183+($F183*0.5*($D183-1)))*(P$3-1)</f>
        <v>2.2999999999999998</v>
      </c>
      <c r="Q183" s="57">
        <f>Servant!$AD$18+($F183+($F183*0.5*($D183-1)))*(Q$3-1)</f>
        <v>2.5499999999999998</v>
      </c>
      <c r="R183" s="57">
        <f>Servant!$AD$18+($F183+($F183*0.5*($D183-1)))*(R$3-1)</f>
        <v>2.8</v>
      </c>
      <c r="S183" s="57">
        <f>Servant!$AD$18+($F183+($F183*0.5*($D183-1)))*(S$3-1)</f>
        <v>3.05</v>
      </c>
      <c r="T183" s="57">
        <f>Servant!$AD$18+($F183+($F183*0.5*($D183-1)))*(T$3-1)</f>
        <v>3.3</v>
      </c>
      <c r="U183" s="57">
        <f>Servant!$AD$18+($F183+($F183*0.5*($D183-1)))*(U$3-1)</f>
        <v>3.55</v>
      </c>
      <c r="V183" s="57">
        <f>Servant!$AD$18+($F183+($F183*0.5*($D183-1)))*(V$3-1)</f>
        <v>3.8</v>
      </c>
      <c r="W183" s="57">
        <f>Servant!$AD$18+($F183+($F183*0.5*($D183-1)))*(W$3-1)</f>
        <v>4.05</v>
      </c>
      <c r="X183" s="57">
        <f>Servant!$AD$18+($F183+($F183*0.5*($D183-1)))*(X$3-1)</f>
        <v>4.3</v>
      </c>
      <c r="Y183" s="57">
        <f>Servant!$AD$18+($F183+($F183*0.5*($D183-1)))*(Y$3-1)</f>
        <v>4.55</v>
      </c>
      <c r="Z183" s="57">
        <f>Servant!$AD$18+($F183+($F183*0.5*($D183-1)))*(Z$3-1)</f>
        <v>4.8</v>
      </c>
      <c r="AA183" s="57">
        <f>Servant!$AD$18+($F183+($F183*0.5*($D183-1)))*(AA$3-1)</f>
        <v>5.05</v>
      </c>
      <c r="AB183" s="57">
        <f>Servant!$AD$18+($F183+($F183*0.5*($D183-1)))*(AB$3-1)</f>
        <v>5.3</v>
      </c>
      <c r="AC183" s="57">
        <f>Servant!$AD$18+($F183+($F183*0.5*($D183-1)))*(AC$3-1)</f>
        <v>5.55</v>
      </c>
      <c r="AD183" s="57">
        <f>Servant!$AD$18+($F183+($F183*0.5*($D183-1)))*(AD$3-1)</f>
        <v>5.8</v>
      </c>
      <c r="AE183" s="57">
        <f>Servant!$AD$18+($F183+($F183*0.5*($D183-1)))*(AE$3-1)</f>
        <v>6.05</v>
      </c>
      <c r="AF183" s="57">
        <f>Servant!$AD$18+($F183+($F183*0.5*($D183-1)))*(AF$3-1)</f>
        <v>6.3</v>
      </c>
      <c r="AG183" s="57">
        <f>Servant!$AD$18+($F183+($F183*0.5*($D183-1)))*(AG$3-1)</f>
        <v>6.55</v>
      </c>
      <c r="AH183" s="57">
        <f>Servant!$AD$18+($F183+($F183*0.5*($D183-1)))*(AH$3-1)</f>
        <v>6.8</v>
      </c>
      <c r="AI183" s="57">
        <f>Servant!$AD$18+($F183+($F183*0.5*($D183-1)))*(AI$3-1)</f>
        <v>7.05</v>
      </c>
      <c r="AJ183" s="57">
        <f>Servant!$AD$18+($F183+($F183*0.5*($D183-1)))*(AJ$3-1)</f>
        <v>7.3</v>
      </c>
      <c r="AK183" s="57">
        <f>Servant!$AD$18+($F183+($F183*0.5*($D183-1)))*(AK$3-1)</f>
        <v>7.55</v>
      </c>
    </row>
    <row r="184" spans="2:37" x14ac:dyDescent="0.3">
      <c r="B184" s="287"/>
      <c r="C184" s="291"/>
      <c r="D184" s="56">
        <v>5</v>
      </c>
      <c r="E184" s="56">
        <f>ServantLevelUPdStatus!$R$18+(ServantLevelUPdStatus!$R$18*0.5*($D184-1))</f>
        <v>0.30000000000000004</v>
      </c>
      <c r="F184" s="56">
        <f>F183</f>
        <v>0.1</v>
      </c>
      <c r="H184" s="57">
        <f>Servant!$AD$18+($F184+($F184*0.5*($D184-1)))*(H$3-1)</f>
        <v>0.3</v>
      </c>
      <c r="I184" s="57">
        <f>Servant!$AD$18+($F184+($F184*0.5*($D184-1)))*(I$3-1)</f>
        <v>0.60000000000000009</v>
      </c>
      <c r="J184" s="57">
        <f>Servant!$AD$18+($F184+($F184*0.5*($D184-1)))*(J$3-1)</f>
        <v>0.90000000000000013</v>
      </c>
      <c r="K184" s="57">
        <f>Servant!$AD$18+($F184+($F184*0.5*($D184-1)))*(K$3-1)</f>
        <v>1.2000000000000002</v>
      </c>
      <c r="L184" s="57">
        <f>Servant!$AD$18+($F184+($F184*0.5*($D184-1)))*(L$3-1)</f>
        <v>1.5000000000000002</v>
      </c>
      <c r="M184" s="57">
        <f>Servant!$AD$18+($F184+($F184*0.5*($D184-1)))*(M$3-1)</f>
        <v>1.8000000000000003</v>
      </c>
      <c r="N184" s="57">
        <f>Servant!$AD$18+($F184+($F184*0.5*($D184-1)))*(N$3-1)</f>
        <v>2.1</v>
      </c>
      <c r="O184" s="57">
        <f>Servant!$AD$18+($F184+($F184*0.5*($D184-1)))*(O$3-1)</f>
        <v>2.4000000000000004</v>
      </c>
      <c r="P184" s="57">
        <f>Servant!$AD$18+($F184+($F184*0.5*($D184-1)))*(P$3-1)</f>
        <v>2.7</v>
      </c>
      <c r="Q184" s="57">
        <f>Servant!$AD$18+($F184+($F184*0.5*($D184-1)))*(Q$3-1)</f>
        <v>3</v>
      </c>
      <c r="R184" s="57">
        <f>Servant!$AD$18+($F184+($F184*0.5*($D184-1)))*(R$3-1)</f>
        <v>3.3000000000000003</v>
      </c>
      <c r="S184" s="57">
        <f>Servant!$AD$18+($F184+($F184*0.5*($D184-1)))*(S$3-1)</f>
        <v>3.6000000000000005</v>
      </c>
      <c r="T184" s="57">
        <f>Servant!$AD$18+($F184+($F184*0.5*($D184-1)))*(T$3-1)</f>
        <v>3.9000000000000004</v>
      </c>
      <c r="U184" s="57">
        <f>Servant!$AD$18+($F184+($F184*0.5*($D184-1)))*(U$3-1)</f>
        <v>4.2</v>
      </c>
      <c r="V184" s="57">
        <f>Servant!$AD$18+($F184+($F184*0.5*($D184-1)))*(V$3-1)</f>
        <v>4.5000000000000009</v>
      </c>
      <c r="W184" s="57">
        <f>Servant!$AD$18+($F184+($F184*0.5*($D184-1)))*(W$3-1)</f>
        <v>4.8000000000000007</v>
      </c>
      <c r="X184" s="57">
        <f>Servant!$AD$18+($F184+($F184*0.5*($D184-1)))*(X$3-1)</f>
        <v>5.1000000000000005</v>
      </c>
      <c r="Y184" s="57">
        <f>Servant!$AD$18+($F184+($F184*0.5*($D184-1)))*(Y$3-1)</f>
        <v>5.4</v>
      </c>
      <c r="Z184" s="57">
        <f>Servant!$AD$18+($F184+($F184*0.5*($D184-1)))*(Z$3-1)</f>
        <v>5.7</v>
      </c>
      <c r="AA184" s="57">
        <f>Servant!$AD$18+($F184+($F184*0.5*($D184-1)))*(AA$3-1)</f>
        <v>6.0000000000000009</v>
      </c>
      <c r="AB184" s="57">
        <f>Servant!$AD$18+($F184+($F184*0.5*($D184-1)))*(AB$3-1)</f>
        <v>6.3000000000000007</v>
      </c>
      <c r="AC184" s="57">
        <f>Servant!$AD$18+($F184+($F184*0.5*($D184-1)))*(AC$3-1)</f>
        <v>6.6000000000000005</v>
      </c>
      <c r="AD184" s="57">
        <f>Servant!$AD$18+($F184+($F184*0.5*($D184-1)))*(AD$3-1)</f>
        <v>6.9000000000000012</v>
      </c>
      <c r="AE184" s="57">
        <f>Servant!$AD$18+($F184+($F184*0.5*($D184-1)))*(AE$3-1)</f>
        <v>7.2000000000000011</v>
      </c>
      <c r="AF184" s="57">
        <f>Servant!$AD$18+($F184+($F184*0.5*($D184-1)))*(AF$3-1)</f>
        <v>7.5000000000000009</v>
      </c>
      <c r="AG184" s="57">
        <f>Servant!$AD$18+($F184+($F184*0.5*($D184-1)))*(AG$3-1)</f>
        <v>7.8000000000000007</v>
      </c>
      <c r="AH184" s="57">
        <f>Servant!$AD$18+($F184+($F184*0.5*($D184-1)))*(AH$3-1)</f>
        <v>8.1000000000000014</v>
      </c>
      <c r="AI184" s="57">
        <f>Servant!$AD$18+($F184+($F184*0.5*($D184-1)))*(AI$3-1)</f>
        <v>8.4000000000000021</v>
      </c>
      <c r="AJ184" s="57">
        <f>Servant!$AD$18+($F184+($F184*0.5*($D184-1)))*(AJ$3-1)</f>
        <v>8.7000000000000028</v>
      </c>
      <c r="AK184" s="57">
        <f>Servant!$AD$18+($F184+($F184*0.5*($D184-1)))*(AK$3-1)</f>
        <v>9.0000000000000018</v>
      </c>
    </row>
    <row r="185" spans="2:37" x14ac:dyDescent="0.3">
      <c r="B185" s="287"/>
      <c r="C185" s="292" t="s">
        <v>245</v>
      </c>
      <c r="D185" s="58">
        <v>4</v>
      </c>
      <c r="E185" s="58">
        <f>ServantLevelUPdStatus!$R$22+(ServantLevelUPdStatus!$R$22*0.5*($D185-1))</f>
        <v>0.25</v>
      </c>
      <c r="F185" s="58">
        <f>ServantLevelUPdStatus!R$22</f>
        <v>0.1</v>
      </c>
      <c r="H185" s="59">
        <f>Servant!$AD$22+($F185+($F185*0.5*($D185-1)))*(H$3-1)</f>
        <v>0.4</v>
      </c>
      <c r="I185" s="59">
        <f>Servant!$AD$22+($F185+($F185*0.5*($D185-1)))*(I$3-1)</f>
        <v>0.65</v>
      </c>
      <c r="J185" s="59">
        <f>Servant!$AD$22+($F185+($F185*0.5*($D185-1)))*(J$3-1)</f>
        <v>0.9</v>
      </c>
      <c r="K185" s="59">
        <f>Servant!$AD$22+($F185+($F185*0.5*($D185-1)))*(K$3-1)</f>
        <v>1.1499999999999999</v>
      </c>
      <c r="L185" s="59">
        <f>Servant!$AD$22+($F185+($F185*0.5*($D185-1)))*(L$3-1)</f>
        <v>1.4</v>
      </c>
      <c r="M185" s="59">
        <f>Servant!$AD$22+($F185+($F185*0.5*($D185-1)))*(M$3-1)</f>
        <v>1.65</v>
      </c>
      <c r="N185" s="59">
        <f>Servant!$AD$22+($F185+($F185*0.5*($D185-1)))*(N$3-1)</f>
        <v>1.9</v>
      </c>
      <c r="O185" s="59">
        <f>Servant!$AD$22+($F185+($F185*0.5*($D185-1)))*(O$3-1)</f>
        <v>2.15</v>
      </c>
      <c r="P185" s="59">
        <f>Servant!$AD$22+($F185+($F185*0.5*($D185-1)))*(P$3-1)</f>
        <v>2.4</v>
      </c>
      <c r="Q185" s="59">
        <f>Servant!$AD$22+($F185+($F185*0.5*($D185-1)))*(Q$3-1)</f>
        <v>2.65</v>
      </c>
      <c r="R185" s="59">
        <f>Servant!$AD$22+($F185+($F185*0.5*($D185-1)))*(R$3-1)</f>
        <v>2.9</v>
      </c>
      <c r="S185" s="59">
        <f>Servant!$AD$22+($F185+($F185*0.5*($D185-1)))*(S$3-1)</f>
        <v>3.15</v>
      </c>
      <c r="T185" s="59">
        <f>Servant!$AD$22+($F185+($F185*0.5*($D185-1)))*(T$3-1)</f>
        <v>3.4</v>
      </c>
      <c r="U185" s="59">
        <f>Servant!$AD$22+($F185+($F185*0.5*($D185-1)))*(U$3-1)</f>
        <v>3.65</v>
      </c>
      <c r="V185" s="59">
        <f>Servant!$AD$22+($F185+($F185*0.5*($D185-1)))*(V$3-1)</f>
        <v>3.9</v>
      </c>
      <c r="W185" s="59">
        <f>Servant!$AD$22+($F185+($F185*0.5*($D185-1)))*(W$3-1)</f>
        <v>4.1500000000000004</v>
      </c>
      <c r="X185" s="59">
        <f>Servant!$AD$22+($F185+($F185*0.5*($D185-1)))*(X$3-1)</f>
        <v>4.4000000000000004</v>
      </c>
      <c r="Y185" s="59">
        <f>Servant!$AD$22+($F185+($F185*0.5*($D185-1)))*(Y$3-1)</f>
        <v>4.6500000000000004</v>
      </c>
      <c r="Z185" s="59">
        <f>Servant!$AD$22+($F185+($F185*0.5*($D185-1)))*(Z$3-1)</f>
        <v>4.9000000000000004</v>
      </c>
      <c r="AA185" s="59">
        <f>Servant!$AD$22+($F185+($F185*0.5*($D185-1)))*(AA$3-1)</f>
        <v>5.15</v>
      </c>
      <c r="AB185" s="59">
        <f>Servant!$AD$22+($F185+($F185*0.5*($D185-1)))*(AB$3-1)</f>
        <v>5.4</v>
      </c>
      <c r="AC185" s="59">
        <f>Servant!$AD$22+($F185+($F185*0.5*($D185-1)))*(AC$3-1)</f>
        <v>5.65</v>
      </c>
      <c r="AD185" s="59">
        <f>Servant!$AD$22+($F185+($F185*0.5*($D185-1)))*(AD$3-1)</f>
        <v>5.9</v>
      </c>
      <c r="AE185" s="59">
        <f>Servant!$AD$22+($F185+($F185*0.5*($D185-1)))*(AE$3-1)</f>
        <v>6.15</v>
      </c>
      <c r="AF185" s="59">
        <f>Servant!$AD$22+($F185+($F185*0.5*($D185-1)))*(AF$3-1)</f>
        <v>6.4</v>
      </c>
      <c r="AG185" s="59">
        <f>Servant!$AD$22+($F185+($F185*0.5*($D185-1)))*(AG$3-1)</f>
        <v>6.65</v>
      </c>
      <c r="AH185" s="59">
        <f>Servant!$AD$22+($F185+($F185*0.5*($D185-1)))*(AH$3-1)</f>
        <v>6.9</v>
      </c>
      <c r="AI185" s="59">
        <f>Servant!$AD$22+($F185+($F185*0.5*($D185-1)))*(AI$3-1)</f>
        <v>7.15</v>
      </c>
      <c r="AJ185" s="59">
        <f>Servant!$AD$22+($F185+($F185*0.5*($D185-1)))*(AJ$3-1)</f>
        <v>7.4</v>
      </c>
      <c r="AK185" s="59">
        <f>Servant!$AD$22+($F185+($F185*0.5*($D185-1)))*(AK$3-1)</f>
        <v>7.65</v>
      </c>
    </row>
    <row r="186" spans="2:37" x14ac:dyDescent="0.3">
      <c r="B186" s="287"/>
      <c r="C186" s="292"/>
      <c r="D186" s="58">
        <v>5</v>
      </c>
      <c r="E186" s="58">
        <f>ServantLevelUPdStatus!$R$22+(ServantLevelUPdStatus!$R$22*0.5*($D186-1))</f>
        <v>0.30000000000000004</v>
      </c>
      <c r="F186" s="58">
        <f>F185</f>
        <v>0.1</v>
      </c>
      <c r="H186" s="59">
        <f>Servant!$AD$22+($F186+($F186*0.5*($D186-1)))*(H$3-1)</f>
        <v>0.4</v>
      </c>
      <c r="I186" s="59">
        <f>Servant!$AD$22+($F186+($F186*0.5*($D186-1)))*(I$3-1)</f>
        <v>0.70000000000000007</v>
      </c>
      <c r="J186" s="59">
        <f>Servant!$AD$22+($F186+($F186*0.5*($D186-1)))*(J$3-1)</f>
        <v>1</v>
      </c>
      <c r="K186" s="59">
        <f>Servant!$AD$22+($F186+($F186*0.5*($D186-1)))*(K$3-1)</f>
        <v>1.3000000000000003</v>
      </c>
      <c r="L186" s="59">
        <f>Servant!$AD$22+($F186+($F186*0.5*($D186-1)))*(L$3-1)</f>
        <v>1.6</v>
      </c>
      <c r="M186" s="59">
        <f>Servant!$AD$22+($F186+($F186*0.5*($D186-1)))*(M$3-1)</f>
        <v>1.9000000000000004</v>
      </c>
      <c r="N186" s="59">
        <f>Servant!$AD$22+($F186+($F186*0.5*($D186-1)))*(N$3-1)</f>
        <v>2.2000000000000002</v>
      </c>
      <c r="O186" s="59">
        <f>Servant!$AD$22+($F186+($F186*0.5*($D186-1)))*(O$3-1)</f>
        <v>2.5000000000000004</v>
      </c>
      <c r="P186" s="59">
        <f>Servant!$AD$22+($F186+($F186*0.5*($D186-1)))*(P$3-1)</f>
        <v>2.8000000000000003</v>
      </c>
      <c r="Q186" s="59">
        <f>Servant!$AD$22+($F186+($F186*0.5*($D186-1)))*(Q$3-1)</f>
        <v>3.1</v>
      </c>
      <c r="R186" s="59">
        <f>Servant!$AD$22+($F186+($F186*0.5*($D186-1)))*(R$3-1)</f>
        <v>3.4000000000000004</v>
      </c>
      <c r="S186" s="59">
        <f>Servant!$AD$22+($F186+($F186*0.5*($D186-1)))*(S$3-1)</f>
        <v>3.7000000000000006</v>
      </c>
      <c r="T186" s="59">
        <f>Servant!$AD$22+($F186+($F186*0.5*($D186-1)))*(T$3-1)</f>
        <v>4.0000000000000009</v>
      </c>
      <c r="U186" s="59">
        <f>Servant!$AD$22+($F186+($F186*0.5*($D186-1)))*(U$3-1)</f>
        <v>4.3000000000000007</v>
      </c>
      <c r="V186" s="59">
        <f>Servant!$AD$22+($F186+($F186*0.5*($D186-1)))*(V$3-1)</f>
        <v>4.6000000000000014</v>
      </c>
      <c r="W186" s="59">
        <f>Servant!$AD$22+($F186+($F186*0.5*($D186-1)))*(W$3-1)</f>
        <v>4.9000000000000012</v>
      </c>
      <c r="X186" s="59">
        <f>Servant!$AD$22+($F186+($F186*0.5*($D186-1)))*(X$3-1)</f>
        <v>5.2000000000000011</v>
      </c>
      <c r="Y186" s="59">
        <f>Servant!$AD$22+($F186+($F186*0.5*($D186-1)))*(Y$3-1)</f>
        <v>5.5000000000000009</v>
      </c>
      <c r="Z186" s="59">
        <f>Servant!$AD$22+($F186+($F186*0.5*($D186-1)))*(Z$3-1)</f>
        <v>5.8000000000000007</v>
      </c>
      <c r="AA186" s="59">
        <f>Servant!$AD$22+($F186+($F186*0.5*($D186-1)))*(AA$3-1)</f>
        <v>6.1000000000000014</v>
      </c>
      <c r="AB186" s="59">
        <f>Servant!$AD$22+($F186+($F186*0.5*($D186-1)))*(AB$3-1)</f>
        <v>6.4000000000000012</v>
      </c>
      <c r="AC186" s="59">
        <f>Servant!$AD$22+($F186+($F186*0.5*($D186-1)))*(AC$3-1)</f>
        <v>6.7000000000000011</v>
      </c>
      <c r="AD186" s="59">
        <f>Servant!$AD$22+($F186+($F186*0.5*($D186-1)))*(AD$3-1)</f>
        <v>7.0000000000000018</v>
      </c>
      <c r="AE186" s="59">
        <f>Servant!$AD$22+($F186+($F186*0.5*($D186-1)))*(AE$3-1)</f>
        <v>7.3000000000000016</v>
      </c>
      <c r="AF186" s="59">
        <f>Servant!$AD$22+($F186+($F186*0.5*($D186-1)))*(AF$3-1)</f>
        <v>7.6000000000000014</v>
      </c>
      <c r="AG186" s="59">
        <f>Servant!$AD$22+($F186+($F186*0.5*($D186-1)))*(AG$3-1)</f>
        <v>7.9000000000000012</v>
      </c>
      <c r="AH186" s="59">
        <f>Servant!$AD$22+($F186+($F186*0.5*($D186-1)))*(AH$3-1)</f>
        <v>8.2000000000000011</v>
      </c>
      <c r="AI186" s="59">
        <f>Servant!$AD$22+($F186+($F186*0.5*($D186-1)))*(AI$3-1)</f>
        <v>8.5000000000000018</v>
      </c>
      <c r="AJ186" s="59">
        <f>Servant!$AD$22+($F186+($F186*0.5*($D186-1)))*(AJ$3-1)</f>
        <v>8.8000000000000025</v>
      </c>
      <c r="AK186" s="59">
        <f>Servant!$AD$22+($F186+($F186*0.5*($D186-1)))*(AK$3-1)</f>
        <v>9.1000000000000014</v>
      </c>
    </row>
    <row r="187" spans="2:37" x14ac:dyDescent="0.3">
      <c r="B187" s="287"/>
      <c r="C187" s="292"/>
      <c r="D187" s="58">
        <v>6</v>
      </c>
      <c r="E187" s="58">
        <f>ServantLevelUPdStatus!$R$22+(ServantLevelUPdStatus!$R$22*0.5*($D187-1))</f>
        <v>0.35</v>
      </c>
      <c r="F187" s="58">
        <f>F186</f>
        <v>0.1</v>
      </c>
      <c r="H187" s="59">
        <f>Servant!$AD$22+($F187+($F187*0.5*($D187-1)))*(H$3-1)</f>
        <v>0.4</v>
      </c>
      <c r="I187" s="59">
        <f>Servant!$AD$22+($F187+($F187*0.5*($D187-1)))*(I$3-1)</f>
        <v>0.75</v>
      </c>
      <c r="J187" s="59">
        <f>Servant!$AD$22+($F187+($F187*0.5*($D187-1)))*(J$3-1)</f>
        <v>1.1000000000000001</v>
      </c>
      <c r="K187" s="59">
        <f>Servant!$AD$22+($F187+($F187*0.5*($D187-1)))*(K$3-1)</f>
        <v>1.4499999999999997</v>
      </c>
      <c r="L187" s="59">
        <f>Servant!$AD$22+($F187+($F187*0.5*($D187-1)))*(L$3-1)</f>
        <v>1.7999999999999998</v>
      </c>
      <c r="M187" s="59">
        <f>Servant!$AD$22+($F187+($F187*0.5*($D187-1)))*(M$3-1)</f>
        <v>2.15</v>
      </c>
      <c r="N187" s="59">
        <f>Servant!$AD$22+($F187+($F187*0.5*($D187-1)))*(N$3-1)</f>
        <v>2.4999999999999996</v>
      </c>
      <c r="O187" s="59">
        <f>Servant!$AD$22+($F187+($F187*0.5*($D187-1)))*(O$3-1)</f>
        <v>2.8499999999999996</v>
      </c>
      <c r="P187" s="59">
        <f>Servant!$AD$22+($F187+($F187*0.5*($D187-1)))*(P$3-1)</f>
        <v>3.1999999999999997</v>
      </c>
      <c r="Q187" s="59">
        <f>Servant!$AD$22+($F187+($F187*0.5*($D187-1)))*(Q$3-1)</f>
        <v>3.55</v>
      </c>
      <c r="R187" s="59">
        <f>Servant!$AD$22+($F187+($F187*0.5*($D187-1)))*(R$3-1)</f>
        <v>3.9</v>
      </c>
      <c r="S187" s="59">
        <f>Servant!$AD$22+($F187+($F187*0.5*($D187-1)))*(S$3-1)</f>
        <v>4.25</v>
      </c>
      <c r="T187" s="59">
        <f>Servant!$AD$22+($F187+($F187*0.5*($D187-1)))*(T$3-1)</f>
        <v>4.5999999999999996</v>
      </c>
      <c r="U187" s="59">
        <f>Servant!$AD$22+($F187+($F187*0.5*($D187-1)))*(U$3-1)</f>
        <v>4.95</v>
      </c>
      <c r="V187" s="59">
        <f>Servant!$AD$22+($F187+($F187*0.5*($D187-1)))*(V$3-1)</f>
        <v>5.3</v>
      </c>
      <c r="W187" s="59">
        <f>Servant!$AD$22+($F187+($F187*0.5*($D187-1)))*(W$3-1)</f>
        <v>5.65</v>
      </c>
      <c r="X187" s="59">
        <f>Servant!$AD$22+($F187+($F187*0.5*($D187-1)))*(X$3-1)</f>
        <v>6</v>
      </c>
      <c r="Y187" s="59">
        <f>Servant!$AD$22+($F187+($F187*0.5*($D187-1)))*(Y$3-1)</f>
        <v>6.35</v>
      </c>
      <c r="Z187" s="59">
        <f>Servant!$AD$22+($F187+($F187*0.5*($D187-1)))*(Z$3-1)</f>
        <v>6.7</v>
      </c>
      <c r="AA187" s="59">
        <f>Servant!$AD$22+($F187+($F187*0.5*($D187-1)))*(AA$3-1)</f>
        <v>7.05</v>
      </c>
      <c r="AB187" s="59">
        <f>Servant!$AD$22+($F187+($F187*0.5*($D187-1)))*(AB$3-1)</f>
        <v>7.4</v>
      </c>
      <c r="AC187" s="59">
        <f>Servant!$AD$22+($F187+($F187*0.5*($D187-1)))*(AC$3-1)</f>
        <v>7.75</v>
      </c>
      <c r="AD187" s="59">
        <f>Servant!$AD$22+($F187+($F187*0.5*($D187-1)))*(AD$3-1)</f>
        <v>8.1</v>
      </c>
      <c r="AE187" s="59">
        <f>Servant!$AD$22+($F187+($F187*0.5*($D187-1)))*(AE$3-1)</f>
        <v>8.4499999999999993</v>
      </c>
      <c r="AF187" s="59">
        <f>Servant!$AD$22+($F187+($F187*0.5*($D187-1)))*(AF$3-1)</f>
        <v>8.7999999999999989</v>
      </c>
      <c r="AG187" s="59">
        <f>Servant!$AD$22+($F187+($F187*0.5*($D187-1)))*(AG$3-1)</f>
        <v>9.15</v>
      </c>
      <c r="AH187" s="59">
        <f>Servant!$AD$22+($F187+($F187*0.5*($D187-1)))*(AH$3-1)</f>
        <v>9.5</v>
      </c>
      <c r="AI187" s="59">
        <f>Servant!$AD$22+($F187+($F187*0.5*($D187-1)))*(AI$3-1)</f>
        <v>9.85</v>
      </c>
      <c r="AJ187" s="59">
        <f>Servant!$AD$22+($F187+($F187*0.5*($D187-1)))*(AJ$3-1)</f>
        <v>10.199999999999999</v>
      </c>
      <c r="AK187" s="59">
        <f>Servant!$AD$22+($F187+($F187*0.5*($D187-1)))*(AK$3-1)</f>
        <v>10.549999999999999</v>
      </c>
    </row>
  </sheetData>
  <mergeCells count="76">
    <mergeCell ref="C23:C25"/>
    <mergeCell ref="C26:C28"/>
    <mergeCell ref="C7:C9"/>
    <mergeCell ref="C10:C12"/>
    <mergeCell ref="C150:C152"/>
    <mergeCell ref="C17:C19"/>
    <mergeCell ref="C33:C35"/>
    <mergeCell ref="C49:C51"/>
    <mergeCell ref="C52:C54"/>
    <mergeCell ref="C55:C57"/>
    <mergeCell ref="C20:C22"/>
    <mergeCell ref="C153:C155"/>
    <mergeCell ref="C156:C158"/>
    <mergeCell ref="C159:C161"/>
    <mergeCell ref="B163:B174"/>
    <mergeCell ref="C163:C165"/>
    <mergeCell ref="C166:C168"/>
    <mergeCell ref="C169:C171"/>
    <mergeCell ref="C172:C174"/>
    <mergeCell ref="B124:B135"/>
    <mergeCell ref="C124:C126"/>
    <mergeCell ref="C127:C129"/>
    <mergeCell ref="B176:B187"/>
    <mergeCell ref="C176:C178"/>
    <mergeCell ref="C179:C181"/>
    <mergeCell ref="C182:C184"/>
    <mergeCell ref="C185:C187"/>
    <mergeCell ref="C130:C132"/>
    <mergeCell ref="C133:C135"/>
    <mergeCell ref="B137:B148"/>
    <mergeCell ref="C137:C139"/>
    <mergeCell ref="C140:C142"/>
    <mergeCell ref="C143:C145"/>
    <mergeCell ref="C146:C148"/>
    <mergeCell ref="B150:B161"/>
    <mergeCell ref="B98:B109"/>
    <mergeCell ref="C98:C100"/>
    <mergeCell ref="C101:C103"/>
    <mergeCell ref="C104:C106"/>
    <mergeCell ref="C107:C109"/>
    <mergeCell ref="B111:B122"/>
    <mergeCell ref="C111:C113"/>
    <mergeCell ref="C114:C116"/>
    <mergeCell ref="C117:C119"/>
    <mergeCell ref="C120:C122"/>
    <mergeCell ref="B85:B96"/>
    <mergeCell ref="C85:C87"/>
    <mergeCell ref="C88:C90"/>
    <mergeCell ref="C91:C93"/>
    <mergeCell ref="C94:C96"/>
    <mergeCell ref="B72:B83"/>
    <mergeCell ref="C72:C74"/>
    <mergeCell ref="C75:C77"/>
    <mergeCell ref="C78:C80"/>
    <mergeCell ref="C81:C83"/>
    <mergeCell ref="H2:AK2"/>
    <mergeCell ref="E2:E3"/>
    <mergeCell ref="B17:B28"/>
    <mergeCell ref="B30:B44"/>
    <mergeCell ref="B59:B70"/>
    <mergeCell ref="C59:C61"/>
    <mergeCell ref="C62:C64"/>
    <mergeCell ref="C65:C67"/>
    <mergeCell ref="C68:C70"/>
    <mergeCell ref="B46:B57"/>
    <mergeCell ref="C46:C48"/>
    <mergeCell ref="C30:C32"/>
    <mergeCell ref="C36:C38"/>
    <mergeCell ref="C39:C41"/>
    <mergeCell ref="C13:C15"/>
    <mergeCell ref="C42:C44"/>
    <mergeCell ref="B4:B15"/>
    <mergeCell ref="C4:C6"/>
    <mergeCell ref="D2:D3"/>
    <mergeCell ref="C2:C3"/>
    <mergeCell ref="F2:F3"/>
  </mergeCells>
  <phoneticPr fontId="31" type="noConversion"/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I9" sqref="I9"/>
    </sheetView>
  </sheetViews>
  <sheetFormatPr defaultColWidth="9" defaultRowHeight="16.5" customHeight="1" x14ac:dyDescent="0.3"/>
  <cols>
    <col min="1" max="1" width="22.625" bestFit="1" customWidth="1"/>
    <col min="2" max="2" width="22.625" style="1" bestFit="1" customWidth="1"/>
    <col min="3" max="3" width="17.125" style="1" bestFit="1" customWidth="1"/>
    <col min="4" max="4" width="20.625" style="1" bestFit="1" customWidth="1"/>
    <col min="5" max="5" width="21.875" style="1" bestFit="1" customWidth="1"/>
    <col min="6" max="6" width="13.875" bestFit="1" customWidth="1"/>
    <col min="7" max="7" width="13.375" bestFit="1" customWidth="1"/>
    <col min="8" max="8" width="21.125" bestFit="1" customWidth="1"/>
    <col min="9" max="9" width="12.125" bestFit="1" customWidth="1"/>
    <col min="10" max="10" width="10.5" bestFit="1" customWidth="1"/>
    <col min="11" max="11" width="15.875" bestFit="1" customWidth="1"/>
  </cols>
  <sheetData>
    <row r="1" spans="1:11" ht="16.5" customHeight="1" x14ac:dyDescent="0.3">
      <c r="A1" s="6" t="s">
        <v>145</v>
      </c>
      <c r="B1" s="2" t="s">
        <v>145</v>
      </c>
      <c r="C1" s="7"/>
      <c r="D1" s="8"/>
      <c r="E1" s="8"/>
    </row>
    <row r="2" spans="1:11" ht="50.1" customHeight="1" x14ac:dyDescent="0.3">
      <c r="A2" s="9" t="s">
        <v>70</v>
      </c>
      <c r="B2" s="9" t="s">
        <v>70</v>
      </c>
      <c r="C2" s="17" t="s">
        <v>146</v>
      </c>
      <c r="D2" s="9" t="s">
        <v>108</v>
      </c>
      <c r="E2" s="9" t="s">
        <v>109</v>
      </c>
      <c r="F2" s="9" t="s">
        <v>70</v>
      </c>
      <c r="G2" s="9" t="s">
        <v>70</v>
      </c>
      <c r="H2" s="17" t="s">
        <v>105</v>
      </c>
      <c r="I2" s="9" t="s">
        <v>70</v>
      </c>
      <c r="J2" s="9" t="s">
        <v>70</v>
      </c>
      <c r="K2" s="18" t="s">
        <v>106</v>
      </c>
    </row>
    <row r="3" spans="1:11" ht="16.5" customHeight="1" x14ac:dyDescent="0.3">
      <c r="A3" s="10" t="s">
        <v>23</v>
      </c>
      <c r="B3" s="11" t="s">
        <v>23</v>
      </c>
      <c r="C3" s="27" t="s">
        <v>24</v>
      </c>
      <c r="D3" s="27" t="s">
        <v>24</v>
      </c>
      <c r="E3" s="27" t="s">
        <v>24</v>
      </c>
      <c r="F3" s="27" t="s">
        <v>24</v>
      </c>
      <c r="G3" s="19" t="s">
        <v>24</v>
      </c>
      <c r="H3" s="19" t="s">
        <v>24</v>
      </c>
      <c r="I3" s="19" t="s">
        <v>24</v>
      </c>
      <c r="J3" s="19" t="s">
        <v>24</v>
      </c>
      <c r="K3" s="20" t="s">
        <v>24</v>
      </c>
    </row>
    <row r="4" spans="1:11" ht="40.5" x14ac:dyDescent="0.3">
      <c r="A4" s="28" t="s">
        <v>25</v>
      </c>
      <c r="B4" s="28" t="s">
        <v>26</v>
      </c>
      <c r="C4" s="28" t="s">
        <v>27</v>
      </c>
      <c r="D4" s="28" t="s">
        <v>27</v>
      </c>
      <c r="E4" s="28" t="s">
        <v>27</v>
      </c>
      <c r="F4" s="28" t="s">
        <v>27</v>
      </c>
      <c r="G4" s="29" t="s">
        <v>27</v>
      </c>
      <c r="H4" s="29" t="s">
        <v>27</v>
      </c>
      <c r="I4" s="29" t="s">
        <v>27</v>
      </c>
      <c r="J4" s="30" t="s">
        <v>107</v>
      </c>
      <c r="K4" s="31" t="s">
        <v>101</v>
      </c>
    </row>
    <row r="5" spans="1:11" ht="16.5" customHeight="1" x14ac:dyDescent="0.3">
      <c r="A5" s="32" t="s">
        <v>29</v>
      </c>
      <c r="B5" s="32" t="s">
        <v>30</v>
      </c>
      <c r="C5" s="33" t="s">
        <v>31</v>
      </c>
      <c r="D5" s="49" t="s">
        <v>32</v>
      </c>
      <c r="E5" s="49" t="s">
        <v>147</v>
      </c>
      <c r="F5" s="33" t="s">
        <v>137</v>
      </c>
      <c r="G5" s="34" t="s">
        <v>33</v>
      </c>
      <c r="H5" s="34" t="s">
        <v>148</v>
      </c>
      <c r="I5" s="34" t="s">
        <v>149</v>
      </c>
      <c r="J5" s="32" t="s">
        <v>150</v>
      </c>
      <c r="K5" s="35" t="s">
        <v>151</v>
      </c>
    </row>
    <row r="6" spans="1:11" ht="16.5" customHeight="1" x14ac:dyDescent="0.3">
      <c r="A6" s="21" t="b">
        <v>1</v>
      </c>
      <c r="B6" s="22" t="s">
        <v>152</v>
      </c>
      <c r="C6" s="24">
        <v>200600001</v>
      </c>
      <c r="D6" s="25" t="s">
        <v>153</v>
      </c>
      <c r="E6" s="25" t="s">
        <v>154</v>
      </c>
      <c r="F6" s="26">
        <v>1</v>
      </c>
      <c r="G6" s="26">
        <v>6</v>
      </c>
      <c r="H6" s="26">
        <v>160001002</v>
      </c>
      <c r="I6" s="26">
        <v>100</v>
      </c>
      <c r="J6" s="26" t="s">
        <v>104</v>
      </c>
      <c r="K6" s="26">
        <v>-1</v>
      </c>
    </row>
    <row r="7" spans="1:11" ht="16.5" customHeight="1" x14ac:dyDescent="0.3">
      <c r="A7" s="21" t="b">
        <v>1</v>
      </c>
      <c r="B7" s="22" t="s">
        <v>102</v>
      </c>
      <c r="C7" s="26">
        <f t="shared" ref="C7:E8" si="0">C6+1</f>
        <v>200600002</v>
      </c>
      <c r="D7" s="26">
        <f t="shared" si="0"/>
        <v>54202</v>
      </c>
      <c r="E7" s="26">
        <f t="shared" si="0"/>
        <v>55202</v>
      </c>
      <c r="F7" s="26">
        <v>2</v>
      </c>
      <c r="G7" s="26">
        <v>6</v>
      </c>
      <c r="H7" s="26">
        <v>160001002</v>
      </c>
      <c r="I7" s="26">
        <v>200</v>
      </c>
      <c r="J7" s="26" t="s">
        <v>104</v>
      </c>
      <c r="K7" s="26">
        <v>-1</v>
      </c>
    </row>
    <row r="8" spans="1:11" ht="16.5" customHeight="1" x14ac:dyDescent="0.3">
      <c r="A8" s="21" t="b">
        <v>1</v>
      </c>
      <c r="B8" s="22" t="s">
        <v>103</v>
      </c>
      <c r="C8" s="26">
        <f t="shared" si="0"/>
        <v>200600003</v>
      </c>
      <c r="D8" s="26">
        <f t="shared" si="0"/>
        <v>54203</v>
      </c>
      <c r="E8" s="26">
        <f t="shared" si="0"/>
        <v>55203</v>
      </c>
      <c r="F8" s="26">
        <v>3</v>
      </c>
      <c r="G8" s="26">
        <v>4</v>
      </c>
      <c r="H8" s="26">
        <v>160001002</v>
      </c>
      <c r="I8" s="26">
        <v>400</v>
      </c>
      <c r="J8" s="26" t="s">
        <v>104</v>
      </c>
      <c r="K8" s="26">
        <v>-1</v>
      </c>
    </row>
  </sheetData>
  <phoneticPr fontId="31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74"/>
  <sheetViews>
    <sheetView workbookViewId="0">
      <pane ySplit="5" topLeftCell="A749" activePane="bottomLeft" state="frozen"/>
      <selection pane="bottomLeft" activeCell="G757" sqref="G757"/>
    </sheetView>
  </sheetViews>
  <sheetFormatPr defaultColWidth="9" defaultRowHeight="16.5" customHeight="1" x14ac:dyDescent="0.3"/>
  <cols>
    <col min="1" max="1" width="24.5" bestFit="1" customWidth="1"/>
    <col min="2" max="2" width="30.375" style="1" bestFit="1" customWidth="1"/>
    <col min="3" max="3" width="15.5" style="1" bestFit="1" customWidth="1"/>
    <col min="4" max="4" width="10.5" bestFit="1" customWidth="1"/>
    <col min="5" max="5" width="27.625" customWidth="1"/>
    <col min="6" max="6" width="15.625" bestFit="1" customWidth="1"/>
    <col min="7" max="7" width="9.625" bestFit="1" customWidth="1"/>
    <col min="8" max="8" width="12.75" bestFit="1" customWidth="1"/>
    <col min="9" max="9" width="10.25" style="209" bestFit="1" customWidth="1"/>
  </cols>
  <sheetData>
    <row r="1" spans="1:9" ht="16.5" customHeight="1" x14ac:dyDescent="0.3">
      <c r="A1" s="6" t="s">
        <v>172</v>
      </c>
      <c r="B1" s="2" t="s">
        <v>172</v>
      </c>
      <c r="C1" s="7"/>
      <c r="H1" s="202">
        <v>50</v>
      </c>
      <c r="I1" s="180">
        <v>10000</v>
      </c>
    </row>
    <row r="2" spans="1:9" ht="50.1" customHeight="1" x14ac:dyDescent="0.3">
      <c r="A2" s="9" t="s">
        <v>70</v>
      </c>
      <c r="B2" s="9" t="s">
        <v>70</v>
      </c>
      <c r="C2" s="17" t="s">
        <v>323</v>
      </c>
      <c r="D2" s="149" t="s">
        <v>324</v>
      </c>
      <c r="E2" s="17" t="s">
        <v>325</v>
      </c>
      <c r="F2" s="14" t="s">
        <v>177</v>
      </c>
      <c r="G2" s="18" t="s">
        <v>178</v>
      </c>
      <c r="H2" s="18" t="s">
        <v>179</v>
      </c>
      <c r="I2" s="201" t="s">
        <v>326</v>
      </c>
    </row>
    <row r="3" spans="1:9" ht="16.5" customHeight="1" x14ac:dyDescent="0.3">
      <c r="A3" s="10" t="s">
        <v>23</v>
      </c>
      <c r="B3" s="11" t="s">
        <v>23</v>
      </c>
      <c r="C3" s="150" t="s">
        <v>24</v>
      </c>
      <c r="D3" s="150" t="s">
        <v>24</v>
      </c>
      <c r="E3" s="150" t="s">
        <v>327</v>
      </c>
      <c r="F3" s="150" t="s">
        <v>24</v>
      </c>
      <c r="G3" s="150" t="s">
        <v>24</v>
      </c>
      <c r="H3" s="150" t="s">
        <v>24</v>
      </c>
      <c r="I3" s="198" t="s">
        <v>24</v>
      </c>
    </row>
    <row r="4" spans="1:9" ht="40.5" x14ac:dyDescent="0.3">
      <c r="A4" s="151" t="s">
        <v>25</v>
      </c>
      <c r="B4" s="151" t="s">
        <v>26</v>
      </c>
      <c r="C4" s="151" t="s">
        <v>27</v>
      </c>
      <c r="D4" s="151" t="s">
        <v>27</v>
      </c>
      <c r="E4" s="152" t="s">
        <v>27</v>
      </c>
      <c r="F4" s="153" t="s">
        <v>27</v>
      </c>
      <c r="G4" s="154" t="s">
        <v>101</v>
      </c>
      <c r="H4" s="153" t="s">
        <v>107</v>
      </c>
      <c r="I4" s="199" t="s">
        <v>101</v>
      </c>
    </row>
    <row r="5" spans="1:9" ht="16.5" customHeight="1" x14ac:dyDescent="0.3">
      <c r="A5" s="155" t="s">
        <v>29</v>
      </c>
      <c r="B5" s="155" t="s">
        <v>30</v>
      </c>
      <c r="C5" s="156" t="s">
        <v>31</v>
      </c>
      <c r="D5" s="156" t="s">
        <v>182</v>
      </c>
      <c r="E5" s="157" t="s">
        <v>111</v>
      </c>
      <c r="F5" s="155" t="s">
        <v>183</v>
      </c>
      <c r="G5" s="158" t="s">
        <v>110</v>
      </c>
      <c r="H5" s="159" t="s">
        <v>184</v>
      </c>
      <c r="I5" s="200" t="s">
        <v>185</v>
      </c>
    </row>
    <row r="6" spans="1:9" ht="16.5" customHeight="1" x14ac:dyDescent="0.3">
      <c r="A6" s="165" t="b">
        <v>1</v>
      </c>
      <c r="B6" s="166" t="s">
        <v>328</v>
      </c>
      <c r="C6" s="167">
        <v>1</v>
      </c>
      <c r="D6" s="167">
        <v>1</v>
      </c>
      <c r="E6" s="179">
        <v>10</v>
      </c>
      <c r="F6" s="160">
        <v>155101001</v>
      </c>
      <c r="G6" s="179">
        <v>1</v>
      </c>
      <c r="H6" s="179" t="s">
        <v>104</v>
      </c>
      <c r="I6" s="203">
        <f t="shared" ref="I6:I69" si="0">IF(H6="Gem",$H$1*G6,IF(H6="Gold",$I$1*G6))</f>
        <v>50</v>
      </c>
    </row>
    <row r="7" spans="1:9" ht="16.5" customHeight="1" x14ac:dyDescent="0.3">
      <c r="A7" s="165" t="b">
        <v>1</v>
      </c>
      <c r="B7" s="166" t="s">
        <v>328</v>
      </c>
      <c r="C7" s="165">
        <f t="shared" ref="C7:C12" si="1">C6+1</f>
        <v>2</v>
      </c>
      <c r="D7" s="165">
        <f t="shared" ref="D7:D14" si="2">D6</f>
        <v>1</v>
      </c>
      <c r="E7" s="179">
        <v>10</v>
      </c>
      <c r="F7" s="165">
        <f>F6</f>
        <v>155101001</v>
      </c>
      <c r="G7" s="167">
        <f>G6+1</f>
        <v>2</v>
      </c>
      <c r="H7" s="167" t="str">
        <f>H6</f>
        <v>Gem</v>
      </c>
      <c r="I7" s="203">
        <f t="shared" si="0"/>
        <v>100</v>
      </c>
    </row>
    <row r="8" spans="1:9" ht="16.5" customHeight="1" x14ac:dyDescent="0.3">
      <c r="A8" s="165" t="b">
        <v>1</v>
      </c>
      <c r="B8" s="166" t="s">
        <v>328</v>
      </c>
      <c r="C8" s="165">
        <f t="shared" si="1"/>
        <v>3</v>
      </c>
      <c r="D8" s="165">
        <f t="shared" si="2"/>
        <v>1</v>
      </c>
      <c r="E8" s="179">
        <v>10</v>
      </c>
      <c r="F8" s="165">
        <f>F7</f>
        <v>155101001</v>
      </c>
      <c r="G8" s="167">
        <f>G7+1</f>
        <v>3</v>
      </c>
      <c r="H8" s="167" t="str">
        <f>H7</f>
        <v>Gem</v>
      </c>
      <c r="I8" s="203">
        <f t="shared" si="0"/>
        <v>150</v>
      </c>
    </row>
    <row r="9" spans="1:9" ht="16.5" customHeight="1" x14ac:dyDescent="0.3">
      <c r="A9" s="165" t="b">
        <v>1</v>
      </c>
      <c r="B9" s="166" t="s">
        <v>328</v>
      </c>
      <c r="C9" s="165">
        <f t="shared" si="1"/>
        <v>4</v>
      </c>
      <c r="D9" s="165">
        <f t="shared" ref="D9:D10" si="3">D8</f>
        <v>1</v>
      </c>
      <c r="E9" s="179">
        <v>6</v>
      </c>
      <c r="F9" s="165">
        <f>F8</f>
        <v>155101001</v>
      </c>
      <c r="G9" s="179">
        <v>1</v>
      </c>
      <c r="H9" s="179" t="s">
        <v>334</v>
      </c>
      <c r="I9" s="203">
        <f t="shared" si="0"/>
        <v>10000</v>
      </c>
    </row>
    <row r="10" spans="1:9" ht="16.5" customHeight="1" x14ac:dyDescent="0.3">
      <c r="A10" s="165" t="b">
        <v>1</v>
      </c>
      <c r="B10" s="166" t="s">
        <v>328</v>
      </c>
      <c r="C10" s="165">
        <f t="shared" si="1"/>
        <v>5</v>
      </c>
      <c r="D10" s="165">
        <f t="shared" si="3"/>
        <v>1</v>
      </c>
      <c r="E10" s="179">
        <v>6</v>
      </c>
      <c r="F10" s="165">
        <f>F9</f>
        <v>155101001</v>
      </c>
      <c r="G10" s="167">
        <f>G9+1</f>
        <v>2</v>
      </c>
      <c r="H10" s="167" t="str">
        <f t="shared" ref="H10:H11" si="4">H9</f>
        <v>Gold</v>
      </c>
      <c r="I10" s="203">
        <f t="shared" si="0"/>
        <v>20000</v>
      </c>
    </row>
    <row r="11" spans="1:9" ht="16.5" customHeight="1" x14ac:dyDescent="0.3">
      <c r="A11" s="165" t="b">
        <v>1</v>
      </c>
      <c r="B11" s="166" t="s">
        <v>328</v>
      </c>
      <c r="C11" s="165">
        <f t="shared" si="1"/>
        <v>6</v>
      </c>
      <c r="D11" s="165">
        <f t="shared" ref="D11" si="5">D10</f>
        <v>1</v>
      </c>
      <c r="E11" s="179">
        <v>6</v>
      </c>
      <c r="F11" s="165">
        <f>F10</f>
        <v>155101001</v>
      </c>
      <c r="G11" s="167">
        <f>G10+1</f>
        <v>3</v>
      </c>
      <c r="H11" s="167" t="str">
        <f t="shared" si="4"/>
        <v>Gold</v>
      </c>
      <c r="I11" s="203">
        <f t="shared" si="0"/>
        <v>30000</v>
      </c>
    </row>
    <row r="12" spans="1:9" ht="16.5" customHeight="1" x14ac:dyDescent="0.3">
      <c r="A12" s="161" t="b">
        <v>1</v>
      </c>
      <c r="B12" s="162" t="s">
        <v>328</v>
      </c>
      <c r="C12" s="161">
        <f t="shared" si="1"/>
        <v>7</v>
      </c>
      <c r="D12" s="161">
        <f>D8</f>
        <v>1</v>
      </c>
      <c r="E12" s="163">
        <f>E6</f>
        <v>10</v>
      </c>
      <c r="F12" s="161">
        <f>F6+1</f>
        <v>155101002</v>
      </c>
      <c r="G12" s="163">
        <f>G6</f>
        <v>1</v>
      </c>
      <c r="H12" s="163" t="str">
        <f>H6</f>
        <v>Gem</v>
      </c>
      <c r="I12" s="204">
        <f t="shared" si="0"/>
        <v>50</v>
      </c>
    </row>
    <row r="13" spans="1:9" ht="16.5" customHeight="1" x14ac:dyDescent="0.3">
      <c r="A13" s="161" t="b">
        <v>1</v>
      </c>
      <c r="B13" s="162" t="s">
        <v>328</v>
      </c>
      <c r="C13" s="161">
        <f t="shared" ref="C13:C14" si="6">C12+1</f>
        <v>8</v>
      </c>
      <c r="D13" s="161">
        <f t="shared" si="2"/>
        <v>1</v>
      </c>
      <c r="E13" s="163">
        <f t="shared" ref="E13:E17" si="7">E7</f>
        <v>10</v>
      </c>
      <c r="F13" s="161">
        <f>F12</f>
        <v>155101002</v>
      </c>
      <c r="G13" s="163">
        <f t="shared" ref="G13:H13" si="8">G7</f>
        <v>2</v>
      </c>
      <c r="H13" s="163" t="str">
        <f t="shared" si="8"/>
        <v>Gem</v>
      </c>
      <c r="I13" s="204">
        <f t="shared" si="0"/>
        <v>100</v>
      </c>
    </row>
    <row r="14" spans="1:9" ht="16.5" customHeight="1" x14ac:dyDescent="0.3">
      <c r="A14" s="161" t="b">
        <v>1</v>
      </c>
      <c r="B14" s="162" t="s">
        <v>328</v>
      </c>
      <c r="C14" s="161">
        <f t="shared" si="6"/>
        <v>9</v>
      </c>
      <c r="D14" s="161">
        <f t="shared" si="2"/>
        <v>1</v>
      </c>
      <c r="E14" s="163">
        <f t="shared" si="7"/>
        <v>10</v>
      </c>
      <c r="F14" s="161">
        <f>F13</f>
        <v>155101002</v>
      </c>
      <c r="G14" s="163">
        <f t="shared" ref="G14:H14" si="9">G8</f>
        <v>3</v>
      </c>
      <c r="H14" s="163" t="str">
        <f t="shared" si="9"/>
        <v>Gem</v>
      </c>
      <c r="I14" s="204">
        <f t="shared" si="0"/>
        <v>150</v>
      </c>
    </row>
    <row r="15" spans="1:9" ht="16.5" customHeight="1" x14ac:dyDescent="0.3">
      <c r="A15" s="161" t="b">
        <v>1</v>
      </c>
      <c r="B15" s="162" t="s">
        <v>328</v>
      </c>
      <c r="C15" s="161">
        <f t="shared" ref="C15:C16" si="10">C14+1</f>
        <v>10</v>
      </c>
      <c r="D15" s="161">
        <f t="shared" ref="D15:D16" si="11">D14</f>
        <v>1</v>
      </c>
      <c r="E15" s="163">
        <f t="shared" si="7"/>
        <v>6</v>
      </c>
      <c r="F15" s="161">
        <f>F14</f>
        <v>155101002</v>
      </c>
      <c r="G15" s="163">
        <f t="shared" ref="G15:H15" si="12">G9</f>
        <v>1</v>
      </c>
      <c r="H15" s="163" t="str">
        <f t="shared" si="12"/>
        <v>Gold</v>
      </c>
      <c r="I15" s="204">
        <f t="shared" si="0"/>
        <v>10000</v>
      </c>
    </row>
    <row r="16" spans="1:9" ht="16.5" customHeight="1" x14ac:dyDescent="0.3">
      <c r="A16" s="161" t="b">
        <v>1</v>
      </c>
      <c r="B16" s="162" t="s">
        <v>328</v>
      </c>
      <c r="C16" s="161">
        <f t="shared" si="10"/>
        <v>11</v>
      </c>
      <c r="D16" s="161">
        <f t="shared" si="11"/>
        <v>1</v>
      </c>
      <c r="E16" s="163">
        <f t="shared" si="7"/>
        <v>6</v>
      </c>
      <c r="F16" s="161">
        <f>F15</f>
        <v>155101002</v>
      </c>
      <c r="G16" s="163">
        <f t="shared" ref="G16:H16" si="13">G10</f>
        <v>2</v>
      </c>
      <c r="H16" s="163" t="str">
        <f t="shared" si="13"/>
        <v>Gold</v>
      </c>
      <c r="I16" s="204">
        <f t="shared" si="0"/>
        <v>20000</v>
      </c>
    </row>
    <row r="17" spans="1:9" ht="16.5" customHeight="1" x14ac:dyDescent="0.3">
      <c r="A17" s="161" t="b">
        <v>1</v>
      </c>
      <c r="B17" s="162" t="s">
        <v>328</v>
      </c>
      <c r="C17" s="161">
        <f t="shared" ref="C17:C18" si="14">C16+1</f>
        <v>12</v>
      </c>
      <c r="D17" s="161">
        <f t="shared" ref="D17" si="15">D16</f>
        <v>1</v>
      </c>
      <c r="E17" s="163">
        <f t="shared" si="7"/>
        <v>6</v>
      </c>
      <c r="F17" s="161">
        <f>F16</f>
        <v>155101002</v>
      </c>
      <c r="G17" s="163">
        <f t="shared" ref="G17:H17" si="16">G11</f>
        <v>3</v>
      </c>
      <c r="H17" s="163" t="str">
        <f t="shared" si="16"/>
        <v>Gold</v>
      </c>
      <c r="I17" s="204">
        <f t="shared" si="0"/>
        <v>30000</v>
      </c>
    </row>
    <row r="18" spans="1:9" ht="16.5" customHeight="1" x14ac:dyDescent="0.3">
      <c r="A18" s="165" t="b">
        <v>1</v>
      </c>
      <c r="B18" s="166" t="s">
        <v>328</v>
      </c>
      <c r="C18" s="167">
        <f t="shared" si="14"/>
        <v>13</v>
      </c>
      <c r="D18" s="165">
        <f t="shared" ref="D18:D23" si="17">D17</f>
        <v>1</v>
      </c>
      <c r="E18" s="167">
        <f>E12</f>
        <v>10</v>
      </c>
      <c r="F18" s="167">
        <f>F12+1</f>
        <v>155101003</v>
      </c>
      <c r="G18" s="167">
        <v>1</v>
      </c>
      <c r="H18" s="167" t="s">
        <v>104</v>
      </c>
      <c r="I18" s="203">
        <f t="shared" si="0"/>
        <v>50</v>
      </c>
    </row>
    <row r="19" spans="1:9" ht="16.5" customHeight="1" x14ac:dyDescent="0.3">
      <c r="A19" s="165" t="b">
        <v>1</v>
      </c>
      <c r="B19" s="166" t="s">
        <v>328</v>
      </c>
      <c r="C19" s="165">
        <f t="shared" ref="C19:C24" si="18">C18+1</f>
        <v>14</v>
      </c>
      <c r="D19" s="165">
        <f t="shared" si="17"/>
        <v>1</v>
      </c>
      <c r="E19" s="165">
        <f t="shared" ref="E19:E23" si="19">E13</f>
        <v>10</v>
      </c>
      <c r="F19" s="165">
        <f>F18</f>
        <v>155101003</v>
      </c>
      <c r="G19" s="165">
        <f>G18+1</f>
        <v>2</v>
      </c>
      <c r="H19" s="165" t="str">
        <f>H18</f>
        <v>Gem</v>
      </c>
      <c r="I19" s="203">
        <f t="shared" si="0"/>
        <v>100</v>
      </c>
    </row>
    <row r="20" spans="1:9" ht="16.5" customHeight="1" x14ac:dyDescent="0.3">
      <c r="A20" s="165" t="b">
        <v>1</v>
      </c>
      <c r="B20" s="166" t="s">
        <v>328</v>
      </c>
      <c r="C20" s="165">
        <f t="shared" si="18"/>
        <v>15</v>
      </c>
      <c r="D20" s="165">
        <f t="shared" si="17"/>
        <v>1</v>
      </c>
      <c r="E20" s="165">
        <f t="shared" si="19"/>
        <v>10</v>
      </c>
      <c r="F20" s="165">
        <f>F19</f>
        <v>155101003</v>
      </c>
      <c r="G20" s="165">
        <f>G19+1</f>
        <v>3</v>
      </c>
      <c r="H20" s="165" t="str">
        <f>H19</f>
        <v>Gem</v>
      </c>
      <c r="I20" s="203">
        <f t="shared" si="0"/>
        <v>150</v>
      </c>
    </row>
    <row r="21" spans="1:9" ht="16.5" customHeight="1" x14ac:dyDescent="0.3">
      <c r="A21" s="165" t="b">
        <v>1</v>
      </c>
      <c r="B21" s="166" t="s">
        <v>328</v>
      </c>
      <c r="C21" s="165">
        <f t="shared" si="18"/>
        <v>16</v>
      </c>
      <c r="D21" s="165">
        <f t="shared" si="17"/>
        <v>1</v>
      </c>
      <c r="E21" s="165">
        <f t="shared" si="19"/>
        <v>6</v>
      </c>
      <c r="F21" s="165">
        <f>F20</f>
        <v>155101003</v>
      </c>
      <c r="G21" s="165">
        <v>1</v>
      </c>
      <c r="H21" s="165" t="s">
        <v>334</v>
      </c>
      <c r="I21" s="203">
        <f t="shared" si="0"/>
        <v>10000</v>
      </c>
    </row>
    <row r="22" spans="1:9" ht="16.5" customHeight="1" x14ac:dyDescent="0.3">
      <c r="A22" s="165" t="b">
        <v>1</v>
      </c>
      <c r="B22" s="166" t="s">
        <v>328</v>
      </c>
      <c r="C22" s="165">
        <f t="shared" si="18"/>
        <v>17</v>
      </c>
      <c r="D22" s="165">
        <f t="shared" si="17"/>
        <v>1</v>
      </c>
      <c r="E22" s="165">
        <f t="shared" si="19"/>
        <v>6</v>
      </c>
      <c r="F22" s="165">
        <f>F21</f>
        <v>155101003</v>
      </c>
      <c r="G22" s="165">
        <f>G21+1</f>
        <v>2</v>
      </c>
      <c r="H22" s="165" t="str">
        <f t="shared" ref="H22:H23" si="20">H21</f>
        <v>Gold</v>
      </c>
      <c r="I22" s="203">
        <f t="shared" si="0"/>
        <v>20000</v>
      </c>
    </row>
    <row r="23" spans="1:9" ht="16.5" customHeight="1" x14ac:dyDescent="0.3">
      <c r="A23" s="165" t="b">
        <v>1</v>
      </c>
      <c r="B23" s="166" t="s">
        <v>328</v>
      </c>
      <c r="C23" s="165">
        <f t="shared" si="18"/>
        <v>18</v>
      </c>
      <c r="D23" s="165">
        <f t="shared" si="17"/>
        <v>1</v>
      </c>
      <c r="E23" s="165">
        <f t="shared" si="19"/>
        <v>6</v>
      </c>
      <c r="F23" s="165">
        <f>F22</f>
        <v>155101003</v>
      </c>
      <c r="G23" s="165">
        <f>G22+1</f>
        <v>3</v>
      </c>
      <c r="H23" s="165" t="str">
        <f t="shared" si="20"/>
        <v>Gold</v>
      </c>
      <c r="I23" s="203">
        <f t="shared" si="0"/>
        <v>30000</v>
      </c>
    </row>
    <row r="24" spans="1:9" ht="16.5" customHeight="1" x14ac:dyDescent="0.3">
      <c r="A24" s="161" t="b">
        <v>1</v>
      </c>
      <c r="B24" s="162" t="s">
        <v>328</v>
      </c>
      <c r="C24" s="161">
        <f t="shared" si="18"/>
        <v>19</v>
      </c>
      <c r="D24" s="161">
        <f>D20</f>
        <v>1</v>
      </c>
      <c r="E24" s="163">
        <f>E18</f>
        <v>10</v>
      </c>
      <c r="F24" s="161">
        <f>F18+1</f>
        <v>155101004</v>
      </c>
      <c r="G24" s="163">
        <f>G18</f>
        <v>1</v>
      </c>
      <c r="H24" s="163" t="str">
        <f>H18</f>
        <v>Gem</v>
      </c>
      <c r="I24" s="204">
        <f t="shared" si="0"/>
        <v>50</v>
      </c>
    </row>
    <row r="25" spans="1:9" ht="16.5" customHeight="1" x14ac:dyDescent="0.3">
      <c r="A25" s="161" t="b">
        <v>1</v>
      </c>
      <c r="B25" s="162" t="s">
        <v>328</v>
      </c>
      <c r="C25" s="161">
        <f t="shared" ref="C25:C30" si="21">C24+1</f>
        <v>20</v>
      </c>
      <c r="D25" s="161">
        <f t="shared" ref="D25:D29" si="22">D24</f>
        <v>1</v>
      </c>
      <c r="E25" s="163">
        <f t="shared" ref="E25:E29" si="23">E19</f>
        <v>10</v>
      </c>
      <c r="F25" s="161">
        <f>F24</f>
        <v>155101004</v>
      </c>
      <c r="G25" s="163">
        <f t="shared" ref="G25:H25" si="24">G19</f>
        <v>2</v>
      </c>
      <c r="H25" s="163" t="str">
        <f t="shared" si="24"/>
        <v>Gem</v>
      </c>
      <c r="I25" s="204">
        <f t="shared" si="0"/>
        <v>100</v>
      </c>
    </row>
    <row r="26" spans="1:9" ht="16.5" customHeight="1" x14ac:dyDescent="0.3">
      <c r="A26" s="161" t="b">
        <v>1</v>
      </c>
      <c r="B26" s="162" t="s">
        <v>328</v>
      </c>
      <c r="C26" s="161">
        <f t="shared" si="21"/>
        <v>21</v>
      </c>
      <c r="D26" s="161">
        <f t="shared" si="22"/>
        <v>1</v>
      </c>
      <c r="E26" s="163">
        <f t="shared" si="23"/>
        <v>10</v>
      </c>
      <c r="F26" s="161">
        <f>F25</f>
        <v>155101004</v>
      </c>
      <c r="G26" s="163">
        <f t="shared" ref="G26:H26" si="25">G20</f>
        <v>3</v>
      </c>
      <c r="H26" s="163" t="str">
        <f t="shared" si="25"/>
        <v>Gem</v>
      </c>
      <c r="I26" s="204">
        <f t="shared" si="0"/>
        <v>150</v>
      </c>
    </row>
    <row r="27" spans="1:9" ht="16.5" customHeight="1" x14ac:dyDescent="0.3">
      <c r="A27" s="161" t="b">
        <v>1</v>
      </c>
      <c r="B27" s="162" t="s">
        <v>328</v>
      </c>
      <c r="C27" s="161">
        <f t="shared" si="21"/>
        <v>22</v>
      </c>
      <c r="D27" s="161">
        <f t="shared" si="22"/>
        <v>1</v>
      </c>
      <c r="E27" s="163">
        <f t="shared" si="23"/>
        <v>6</v>
      </c>
      <c r="F27" s="161">
        <f>F26</f>
        <v>155101004</v>
      </c>
      <c r="G27" s="163">
        <f t="shared" ref="G27:H27" si="26">G21</f>
        <v>1</v>
      </c>
      <c r="H27" s="163" t="str">
        <f t="shared" si="26"/>
        <v>Gold</v>
      </c>
      <c r="I27" s="204">
        <f t="shared" si="0"/>
        <v>10000</v>
      </c>
    </row>
    <row r="28" spans="1:9" ht="16.5" customHeight="1" x14ac:dyDescent="0.3">
      <c r="A28" s="161" t="b">
        <v>1</v>
      </c>
      <c r="B28" s="162" t="s">
        <v>328</v>
      </c>
      <c r="C28" s="161">
        <f t="shared" si="21"/>
        <v>23</v>
      </c>
      <c r="D28" s="161">
        <f t="shared" si="22"/>
        <v>1</v>
      </c>
      <c r="E28" s="163">
        <f t="shared" si="23"/>
        <v>6</v>
      </c>
      <c r="F28" s="161">
        <f>F27</f>
        <v>155101004</v>
      </c>
      <c r="G28" s="163">
        <f t="shared" ref="G28:H28" si="27">G22</f>
        <v>2</v>
      </c>
      <c r="H28" s="163" t="str">
        <f t="shared" si="27"/>
        <v>Gold</v>
      </c>
      <c r="I28" s="204">
        <f t="shared" si="0"/>
        <v>20000</v>
      </c>
    </row>
    <row r="29" spans="1:9" ht="16.5" customHeight="1" x14ac:dyDescent="0.3">
      <c r="A29" s="161" t="b">
        <v>1</v>
      </c>
      <c r="B29" s="162" t="s">
        <v>328</v>
      </c>
      <c r="C29" s="161">
        <f t="shared" si="21"/>
        <v>24</v>
      </c>
      <c r="D29" s="161">
        <f t="shared" si="22"/>
        <v>1</v>
      </c>
      <c r="E29" s="163">
        <f t="shared" si="23"/>
        <v>6</v>
      </c>
      <c r="F29" s="161">
        <f>F28</f>
        <v>155101004</v>
      </c>
      <c r="G29" s="163">
        <f t="shared" ref="G29:H29" si="28">G23</f>
        <v>3</v>
      </c>
      <c r="H29" s="163" t="str">
        <f t="shared" si="28"/>
        <v>Gold</v>
      </c>
      <c r="I29" s="204">
        <f t="shared" si="0"/>
        <v>30000</v>
      </c>
    </row>
    <row r="30" spans="1:9" ht="16.5" customHeight="1" x14ac:dyDescent="0.3">
      <c r="A30" s="165" t="b">
        <v>1</v>
      </c>
      <c r="B30" s="166" t="s">
        <v>328</v>
      </c>
      <c r="C30" s="167">
        <f t="shared" si="21"/>
        <v>25</v>
      </c>
      <c r="D30" s="165">
        <f t="shared" ref="D30:D35" si="29">D29</f>
        <v>1</v>
      </c>
      <c r="E30" s="167">
        <f>E24</f>
        <v>10</v>
      </c>
      <c r="F30" s="167">
        <f>F24+1</f>
        <v>155101005</v>
      </c>
      <c r="G30" s="167">
        <v>1</v>
      </c>
      <c r="H30" s="167" t="s">
        <v>104</v>
      </c>
      <c r="I30" s="203">
        <f t="shared" si="0"/>
        <v>50</v>
      </c>
    </row>
    <row r="31" spans="1:9" ht="16.5" customHeight="1" x14ac:dyDescent="0.3">
      <c r="A31" s="165" t="b">
        <v>1</v>
      </c>
      <c r="B31" s="166" t="s">
        <v>328</v>
      </c>
      <c r="C31" s="165">
        <f t="shared" ref="C31:C36" si="30">C30+1</f>
        <v>26</v>
      </c>
      <c r="D31" s="165">
        <f t="shared" si="29"/>
        <v>1</v>
      </c>
      <c r="E31" s="165">
        <f t="shared" ref="E31:E35" si="31">E25</f>
        <v>10</v>
      </c>
      <c r="F31" s="165">
        <f>F30</f>
        <v>155101005</v>
      </c>
      <c r="G31" s="165">
        <f>G30+1</f>
        <v>2</v>
      </c>
      <c r="H31" s="165" t="str">
        <f>H30</f>
        <v>Gem</v>
      </c>
      <c r="I31" s="203">
        <f t="shared" si="0"/>
        <v>100</v>
      </c>
    </row>
    <row r="32" spans="1:9" ht="16.5" customHeight="1" x14ac:dyDescent="0.3">
      <c r="A32" s="165" t="b">
        <v>1</v>
      </c>
      <c r="B32" s="166" t="s">
        <v>328</v>
      </c>
      <c r="C32" s="165">
        <f t="shared" si="30"/>
        <v>27</v>
      </c>
      <c r="D32" s="165">
        <f t="shared" si="29"/>
        <v>1</v>
      </c>
      <c r="E32" s="165">
        <f t="shared" si="31"/>
        <v>10</v>
      </c>
      <c r="F32" s="165">
        <f>F31</f>
        <v>155101005</v>
      </c>
      <c r="G32" s="165">
        <f>G31+1</f>
        <v>3</v>
      </c>
      <c r="H32" s="165" t="str">
        <f>H31</f>
        <v>Gem</v>
      </c>
      <c r="I32" s="203">
        <f t="shared" si="0"/>
        <v>150</v>
      </c>
    </row>
    <row r="33" spans="1:9" ht="16.5" customHeight="1" x14ac:dyDescent="0.3">
      <c r="A33" s="165" t="b">
        <v>1</v>
      </c>
      <c r="B33" s="166" t="s">
        <v>328</v>
      </c>
      <c r="C33" s="165">
        <f t="shared" si="30"/>
        <v>28</v>
      </c>
      <c r="D33" s="165">
        <f t="shared" si="29"/>
        <v>1</v>
      </c>
      <c r="E33" s="165">
        <f t="shared" si="31"/>
        <v>6</v>
      </c>
      <c r="F33" s="165">
        <f>F32</f>
        <v>155101005</v>
      </c>
      <c r="G33" s="165">
        <v>1</v>
      </c>
      <c r="H33" s="165" t="s">
        <v>334</v>
      </c>
      <c r="I33" s="203">
        <f t="shared" si="0"/>
        <v>10000</v>
      </c>
    </row>
    <row r="34" spans="1:9" ht="16.5" customHeight="1" x14ac:dyDescent="0.3">
      <c r="A34" s="165" t="b">
        <v>1</v>
      </c>
      <c r="B34" s="166" t="s">
        <v>328</v>
      </c>
      <c r="C34" s="165">
        <f t="shared" si="30"/>
        <v>29</v>
      </c>
      <c r="D34" s="165">
        <f t="shared" si="29"/>
        <v>1</v>
      </c>
      <c r="E34" s="165">
        <f t="shared" si="31"/>
        <v>6</v>
      </c>
      <c r="F34" s="165">
        <f>F33</f>
        <v>155101005</v>
      </c>
      <c r="G34" s="165">
        <f>G33+1</f>
        <v>2</v>
      </c>
      <c r="H34" s="165" t="str">
        <f t="shared" ref="H34:H35" si="32">H33</f>
        <v>Gold</v>
      </c>
      <c r="I34" s="203">
        <f t="shared" si="0"/>
        <v>20000</v>
      </c>
    </row>
    <row r="35" spans="1:9" ht="16.5" customHeight="1" x14ac:dyDescent="0.3">
      <c r="A35" s="165" t="b">
        <v>1</v>
      </c>
      <c r="B35" s="166" t="s">
        <v>328</v>
      </c>
      <c r="C35" s="165">
        <f t="shared" si="30"/>
        <v>30</v>
      </c>
      <c r="D35" s="165">
        <f t="shared" si="29"/>
        <v>1</v>
      </c>
      <c r="E35" s="165">
        <f t="shared" si="31"/>
        <v>6</v>
      </c>
      <c r="F35" s="165">
        <f>F34</f>
        <v>155101005</v>
      </c>
      <c r="G35" s="165">
        <f>G34+1</f>
        <v>3</v>
      </c>
      <c r="H35" s="165" t="str">
        <f t="shared" si="32"/>
        <v>Gold</v>
      </c>
      <c r="I35" s="203">
        <f t="shared" si="0"/>
        <v>30000</v>
      </c>
    </row>
    <row r="36" spans="1:9" ht="16.5" customHeight="1" x14ac:dyDescent="0.3">
      <c r="A36" s="161" t="b">
        <v>1</v>
      </c>
      <c r="B36" s="162" t="s">
        <v>328</v>
      </c>
      <c r="C36" s="161">
        <f t="shared" si="30"/>
        <v>31</v>
      </c>
      <c r="D36" s="161">
        <f>D32</f>
        <v>1</v>
      </c>
      <c r="E36" s="163">
        <f>E30</f>
        <v>10</v>
      </c>
      <c r="F36" s="161">
        <f>F30+1</f>
        <v>155101006</v>
      </c>
      <c r="G36" s="163">
        <f>G30</f>
        <v>1</v>
      </c>
      <c r="H36" s="163" t="str">
        <f>H30</f>
        <v>Gem</v>
      </c>
      <c r="I36" s="204">
        <f t="shared" si="0"/>
        <v>50</v>
      </c>
    </row>
    <row r="37" spans="1:9" ht="16.5" customHeight="1" x14ac:dyDescent="0.3">
      <c r="A37" s="161" t="b">
        <v>1</v>
      </c>
      <c r="B37" s="162" t="s">
        <v>328</v>
      </c>
      <c r="C37" s="161">
        <f t="shared" ref="C37:C42" si="33">C36+1</f>
        <v>32</v>
      </c>
      <c r="D37" s="161">
        <f t="shared" ref="D37:D41" si="34">D36</f>
        <v>1</v>
      </c>
      <c r="E37" s="163">
        <f t="shared" ref="E37:E41" si="35">E31</f>
        <v>10</v>
      </c>
      <c r="F37" s="161">
        <f>F36</f>
        <v>155101006</v>
      </c>
      <c r="G37" s="163">
        <f t="shared" ref="G37:H37" si="36">G31</f>
        <v>2</v>
      </c>
      <c r="H37" s="163" t="str">
        <f t="shared" si="36"/>
        <v>Gem</v>
      </c>
      <c r="I37" s="204">
        <f t="shared" si="0"/>
        <v>100</v>
      </c>
    </row>
    <row r="38" spans="1:9" ht="16.5" customHeight="1" x14ac:dyDescent="0.3">
      <c r="A38" s="161" t="b">
        <v>1</v>
      </c>
      <c r="B38" s="162" t="s">
        <v>328</v>
      </c>
      <c r="C38" s="161">
        <f t="shared" si="33"/>
        <v>33</v>
      </c>
      <c r="D38" s="161">
        <f t="shared" si="34"/>
        <v>1</v>
      </c>
      <c r="E38" s="163">
        <f t="shared" si="35"/>
        <v>10</v>
      </c>
      <c r="F38" s="161">
        <f>F37</f>
        <v>155101006</v>
      </c>
      <c r="G38" s="163">
        <f t="shared" ref="G38:H38" si="37">G32</f>
        <v>3</v>
      </c>
      <c r="H38" s="163" t="str">
        <f t="shared" si="37"/>
        <v>Gem</v>
      </c>
      <c r="I38" s="204">
        <f t="shared" si="0"/>
        <v>150</v>
      </c>
    </row>
    <row r="39" spans="1:9" ht="16.5" customHeight="1" x14ac:dyDescent="0.3">
      <c r="A39" s="161" t="b">
        <v>1</v>
      </c>
      <c r="B39" s="162" t="s">
        <v>328</v>
      </c>
      <c r="C39" s="161">
        <f t="shared" si="33"/>
        <v>34</v>
      </c>
      <c r="D39" s="161">
        <f t="shared" si="34"/>
        <v>1</v>
      </c>
      <c r="E39" s="163">
        <f t="shared" si="35"/>
        <v>6</v>
      </c>
      <c r="F39" s="161">
        <f>F38</f>
        <v>155101006</v>
      </c>
      <c r="G39" s="163">
        <f t="shared" ref="G39:H39" si="38">G33</f>
        <v>1</v>
      </c>
      <c r="H39" s="163" t="str">
        <f t="shared" si="38"/>
        <v>Gold</v>
      </c>
      <c r="I39" s="204">
        <f t="shared" si="0"/>
        <v>10000</v>
      </c>
    </row>
    <row r="40" spans="1:9" ht="16.5" customHeight="1" x14ac:dyDescent="0.3">
      <c r="A40" s="161" t="b">
        <v>1</v>
      </c>
      <c r="B40" s="162" t="s">
        <v>328</v>
      </c>
      <c r="C40" s="161">
        <f t="shared" si="33"/>
        <v>35</v>
      </c>
      <c r="D40" s="161">
        <f t="shared" si="34"/>
        <v>1</v>
      </c>
      <c r="E40" s="163">
        <f t="shared" si="35"/>
        <v>6</v>
      </c>
      <c r="F40" s="161">
        <f>F39</f>
        <v>155101006</v>
      </c>
      <c r="G40" s="163">
        <f t="shared" ref="G40:H40" si="39">G34</f>
        <v>2</v>
      </c>
      <c r="H40" s="163" t="str">
        <f t="shared" si="39"/>
        <v>Gold</v>
      </c>
      <c r="I40" s="204">
        <f t="shared" si="0"/>
        <v>20000</v>
      </c>
    </row>
    <row r="41" spans="1:9" ht="16.5" customHeight="1" x14ac:dyDescent="0.3">
      <c r="A41" s="161" t="b">
        <v>1</v>
      </c>
      <c r="B41" s="162" t="s">
        <v>328</v>
      </c>
      <c r="C41" s="161">
        <f t="shared" si="33"/>
        <v>36</v>
      </c>
      <c r="D41" s="161">
        <f t="shared" si="34"/>
        <v>1</v>
      </c>
      <c r="E41" s="163">
        <f t="shared" si="35"/>
        <v>6</v>
      </c>
      <c r="F41" s="161">
        <f>F40</f>
        <v>155101006</v>
      </c>
      <c r="G41" s="163">
        <f t="shared" ref="G41:H41" si="40">G35</f>
        <v>3</v>
      </c>
      <c r="H41" s="163" t="str">
        <f t="shared" si="40"/>
        <v>Gold</v>
      </c>
      <c r="I41" s="204">
        <f t="shared" si="0"/>
        <v>30000</v>
      </c>
    </row>
    <row r="42" spans="1:9" ht="16.5" customHeight="1" x14ac:dyDescent="0.3">
      <c r="A42" s="165" t="b">
        <v>1</v>
      </c>
      <c r="B42" s="166" t="s">
        <v>328</v>
      </c>
      <c r="C42" s="167">
        <f t="shared" si="33"/>
        <v>37</v>
      </c>
      <c r="D42" s="165">
        <f t="shared" ref="D42:D44" si="41">D41</f>
        <v>1</v>
      </c>
      <c r="E42" s="179">
        <v>10</v>
      </c>
      <c r="F42" s="160">
        <v>155102001</v>
      </c>
      <c r="G42" s="179">
        <v>1</v>
      </c>
      <c r="H42" s="179" t="s">
        <v>104</v>
      </c>
      <c r="I42" s="203">
        <f t="shared" si="0"/>
        <v>50</v>
      </c>
    </row>
    <row r="43" spans="1:9" ht="16.5" customHeight="1" x14ac:dyDescent="0.3">
      <c r="A43" s="165" t="b">
        <v>1</v>
      </c>
      <c r="B43" s="166" t="s">
        <v>328</v>
      </c>
      <c r="C43" s="165">
        <f>C42+1</f>
        <v>38</v>
      </c>
      <c r="D43" s="165">
        <f t="shared" si="41"/>
        <v>1</v>
      </c>
      <c r="E43" s="179">
        <v>10</v>
      </c>
      <c r="F43" s="165">
        <f>F42</f>
        <v>155102001</v>
      </c>
      <c r="G43" s="167">
        <f>G42+1</f>
        <v>2</v>
      </c>
      <c r="H43" s="167" t="str">
        <f>H42</f>
        <v>Gem</v>
      </c>
      <c r="I43" s="203">
        <f t="shared" si="0"/>
        <v>100</v>
      </c>
    </row>
    <row r="44" spans="1:9" ht="16.5" customHeight="1" x14ac:dyDescent="0.3">
      <c r="A44" s="165" t="b">
        <v>1</v>
      </c>
      <c r="B44" s="166" t="s">
        <v>328</v>
      </c>
      <c r="C44" s="165">
        <f>C43+1</f>
        <v>39</v>
      </c>
      <c r="D44" s="165">
        <f t="shared" si="41"/>
        <v>1</v>
      </c>
      <c r="E44" s="179">
        <v>10</v>
      </c>
      <c r="F44" s="165">
        <f>F43</f>
        <v>155102001</v>
      </c>
      <c r="G44" s="167">
        <f>G43+1</f>
        <v>3</v>
      </c>
      <c r="H44" s="167" t="str">
        <f>H43</f>
        <v>Gem</v>
      </c>
      <c r="I44" s="203">
        <f t="shared" si="0"/>
        <v>150</v>
      </c>
    </row>
    <row r="45" spans="1:9" ht="16.5" customHeight="1" x14ac:dyDescent="0.3">
      <c r="A45" s="161" t="b">
        <v>1</v>
      </c>
      <c r="B45" s="162" t="s">
        <v>328</v>
      </c>
      <c r="C45" s="161">
        <f>C44+1</f>
        <v>40</v>
      </c>
      <c r="D45" s="161">
        <f>D44</f>
        <v>1</v>
      </c>
      <c r="E45" s="163">
        <f t="shared" ref="E45:E59" si="42">E42</f>
        <v>10</v>
      </c>
      <c r="F45" s="161">
        <f>F42+1</f>
        <v>155102002</v>
      </c>
      <c r="G45" s="163">
        <f t="shared" ref="G45:H47" si="43">G42</f>
        <v>1</v>
      </c>
      <c r="H45" s="163" t="str">
        <f t="shared" si="43"/>
        <v>Gem</v>
      </c>
      <c r="I45" s="204">
        <f t="shared" si="0"/>
        <v>50</v>
      </c>
    </row>
    <row r="46" spans="1:9" ht="16.5" customHeight="1" x14ac:dyDescent="0.3">
      <c r="A46" s="161" t="b">
        <v>1</v>
      </c>
      <c r="B46" s="162" t="s">
        <v>328</v>
      </c>
      <c r="C46" s="161">
        <f t="shared" ref="C46:C47" si="44">C45+1</f>
        <v>41</v>
      </c>
      <c r="D46" s="161">
        <f t="shared" ref="D46:D47" si="45">D45</f>
        <v>1</v>
      </c>
      <c r="E46" s="163">
        <f t="shared" si="42"/>
        <v>10</v>
      </c>
      <c r="F46" s="161">
        <f>F45</f>
        <v>155102002</v>
      </c>
      <c r="G46" s="163">
        <f t="shared" si="43"/>
        <v>2</v>
      </c>
      <c r="H46" s="163" t="str">
        <f t="shared" si="43"/>
        <v>Gem</v>
      </c>
      <c r="I46" s="204">
        <f t="shared" si="0"/>
        <v>100</v>
      </c>
    </row>
    <row r="47" spans="1:9" ht="16.5" customHeight="1" x14ac:dyDescent="0.3">
      <c r="A47" s="161" t="b">
        <v>1</v>
      </c>
      <c r="B47" s="162" t="s">
        <v>328</v>
      </c>
      <c r="C47" s="161">
        <f t="shared" si="44"/>
        <v>42</v>
      </c>
      <c r="D47" s="161">
        <f t="shared" si="45"/>
        <v>1</v>
      </c>
      <c r="E47" s="163">
        <f t="shared" si="42"/>
        <v>10</v>
      </c>
      <c r="F47" s="161">
        <f>F46</f>
        <v>155102002</v>
      </c>
      <c r="G47" s="163">
        <f t="shared" si="43"/>
        <v>3</v>
      </c>
      <c r="H47" s="163" t="str">
        <f t="shared" si="43"/>
        <v>Gem</v>
      </c>
      <c r="I47" s="204">
        <f t="shared" si="0"/>
        <v>150</v>
      </c>
    </row>
    <row r="48" spans="1:9" ht="16.5" customHeight="1" x14ac:dyDescent="0.3">
      <c r="A48" s="165" t="b">
        <v>1</v>
      </c>
      <c r="B48" s="166" t="s">
        <v>328</v>
      </c>
      <c r="C48" s="167">
        <f>C47+1</f>
        <v>43</v>
      </c>
      <c r="D48" s="165">
        <f t="shared" ref="D48:D50" si="46">D47</f>
        <v>1</v>
      </c>
      <c r="E48" s="167">
        <f t="shared" si="42"/>
        <v>10</v>
      </c>
      <c r="F48" s="167">
        <f>F45+1</f>
        <v>155102003</v>
      </c>
      <c r="G48" s="167">
        <v>1</v>
      </c>
      <c r="H48" s="167" t="s">
        <v>104</v>
      </c>
      <c r="I48" s="203">
        <f t="shared" si="0"/>
        <v>50</v>
      </c>
    </row>
    <row r="49" spans="1:9" ht="16.5" customHeight="1" x14ac:dyDescent="0.3">
      <c r="A49" s="165" t="b">
        <v>1</v>
      </c>
      <c r="B49" s="166" t="s">
        <v>328</v>
      </c>
      <c r="C49" s="165">
        <f>C48+1</f>
        <v>44</v>
      </c>
      <c r="D49" s="165">
        <f t="shared" si="46"/>
        <v>1</v>
      </c>
      <c r="E49" s="165">
        <f t="shared" si="42"/>
        <v>10</v>
      </c>
      <c r="F49" s="165">
        <f>F48</f>
        <v>155102003</v>
      </c>
      <c r="G49" s="165">
        <f>G48+1</f>
        <v>2</v>
      </c>
      <c r="H49" s="165" t="str">
        <f>H48</f>
        <v>Gem</v>
      </c>
      <c r="I49" s="203">
        <f t="shared" si="0"/>
        <v>100</v>
      </c>
    </row>
    <row r="50" spans="1:9" ht="16.5" customHeight="1" x14ac:dyDescent="0.3">
      <c r="A50" s="165" t="b">
        <v>1</v>
      </c>
      <c r="B50" s="166" t="s">
        <v>328</v>
      </c>
      <c r="C50" s="165">
        <f>C49+1</f>
        <v>45</v>
      </c>
      <c r="D50" s="165">
        <f t="shared" si="46"/>
        <v>1</v>
      </c>
      <c r="E50" s="165">
        <f t="shared" si="42"/>
        <v>10</v>
      </c>
      <c r="F50" s="165">
        <f>F49</f>
        <v>155102003</v>
      </c>
      <c r="G50" s="165">
        <f>G49+1</f>
        <v>3</v>
      </c>
      <c r="H50" s="165" t="str">
        <f>H49</f>
        <v>Gem</v>
      </c>
      <c r="I50" s="203">
        <f t="shared" si="0"/>
        <v>150</v>
      </c>
    </row>
    <row r="51" spans="1:9" ht="16.5" customHeight="1" x14ac:dyDescent="0.3">
      <c r="A51" s="161" t="b">
        <v>1</v>
      </c>
      <c r="B51" s="162" t="s">
        <v>328</v>
      </c>
      <c r="C51" s="161">
        <f>C50+1</f>
        <v>46</v>
      </c>
      <c r="D51" s="161">
        <f>D50</f>
        <v>1</v>
      </c>
      <c r="E51" s="163">
        <f t="shared" si="42"/>
        <v>10</v>
      </c>
      <c r="F51" s="161">
        <f>F48+1</f>
        <v>155102004</v>
      </c>
      <c r="G51" s="163">
        <f t="shared" ref="G51:H53" si="47">G48</f>
        <v>1</v>
      </c>
      <c r="H51" s="163" t="str">
        <f t="shared" si="47"/>
        <v>Gem</v>
      </c>
      <c r="I51" s="204">
        <f t="shared" si="0"/>
        <v>50</v>
      </c>
    </row>
    <row r="52" spans="1:9" ht="16.5" customHeight="1" x14ac:dyDescent="0.3">
      <c r="A52" s="161" t="b">
        <v>1</v>
      </c>
      <c r="B52" s="162" t="s">
        <v>328</v>
      </c>
      <c r="C52" s="161">
        <f t="shared" ref="C52:C96" si="48">C51+1</f>
        <v>47</v>
      </c>
      <c r="D52" s="161">
        <f t="shared" ref="D52:D54" si="49">D51</f>
        <v>1</v>
      </c>
      <c r="E52" s="163">
        <f t="shared" si="42"/>
        <v>10</v>
      </c>
      <c r="F52" s="161">
        <f>F51</f>
        <v>155102004</v>
      </c>
      <c r="G52" s="163">
        <f t="shared" si="47"/>
        <v>2</v>
      </c>
      <c r="H52" s="163" t="str">
        <f t="shared" si="47"/>
        <v>Gem</v>
      </c>
      <c r="I52" s="204">
        <f t="shared" si="0"/>
        <v>100</v>
      </c>
    </row>
    <row r="53" spans="1:9" ht="16.5" customHeight="1" x14ac:dyDescent="0.3">
      <c r="A53" s="161" t="b">
        <v>1</v>
      </c>
      <c r="B53" s="162" t="s">
        <v>328</v>
      </c>
      <c r="C53" s="161">
        <f t="shared" si="48"/>
        <v>48</v>
      </c>
      <c r="D53" s="161">
        <f t="shared" si="49"/>
        <v>1</v>
      </c>
      <c r="E53" s="163">
        <f t="shared" si="42"/>
        <v>10</v>
      </c>
      <c r="F53" s="161">
        <f>F52</f>
        <v>155102004</v>
      </c>
      <c r="G53" s="163">
        <f t="shared" si="47"/>
        <v>3</v>
      </c>
      <c r="H53" s="163" t="str">
        <f t="shared" si="47"/>
        <v>Gem</v>
      </c>
      <c r="I53" s="204">
        <f t="shared" si="0"/>
        <v>150</v>
      </c>
    </row>
    <row r="54" spans="1:9" ht="16.5" customHeight="1" x14ac:dyDescent="0.3">
      <c r="A54" s="165" t="b">
        <v>1</v>
      </c>
      <c r="B54" s="166" t="s">
        <v>328</v>
      </c>
      <c r="C54" s="167">
        <f t="shared" si="48"/>
        <v>49</v>
      </c>
      <c r="D54" s="165">
        <f t="shared" si="49"/>
        <v>1</v>
      </c>
      <c r="E54" s="167">
        <f t="shared" si="42"/>
        <v>10</v>
      </c>
      <c r="F54" s="167">
        <f>F51+1</f>
        <v>155102005</v>
      </c>
      <c r="G54" s="167">
        <v>1</v>
      </c>
      <c r="H54" s="167" t="s">
        <v>104</v>
      </c>
      <c r="I54" s="203">
        <f t="shared" si="0"/>
        <v>50</v>
      </c>
    </row>
    <row r="55" spans="1:9" ht="16.5" customHeight="1" x14ac:dyDescent="0.3">
      <c r="A55" s="165" t="b">
        <v>1</v>
      </c>
      <c r="B55" s="166" t="s">
        <v>328</v>
      </c>
      <c r="C55" s="165">
        <f t="shared" si="48"/>
        <v>50</v>
      </c>
      <c r="D55" s="165">
        <f t="shared" ref="D55:D56" si="50">D54</f>
        <v>1</v>
      </c>
      <c r="E55" s="165">
        <f t="shared" si="42"/>
        <v>10</v>
      </c>
      <c r="F55" s="165">
        <f>F54</f>
        <v>155102005</v>
      </c>
      <c r="G55" s="165">
        <f>G54+1</f>
        <v>2</v>
      </c>
      <c r="H55" s="165" t="str">
        <f>H54</f>
        <v>Gem</v>
      </c>
      <c r="I55" s="203">
        <f t="shared" si="0"/>
        <v>100</v>
      </c>
    </row>
    <row r="56" spans="1:9" ht="16.5" customHeight="1" x14ac:dyDescent="0.3">
      <c r="A56" s="165" t="b">
        <v>1</v>
      </c>
      <c r="B56" s="166" t="s">
        <v>328</v>
      </c>
      <c r="C56" s="165">
        <f t="shared" si="48"/>
        <v>51</v>
      </c>
      <c r="D56" s="165">
        <f t="shared" si="50"/>
        <v>1</v>
      </c>
      <c r="E56" s="165">
        <f t="shared" si="42"/>
        <v>10</v>
      </c>
      <c r="F56" s="165">
        <f>F55</f>
        <v>155102005</v>
      </c>
      <c r="G56" s="165">
        <f>G55+1</f>
        <v>3</v>
      </c>
      <c r="H56" s="165" t="str">
        <f>H55</f>
        <v>Gem</v>
      </c>
      <c r="I56" s="203">
        <f t="shared" si="0"/>
        <v>150</v>
      </c>
    </row>
    <row r="57" spans="1:9" ht="16.5" customHeight="1" x14ac:dyDescent="0.3">
      <c r="A57" s="161" t="b">
        <v>1</v>
      </c>
      <c r="B57" s="162" t="s">
        <v>328</v>
      </c>
      <c r="C57" s="161">
        <f t="shared" si="48"/>
        <v>52</v>
      </c>
      <c r="D57" s="161">
        <f>D56</f>
        <v>1</v>
      </c>
      <c r="E57" s="163">
        <f t="shared" si="42"/>
        <v>10</v>
      </c>
      <c r="F57" s="161">
        <f>F54+1</f>
        <v>155102006</v>
      </c>
      <c r="G57" s="163">
        <f t="shared" ref="G57:H59" si="51">G54</f>
        <v>1</v>
      </c>
      <c r="H57" s="163" t="str">
        <f t="shared" si="51"/>
        <v>Gem</v>
      </c>
      <c r="I57" s="204">
        <f t="shared" si="0"/>
        <v>50</v>
      </c>
    </row>
    <row r="58" spans="1:9" ht="16.5" customHeight="1" x14ac:dyDescent="0.3">
      <c r="A58" s="161" t="b">
        <v>1</v>
      </c>
      <c r="B58" s="162" t="s">
        <v>328</v>
      </c>
      <c r="C58" s="161">
        <f t="shared" si="48"/>
        <v>53</v>
      </c>
      <c r="D58" s="161">
        <f t="shared" ref="D58:D60" si="52">D57</f>
        <v>1</v>
      </c>
      <c r="E58" s="163">
        <f t="shared" si="42"/>
        <v>10</v>
      </c>
      <c r="F58" s="161">
        <f>F57</f>
        <v>155102006</v>
      </c>
      <c r="G58" s="163">
        <f t="shared" si="51"/>
        <v>2</v>
      </c>
      <c r="H58" s="163" t="str">
        <f t="shared" si="51"/>
        <v>Gem</v>
      </c>
      <c r="I58" s="204">
        <f t="shared" si="0"/>
        <v>100</v>
      </c>
    </row>
    <row r="59" spans="1:9" ht="16.5" customHeight="1" x14ac:dyDescent="0.3">
      <c r="A59" s="161" t="b">
        <v>1</v>
      </c>
      <c r="B59" s="162" t="s">
        <v>328</v>
      </c>
      <c r="C59" s="161">
        <f t="shared" si="48"/>
        <v>54</v>
      </c>
      <c r="D59" s="161">
        <f t="shared" si="52"/>
        <v>1</v>
      </c>
      <c r="E59" s="163">
        <f t="shared" si="42"/>
        <v>10</v>
      </c>
      <c r="F59" s="161">
        <f>F58</f>
        <v>155102006</v>
      </c>
      <c r="G59" s="163">
        <f t="shared" si="51"/>
        <v>3</v>
      </c>
      <c r="H59" s="163" t="str">
        <f t="shared" si="51"/>
        <v>Gem</v>
      </c>
      <c r="I59" s="204">
        <f t="shared" si="0"/>
        <v>150</v>
      </c>
    </row>
    <row r="60" spans="1:9" ht="16.5" customHeight="1" x14ac:dyDescent="0.3">
      <c r="A60" s="165" t="b">
        <v>1</v>
      </c>
      <c r="B60" s="166" t="s">
        <v>328</v>
      </c>
      <c r="C60" s="167">
        <f t="shared" si="48"/>
        <v>55</v>
      </c>
      <c r="D60" s="165">
        <f t="shared" si="52"/>
        <v>1</v>
      </c>
      <c r="E60" s="179">
        <v>10</v>
      </c>
      <c r="F60" s="160">
        <v>155103001</v>
      </c>
      <c r="G60" s="179">
        <v>1</v>
      </c>
      <c r="H60" s="179" t="s">
        <v>104</v>
      </c>
      <c r="I60" s="203">
        <f t="shared" si="0"/>
        <v>50</v>
      </c>
    </row>
    <row r="61" spans="1:9" ht="16.5" customHeight="1" x14ac:dyDescent="0.3">
      <c r="A61" s="165" t="b">
        <v>1</v>
      </c>
      <c r="B61" s="166" t="s">
        <v>328</v>
      </c>
      <c r="C61" s="165">
        <f t="shared" si="48"/>
        <v>56</v>
      </c>
      <c r="D61" s="165">
        <f t="shared" ref="D61:D62" si="53">D60</f>
        <v>1</v>
      </c>
      <c r="E61" s="179">
        <v>10</v>
      </c>
      <c r="F61" s="165">
        <f>F60</f>
        <v>155103001</v>
      </c>
      <c r="G61" s="167">
        <f>G60+1</f>
        <v>2</v>
      </c>
      <c r="H61" s="167" t="str">
        <f>H60</f>
        <v>Gem</v>
      </c>
      <c r="I61" s="203">
        <f t="shared" si="0"/>
        <v>100</v>
      </c>
    </row>
    <row r="62" spans="1:9" ht="16.5" customHeight="1" x14ac:dyDescent="0.3">
      <c r="A62" s="165" t="b">
        <v>1</v>
      </c>
      <c r="B62" s="166" t="s">
        <v>328</v>
      </c>
      <c r="C62" s="165">
        <f t="shared" si="48"/>
        <v>57</v>
      </c>
      <c r="D62" s="165">
        <f t="shared" si="53"/>
        <v>1</v>
      </c>
      <c r="E62" s="179">
        <v>10</v>
      </c>
      <c r="F62" s="165">
        <f>F61</f>
        <v>155103001</v>
      </c>
      <c r="G62" s="167">
        <f>G61+1</f>
        <v>3</v>
      </c>
      <c r="H62" s="167" t="str">
        <f>H61</f>
        <v>Gem</v>
      </c>
      <c r="I62" s="203">
        <f t="shared" si="0"/>
        <v>150</v>
      </c>
    </row>
    <row r="63" spans="1:9" ht="16.5" customHeight="1" x14ac:dyDescent="0.3">
      <c r="A63" s="161" t="b">
        <v>1</v>
      </c>
      <c r="B63" s="162" t="s">
        <v>328</v>
      </c>
      <c r="C63" s="161">
        <f t="shared" si="48"/>
        <v>58</v>
      </c>
      <c r="D63" s="161">
        <f>D62</f>
        <v>1</v>
      </c>
      <c r="E63" s="163">
        <f t="shared" ref="E63:E95" si="54">E60</f>
        <v>10</v>
      </c>
      <c r="F63" s="161">
        <f>F60+1</f>
        <v>155103002</v>
      </c>
      <c r="G63" s="163">
        <f t="shared" ref="G63:H65" si="55">G60</f>
        <v>1</v>
      </c>
      <c r="H63" s="163" t="str">
        <f t="shared" si="55"/>
        <v>Gem</v>
      </c>
      <c r="I63" s="204">
        <f t="shared" si="0"/>
        <v>50</v>
      </c>
    </row>
    <row r="64" spans="1:9" ht="16.5" customHeight="1" x14ac:dyDescent="0.3">
      <c r="A64" s="161" t="b">
        <v>1</v>
      </c>
      <c r="B64" s="162" t="s">
        <v>328</v>
      </c>
      <c r="C64" s="161">
        <f t="shared" si="48"/>
        <v>59</v>
      </c>
      <c r="D64" s="161">
        <f t="shared" ref="D64:D66" si="56">D63</f>
        <v>1</v>
      </c>
      <c r="E64" s="163">
        <f t="shared" si="54"/>
        <v>10</v>
      </c>
      <c r="F64" s="161">
        <f>F63</f>
        <v>155103002</v>
      </c>
      <c r="G64" s="163">
        <f t="shared" si="55"/>
        <v>2</v>
      </c>
      <c r="H64" s="163" t="str">
        <f t="shared" si="55"/>
        <v>Gem</v>
      </c>
      <c r="I64" s="204">
        <f t="shared" si="0"/>
        <v>100</v>
      </c>
    </row>
    <row r="65" spans="1:9" ht="16.5" customHeight="1" x14ac:dyDescent="0.3">
      <c r="A65" s="161" t="b">
        <v>1</v>
      </c>
      <c r="B65" s="162" t="s">
        <v>328</v>
      </c>
      <c r="C65" s="161">
        <f t="shared" si="48"/>
        <v>60</v>
      </c>
      <c r="D65" s="161">
        <f t="shared" si="56"/>
        <v>1</v>
      </c>
      <c r="E65" s="163">
        <f t="shared" si="54"/>
        <v>10</v>
      </c>
      <c r="F65" s="161">
        <f>F64</f>
        <v>155103002</v>
      </c>
      <c r="G65" s="163">
        <f t="shared" si="55"/>
        <v>3</v>
      </c>
      <c r="H65" s="163" t="str">
        <f t="shared" si="55"/>
        <v>Gem</v>
      </c>
      <c r="I65" s="204">
        <f t="shared" si="0"/>
        <v>150</v>
      </c>
    </row>
    <row r="66" spans="1:9" ht="16.5" customHeight="1" x14ac:dyDescent="0.3">
      <c r="A66" s="165" t="b">
        <v>1</v>
      </c>
      <c r="B66" s="166" t="s">
        <v>328</v>
      </c>
      <c r="C66" s="167">
        <f t="shared" si="48"/>
        <v>61</v>
      </c>
      <c r="D66" s="165">
        <f t="shared" si="56"/>
        <v>1</v>
      </c>
      <c r="E66" s="167">
        <f t="shared" si="54"/>
        <v>10</v>
      </c>
      <c r="F66" s="167">
        <f>F63+1</f>
        <v>155103003</v>
      </c>
      <c r="G66" s="167">
        <v>1</v>
      </c>
      <c r="H66" s="167" t="s">
        <v>104</v>
      </c>
      <c r="I66" s="203">
        <f t="shared" si="0"/>
        <v>50</v>
      </c>
    </row>
    <row r="67" spans="1:9" ht="16.5" customHeight="1" x14ac:dyDescent="0.3">
      <c r="A67" s="165" t="b">
        <v>1</v>
      </c>
      <c r="B67" s="166" t="s">
        <v>328</v>
      </c>
      <c r="C67" s="165">
        <f t="shared" si="48"/>
        <v>62</v>
      </c>
      <c r="D67" s="165">
        <f t="shared" ref="D67:D68" si="57">D66</f>
        <v>1</v>
      </c>
      <c r="E67" s="165">
        <f t="shared" si="54"/>
        <v>10</v>
      </c>
      <c r="F67" s="165">
        <f>F66</f>
        <v>155103003</v>
      </c>
      <c r="G67" s="165">
        <f>G66+1</f>
        <v>2</v>
      </c>
      <c r="H67" s="165" t="str">
        <f>H66</f>
        <v>Gem</v>
      </c>
      <c r="I67" s="203">
        <f t="shared" si="0"/>
        <v>100</v>
      </c>
    </row>
    <row r="68" spans="1:9" ht="16.5" customHeight="1" x14ac:dyDescent="0.3">
      <c r="A68" s="165" t="b">
        <v>1</v>
      </c>
      <c r="B68" s="166" t="s">
        <v>328</v>
      </c>
      <c r="C68" s="165">
        <f t="shared" si="48"/>
        <v>63</v>
      </c>
      <c r="D68" s="165">
        <f t="shared" si="57"/>
        <v>1</v>
      </c>
      <c r="E68" s="165">
        <f t="shared" si="54"/>
        <v>10</v>
      </c>
      <c r="F68" s="165">
        <f>F67</f>
        <v>155103003</v>
      </c>
      <c r="G68" s="165">
        <f>G67+1</f>
        <v>3</v>
      </c>
      <c r="H68" s="165" t="str">
        <f>H67</f>
        <v>Gem</v>
      </c>
      <c r="I68" s="203">
        <f t="shared" si="0"/>
        <v>150</v>
      </c>
    </row>
    <row r="69" spans="1:9" ht="16.5" customHeight="1" x14ac:dyDescent="0.3">
      <c r="A69" s="161" t="b">
        <v>1</v>
      </c>
      <c r="B69" s="162" t="s">
        <v>328</v>
      </c>
      <c r="C69" s="161">
        <f t="shared" si="48"/>
        <v>64</v>
      </c>
      <c r="D69" s="161">
        <f>D68</f>
        <v>1</v>
      </c>
      <c r="E69" s="163">
        <f t="shared" si="54"/>
        <v>10</v>
      </c>
      <c r="F69" s="161">
        <f>F66+1</f>
        <v>155103004</v>
      </c>
      <c r="G69" s="163">
        <f t="shared" ref="G69:H71" si="58">G66</f>
        <v>1</v>
      </c>
      <c r="H69" s="163" t="str">
        <f t="shared" si="58"/>
        <v>Gem</v>
      </c>
      <c r="I69" s="204">
        <f t="shared" si="0"/>
        <v>50</v>
      </c>
    </row>
    <row r="70" spans="1:9" ht="16.5" customHeight="1" x14ac:dyDescent="0.3">
      <c r="A70" s="161" t="b">
        <v>1</v>
      </c>
      <c r="B70" s="162" t="s">
        <v>328</v>
      </c>
      <c r="C70" s="161">
        <f t="shared" si="48"/>
        <v>65</v>
      </c>
      <c r="D70" s="161">
        <f t="shared" ref="D70:D71" si="59">D69</f>
        <v>1</v>
      </c>
      <c r="E70" s="163">
        <f t="shared" si="54"/>
        <v>10</v>
      </c>
      <c r="F70" s="161">
        <f>F69</f>
        <v>155103004</v>
      </c>
      <c r="G70" s="163">
        <f t="shared" si="58"/>
        <v>2</v>
      </c>
      <c r="H70" s="163" t="str">
        <f t="shared" si="58"/>
        <v>Gem</v>
      </c>
      <c r="I70" s="204">
        <f t="shared" ref="I70:I133" si="60">IF(H70="Gem",$H$1*G70,IF(H70="Gold",$I$1*G70))</f>
        <v>100</v>
      </c>
    </row>
    <row r="71" spans="1:9" ht="16.5" customHeight="1" x14ac:dyDescent="0.3">
      <c r="A71" s="161" t="b">
        <v>1</v>
      </c>
      <c r="B71" s="162" t="s">
        <v>328</v>
      </c>
      <c r="C71" s="161">
        <f t="shared" si="48"/>
        <v>66</v>
      </c>
      <c r="D71" s="161">
        <f t="shared" si="59"/>
        <v>1</v>
      </c>
      <c r="E71" s="163">
        <f t="shared" si="54"/>
        <v>10</v>
      </c>
      <c r="F71" s="161">
        <f>F70</f>
        <v>155103004</v>
      </c>
      <c r="G71" s="163">
        <f t="shared" si="58"/>
        <v>3</v>
      </c>
      <c r="H71" s="163" t="str">
        <f t="shared" si="58"/>
        <v>Gem</v>
      </c>
      <c r="I71" s="204">
        <f t="shared" si="60"/>
        <v>150</v>
      </c>
    </row>
    <row r="72" spans="1:9" ht="16.5" customHeight="1" x14ac:dyDescent="0.3">
      <c r="A72" s="181" t="b">
        <v>0</v>
      </c>
      <c r="B72" s="177" t="s">
        <v>328</v>
      </c>
      <c r="C72" s="178">
        <f t="shared" si="48"/>
        <v>67</v>
      </c>
      <c r="D72" s="181">
        <f t="shared" ref="D72:D74" si="61">D71</f>
        <v>1</v>
      </c>
      <c r="E72" s="178">
        <f t="shared" si="54"/>
        <v>10</v>
      </c>
      <c r="F72" s="178">
        <f>F69+1</f>
        <v>155103005</v>
      </c>
      <c r="G72" s="178">
        <v>1</v>
      </c>
      <c r="H72" s="178" t="s">
        <v>104</v>
      </c>
      <c r="I72" s="205">
        <f t="shared" si="60"/>
        <v>50</v>
      </c>
    </row>
    <row r="73" spans="1:9" ht="16.5" customHeight="1" x14ac:dyDescent="0.3">
      <c r="A73" s="181" t="b">
        <v>0</v>
      </c>
      <c r="B73" s="177" t="s">
        <v>328</v>
      </c>
      <c r="C73" s="181">
        <f t="shared" si="48"/>
        <v>68</v>
      </c>
      <c r="D73" s="181">
        <f t="shared" si="61"/>
        <v>1</v>
      </c>
      <c r="E73" s="181">
        <f t="shared" si="54"/>
        <v>10</v>
      </c>
      <c r="F73" s="181">
        <f>F72</f>
        <v>155103005</v>
      </c>
      <c r="G73" s="181">
        <f>G72+1</f>
        <v>2</v>
      </c>
      <c r="H73" s="181" t="str">
        <f>H72</f>
        <v>Gem</v>
      </c>
      <c r="I73" s="205">
        <f t="shared" si="60"/>
        <v>100</v>
      </c>
    </row>
    <row r="74" spans="1:9" ht="16.5" customHeight="1" x14ac:dyDescent="0.3">
      <c r="A74" s="181" t="b">
        <v>0</v>
      </c>
      <c r="B74" s="177" t="s">
        <v>328</v>
      </c>
      <c r="C74" s="181">
        <f t="shared" si="48"/>
        <v>69</v>
      </c>
      <c r="D74" s="181">
        <f t="shared" si="61"/>
        <v>1</v>
      </c>
      <c r="E74" s="181">
        <f t="shared" si="54"/>
        <v>10</v>
      </c>
      <c r="F74" s="181">
        <f>F73</f>
        <v>155103005</v>
      </c>
      <c r="G74" s="181">
        <f>G73+1</f>
        <v>3</v>
      </c>
      <c r="H74" s="181" t="str">
        <f>H73</f>
        <v>Gem</v>
      </c>
      <c r="I74" s="205">
        <f t="shared" si="60"/>
        <v>150</v>
      </c>
    </row>
    <row r="75" spans="1:9" ht="16.5" customHeight="1" x14ac:dyDescent="0.3">
      <c r="A75" s="182" t="b">
        <v>0</v>
      </c>
      <c r="B75" s="174" t="s">
        <v>328</v>
      </c>
      <c r="C75" s="182">
        <f t="shared" si="48"/>
        <v>70</v>
      </c>
      <c r="D75" s="182">
        <f>D74</f>
        <v>1</v>
      </c>
      <c r="E75" s="175">
        <f t="shared" si="54"/>
        <v>10</v>
      </c>
      <c r="F75" s="182">
        <f>F72+1</f>
        <v>155103006</v>
      </c>
      <c r="G75" s="175">
        <f t="shared" ref="G75:H77" si="62">G72</f>
        <v>1</v>
      </c>
      <c r="H75" s="175" t="str">
        <f t="shared" si="62"/>
        <v>Gem</v>
      </c>
      <c r="I75" s="206">
        <f t="shared" si="60"/>
        <v>50</v>
      </c>
    </row>
    <row r="76" spans="1:9" ht="16.5" customHeight="1" x14ac:dyDescent="0.3">
      <c r="A76" s="182" t="b">
        <v>0</v>
      </c>
      <c r="B76" s="174" t="s">
        <v>328</v>
      </c>
      <c r="C76" s="182">
        <f t="shared" si="48"/>
        <v>71</v>
      </c>
      <c r="D76" s="182">
        <f t="shared" ref="D76:D78" si="63">D75</f>
        <v>1</v>
      </c>
      <c r="E76" s="175">
        <f t="shared" si="54"/>
        <v>10</v>
      </c>
      <c r="F76" s="182">
        <f>F75</f>
        <v>155103006</v>
      </c>
      <c r="G76" s="175">
        <f t="shared" si="62"/>
        <v>2</v>
      </c>
      <c r="H76" s="175" t="str">
        <f t="shared" si="62"/>
        <v>Gem</v>
      </c>
      <c r="I76" s="206">
        <f t="shared" si="60"/>
        <v>100</v>
      </c>
    </row>
    <row r="77" spans="1:9" ht="16.5" customHeight="1" x14ac:dyDescent="0.3">
      <c r="A77" s="182" t="b">
        <v>0</v>
      </c>
      <c r="B77" s="174" t="s">
        <v>328</v>
      </c>
      <c r="C77" s="182">
        <f t="shared" si="48"/>
        <v>72</v>
      </c>
      <c r="D77" s="182">
        <f t="shared" si="63"/>
        <v>1</v>
      </c>
      <c r="E77" s="175">
        <f t="shared" si="54"/>
        <v>10</v>
      </c>
      <c r="F77" s="182">
        <f>F76</f>
        <v>155103006</v>
      </c>
      <c r="G77" s="175">
        <f t="shared" si="62"/>
        <v>3</v>
      </c>
      <c r="H77" s="175" t="str">
        <f t="shared" si="62"/>
        <v>Gem</v>
      </c>
      <c r="I77" s="206">
        <f t="shared" si="60"/>
        <v>150</v>
      </c>
    </row>
    <row r="78" spans="1:9" ht="16.5" customHeight="1" x14ac:dyDescent="0.3">
      <c r="A78" s="181" t="b">
        <v>0</v>
      </c>
      <c r="B78" s="177" t="s">
        <v>328</v>
      </c>
      <c r="C78" s="178">
        <f t="shared" si="48"/>
        <v>73</v>
      </c>
      <c r="D78" s="181">
        <f t="shared" si="63"/>
        <v>1</v>
      </c>
      <c r="E78" s="178">
        <f t="shared" si="54"/>
        <v>10</v>
      </c>
      <c r="F78" s="178">
        <f>F75+1</f>
        <v>155103007</v>
      </c>
      <c r="G78" s="178">
        <v>1</v>
      </c>
      <c r="H78" s="178" t="s">
        <v>104</v>
      </c>
      <c r="I78" s="205">
        <f t="shared" si="60"/>
        <v>50</v>
      </c>
    </row>
    <row r="79" spans="1:9" ht="16.5" customHeight="1" x14ac:dyDescent="0.3">
      <c r="A79" s="181" t="b">
        <v>0</v>
      </c>
      <c r="B79" s="177" t="s">
        <v>328</v>
      </c>
      <c r="C79" s="181">
        <f t="shared" si="48"/>
        <v>74</v>
      </c>
      <c r="D79" s="181">
        <f t="shared" ref="D79:D80" si="64">D78</f>
        <v>1</v>
      </c>
      <c r="E79" s="181">
        <f t="shared" si="54"/>
        <v>10</v>
      </c>
      <c r="F79" s="181">
        <f>F78</f>
        <v>155103007</v>
      </c>
      <c r="G79" s="181">
        <f>G78+1</f>
        <v>2</v>
      </c>
      <c r="H79" s="181" t="str">
        <f>H78</f>
        <v>Gem</v>
      </c>
      <c r="I79" s="205">
        <f t="shared" si="60"/>
        <v>100</v>
      </c>
    </row>
    <row r="80" spans="1:9" ht="16.5" customHeight="1" x14ac:dyDescent="0.3">
      <c r="A80" s="181" t="b">
        <v>0</v>
      </c>
      <c r="B80" s="177" t="s">
        <v>328</v>
      </c>
      <c r="C80" s="181">
        <f t="shared" si="48"/>
        <v>75</v>
      </c>
      <c r="D80" s="181">
        <f t="shared" si="64"/>
        <v>1</v>
      </c>
      <c r="E80" s="181">
        <f t="shared" si="54"/>
        <v>10</v>
      </c>
      <c r="F80" s="181">
        <f>F79</f>
        <v>155103007</v>
      </c>
      <c r="G80" s="181">
        <f>G79+1</f>
        <v>3</v>
      </c>
      <c r="H80" s="181" t="str">
        <f>H79</f>
        <v>Gem</v>
      </c>
      <c r="I80" s="205">
        <f t="shared" si="60"/>
        <v>150</v>
      </c>
    </row>
    <row r="81" spans="1:9" ht="16.5" customHeight="1" x14ac:dyDescent="0.3">
      <c r="A81" s="182" t="b">
        <v>0</v>
      </c>
      <c r="B81" s="174" t="s">
        <v>328</v>
      </c>
      <c r="C81" s="182">
        <f t="shared" si="48"/>
        <v>76</v>
      </c>
      <c r="D81" s="182">
        <f>D80</f>
        <v>1</v>
      </c>
      <c r="E81" s="175">
        <f t="shared" si="54"/>
        <v>10</v>
      </c>
      <c r="F81" s="182">
        <f>F78+1</f>
        <v>155103008</v>
      </c>
      <c r="G81" s="175">
        <f t="shared" ref="G81:H83" si="65">G78</f>
        <v>1</v>
      </c>
      <c r="H81" s="175" t="str">
        <f t="shared" si="65"/>
        <v>Gem</v>
      </c>
      <c r="I81" s="206">
        <f t="shared" si="60"/>
        <v>50</v>
      </c>
    </row>
    <row r="82" spans="1:9" ht="16.5" customHeight="1" x14ac:dyDescent="0.3">
      <c r="A82" s="182" t="b">
        <v>0</v>
      </c>
      <c r="B82" s="174" t="s">
        <v>328</v>
      </c>
      <c r="C82" s="182">
        <f t="shared" si="48"/>
        <v>77</v>
      </c>
      <c r="D82" s="182">
        <f t="shared" ref="D82:D84" si="66">D81</f>
        <v>1</v>
      </c>
      <c r="E82" s="175">
        <f t="shared" si="54"/>
        <v>10</v>
      </c>
      <c r="F82" s="182">
        <f>F81</f>
        <v>155103008</v>
      </c>
      <c r="G82" s="175">
        <f t="shared" si="65"/>
        <v>2</v>
      </c>
      <c r="H82" s="175" t="str">
        <f t="shared" si="65"/>
        <v>Gem</v>
      </c>
      <c r="I82" s="206">
        <f t="shared" si="60"/>
        <v>100</v>
      </c>
    </row>
    <row r="83" spans="1:9" ht="16.5" customHeight="1" x14ac:dyDescent="0.3">
      <c r="A83" s="182" t="b">
        <v>0</v>
      </c>
      <c r="B83" s="174" t="s">
        <v>328</v>
      </c>
      <c r="C83" s="182">
        <f t="shared" si="48"/>
        <v>78</v>
      </c>
      <c r="D83" s="182">
        <f t="shared" si="66"/>
        <v>1</v>
      </c>
      <c r="E83" s="175">
        <f t="shared" si="54"/>
        <v>10</v>
      </c>
      <c r="F83" s="182">
        <f>F82</f>
        <v>155103008</v>
      </c>
      <c r="G83" s="175">
        <f t="shared" si="65"/>
        <v>3</v>
      </c>
      <c r="H83" s="175" t="str">
        <f t="shared" si="65"/>
        <v>Gem</v>
      </c>
      <c r="I83" s="206">
        <f t="shared" si="60"/>
        <v>150</v>
      </c>
    </row>
    <row r="84" spans="1:9" ht="16.5" customHeight="1" x14ac:dyDescent="0.3">
      <c r="A84" s="181" t="b">
        <v>0</v>
      </c>
      <c r="B84" s="177" t="s">
        <v>328</v>
      </c>
      <c r="C84" s="178">
        <f t="shared" si="48"/>
        <v>79</v>
      </c>
      <c r="D84" s="181">
        <f t="shared" si="66"/>
        <v>1</v>
      </c>
      <c r="E84" s="178">
        <f t="shared" si="54"/>
        <v>10</v>
      </c>
      <c r="F84" s="178">
        <f>F81+1</f>
        <v>155103009</v>
      </c>
      <c r="G84" s="178">
        <v>1</v>
      </c>
      <c r="H84" s="178" t="s">
        <v>104</v>
      </c>
      <c r="I84" s="205">
        <f t="shared" si="60"/>
        <v>50</v>
      </c>
    </row>
    <row r="85" spans="1:9" ht="16.5" customHeight="1" x14ac:dyDescent="0.3">
      <c r="A85" s="181" t="b">
        <v>0</v>
      </c>
      <c r="B85" s="177" t="s">
        <v>328</v>
      </c>
      <c r="C85" s="181">
        <f t="shared" si="48"/>
        <v>80</v>
      </c>
      <c r="D85" s="181">
        <f t="shared" ref="D85:D86" si="67">D84</f>
        <v>1</v>
      </c>
      <c r="E85" s="181">
        <f t="shared" si="54"/>
        <v>10</v>
      </c>
      <c r="F85" s="181">
        <f>F84</f>
        <v>155103009</v>
      </c>
      <c r="G85" s="181">
        <f>G84+1</f>
        <v>2</v>
      </c>
      <c r="H85" s="181" t="str">
        <f>H84</f>
        <v>Gem</v>
      </c>
      <c r="I85" s="205">
        <f t="shared" si="60"/>
        <v>100</v>
      </c>
    </row>
    <row r="86" spans="1:9" ht="16.5" customHeight="1" x14ac:dyDescent="0.3">
      <c r="A86" s="181" t="b">
        <v>0</v>
      </c>
      <c r="B86" s="177" t="s">
        <v>328</v>
      </c>
      <c r="C86" s="181">
        <f t="shared" si="48"/>
        <v>81</v>
      </c>
      <c r="D86" s="181">
        <f t="shared" si="67"/>
        <v>1</v>
      </c>
      <c r="E86" s="181">
        <f t="shared" si="54"/>
        <v>10</v>
      </c>
      <c r="F86" s="181">
        <f>F85</f>
        <v>155103009</v>
      </c>
      <c r="G86" s="181">
        <f>G85+1</f>
        <v>3</v>
      </c>
      <c r="H86" s="181" t="str">
        <f>H85</f>
        <v>Gem</v>
      </c>
      <c r="I86" s="205">
        <f t="shared" si="60"/>
        <v>150</v>
      </c>
    </row>
    <row r="87" spans="1:9" ht="16.5" customHeight="1" x14ac:dyDescent="0.3">
      <c r="A87" s="182" t="b">
        <v>0</v>
      </c>
      <c r="B87" s="174" t="s">
        <v>328</v>
      </c>
      <c r="C87" s="182">
        <f t="shared" si="48"/>
        <v>82</v>
      </c>
      <c r="D87" s="182">
        <f>D86</f>
        <v>1</v>
      </c>
      <c r="E87" s="175">
        <f t="shared" si="54"/>
        <v>10</v>
      </c>
      <c r="F87" s="182">
        <f>F84+1</f>
        <v>155103010</v>
      </c>
      <c r="G87" s="175">
        <f t="shared" ref="G87:H89" si="68">G84</f>
        <v>1</v>
      </c>
      <c r="H87" s="175" t="str">
        <f t="shared" si="68"/>
        <v>Gem</v>
      </c>
      <c r="I87" s="206">
        <f t="shared" si="60"/>
        <v>50</v>
      </c>
    </row>
    <row r="88" spans="1:9" ht="16.5" customHeight="1" x14ac:dyDescent="0.3">
      <c r="A88" s="182" t="b">
        <v>0</v>
      </c>
      <c r="B88" s="174" t="s">
        <v>328</v>
      </c>
      <c r="C88" s="182">
        <f t="shared" si="48"/>
        <v>83</v>
      </c>
      <c r="D88" s="182">
        <f t="shared" ref="D88:D90" si="69">D87</f>
        <v>1</v>
      </c>
      <c r="E88" s="175">
        <f t="shared" si="54"/>
        <v>10</v>
      </c>
      <c r="F88" s="182">
        <f>F87</f>
        <v>155103010</v>
      </c>
      <c r="G88" s="175">
        <f t="shared" si="68"/>
        <v>2</v>
      </c>
      <c r="H88" s="175" t="str">
        <f t="shared" si="68"/>
        <v>Gem</v>
      </c>
      <c r="I88" s="206">
        <f t="shared" si="60"/>
        <v>100</v>
      </c>
    </row>
    <row r="89" spans="1:9" ht="16.5" customHeight="1" x14ac:dyDescent="0.3">
      <c r="A89" s="182" t="b">
        <v>0</v>
      </c>
      <c r="B89" s="174" t="s">
        <v>328</v>
      </c>
      <c r="C89" s="182">
        <f t="shared" si="48"/>
        <v>84</v>
      </c>
      <c r="D89" s="182">
        <f t="shared" si="69"/>
        <v>1</v>
      </c>
      <c r="E89" s="175">
        <f t="shared" si="54"/>
        <v>10</v>
      </c>
      <c r="F89" s="182">
        <f>F88</f>
        <v>155103010</v>
      </c>
      <c r="G89" s="175">
        <f t="shared" si="68"/>
        <v>3</v>
      </c>
      <c r="H89" s="175" t="str">
        <f t="shared" si="68"/>
        <v>Gem</v>
      </c>
      <c r="I89" s="206">
        <f t="shared" si="60"/>
        <v>150</v>
      </c>
    </row>
    <row r="90" spans="1:9" ht="16.5" customHeight="1" x14ac:dyDescent="0.3">
      <c r="A90" s="181" t="b">
        <v>0</v>
      </c>
      <c r="B90" s="177" t="s">
        <v>328</v>
      </c>
      <c r="C90" s="178">
        <f t="shared" si="48"/>
        <v>85</v>
      </c>
      <c r="D90" s="181">
        <f t="shared" si="69"/>
        <v>1</v>
      </c>
      <c r="E90" s="178">
        <f t="shared" si="54"/>
        <v>10</v>
      </c>
      <c r="F90" s="178">
        <f>F87+1</f>
        <v>155103011</v>
      </c>
      <c r="G90" s="178">
        <v>1</v>
      </c>
      <c r="H90" s="178" t="s">
        <v>104</v>
      </c>
      <c r="I90" s="205">
        <f t="shared" si="60"/>
        <v>50</v>
      </c>
    </row>
    <row r="91" spans="1:9" ht="16.5" customHeight="1" x14ac:dyDescent="0.3">
      <c r="A91" s="181" t="b">
        <v>0</v>
      </c>
      <c r="B91" s="177" t="s">
        <v>328</v>
      </c>
      <c r="C91" s="181">
        <f t="shared" si="48"/>
        <v>86</v>
      </c>
      <c r="D91" s="181">
        <f t="shared" ref="D91:D92" si="70">D90</f>
        <v>1</v>
      </c>
      <c r="E91" s="181">
        <f t="shared" si="54"/>
        <v>10</v>
      </c>
      <c r="F91" s="181">
        <f>F90</f>
        <v>155103011</v>
      </c>
      <c r="G91" s="181">
        <f>G90+1</f>
        <v>2</v>
      </c>
      <c r="H91" s="181" t="str">
        <f>H90</f>
        <v>Gem</v>
      </c>
      <c r="I91" s="205">
        <f t="shared" si="60"/>
        <v>100</v>
      </c>
    </row>
    <row r="92" spans="1:9" ht="16.5" customHeight="1" x14ac:dyDescent="0.3">
      <c r="A92" s="181" t="b">
        <v>0</v>
      </c>
      <c r="B92" s="177" t="s">
        <v>328</v>
      </c>
      <c r="C92" s="181">
        <f t="shared" si="48"/>
        <v>87</v>
      </c>
      <c r="D92" s="181">
        <f t="shared" si="70"/>
        <v>1</v>
      </c>
      <c r="E92" s="181">
        <f t="shared" si="54"/>
        <v>10</v>
      </c>
      <c r="F92" s="181">
        <f>F91</f>
        <v>155103011</v>
      </c>
      <c r="G92" s="181">
        <f>G91+1</f>
        <v>3</v>
      </c>
      <c r="H92" s="181" t="str">
        <f>H91</f>
        <v>Gem</v>
      </c>
      <c r="I92" s="205">
        <f t="shared" si="60"/>
        <v>150</v>
      </c>
    </row>
    <row r="93" spans="1:9" ht="16.5" customHeight="1" x14ac:dyDescent="0.3">
      <c r="A93" s="182" t="b">
        <v>0</v>
      </c>
      <c r="B93" s="174" t="s">
        <v>328</v>
      </c>
      <c r="C93" s="182">
        <f t="shared" si="48"/>
        <v>88</v>
      </c>
      <c r="D93" s="182">
        <f>D92</f>
        <v>1</v>
      </c>
      <c r="E93" s="175">
        <f t="shared" si="54"/>
        <v>10</v>
      </c>
      <c r="F93" s="182">
        <f>F90+1</f>
        <v>155103012</v>
      </c>
      <c r="G93" s="175">
        <f t="shared" ref="G93:H95" si="71">G90</f>
        <v>1</v>
      </c>
      <c r="H93" s="175" t="str">
        <f t="shared" si="71"/>
        <v>Gem</v>
      </c>
      <c r="I93" s="206">
        <f t="shared" si="60"/>
        <v>50</v>
      </c>
    </row>
    <row r="94" spans="1:9" ht="16.5" customHeight="1" x14ac:dyDescent="0.3">
      <c r="A94" s="182" t="b">
        <v>0</v>
      </c>
      <c r="B94" s="174" t="s">
        <v>328</v>
      </c>
      <c r="C94" s="182">
        <f t="shared" si="48"/>
        <v>89</v>
      </c>
      <c r="D94" s="182">
        <f t="shared" ref="D94:D95" si="72">D93</f>
        <v>1</v>
      </c>
      <c r="E94" s="175">
        <f t="shared" si="54"/>
        <v>10</v>
      </c>
      <c r="F94" s="182">
        <f>F93</f>
        <v>155103012</v>
      </c>
      <c r="G94" s="175">
        <f t="shared" si="71"/>
        <v>2</v>
      </c>
      <c r="H94" s="175" t="str">
        <f t="shared" si="71"/>
        <v>Gem</v>
      </c>
      <c r="I94" s="206">
        <f t="shared" si="60"/>
        <v>100</v>
      </c>
    </row>
    <row r="95" spans="1:9" ht="16.5" customHeight="1" x14ac:dyDescent="0.3">
      <c r="A95" s="182" t="b">
        <v>0</v>
      </c>
      <c r="B95" s="174" t="s">
        <v>328</v>
      </c>
      <c r="C95" s="182">
        <f t="shared" si="48"/>
        <v>90</v>
      </c>
      <c r="D95" s="182">
        <f t="shared" si="72"/>
        <v>1</v>
      </c>
      <c r="E95" s="175">
        <f t="shared" si="54"/>
        <v>10</v>
      </c>
      <c r="F95" s="182">
        <f>F94</f>
        <v>155103012</v>
      </c>
      <c r="G95" s="175">
        <f t="shared" si="71"/>
        <v>3</v>
      </c>
      <c r="H95" s="175" t="str">
        <f t="shared" si="71"/>
        <v>Gem</v>
      </c>
      <c r="I95" s="206">
        <f t="shared" si="60"/>
        <v>150</v>
      </c>
    </row>
    <row r="96" spans="1:9" ht="16.5" customHeight="1" x14ac:dyDescent="0.3">
      <c r="A96" s="169" t="b">
        <v>1</v>
      </c>
      <c r="B96" s="169" t="s">
        <v>329</v>
      </c>
      <c r="C96" s="169">
        <f t="shared" si="48"/>
        <v>91</v>
      </c>
      <c r="D96" s="179">
        <v>2</v>
      </c>
      <c r="E96" s="179">
        <v>10</v>
      </c>
      <c r="F96" s="160">
        <v>155101001</v>
      </c>
      <c r="G96" s="179">
        <v>1</v>
      </c>
      <c r="H96" s="179" t="s">
        <v>104</v>
      </c>
      <c r="I96" s="207">
        <f t="shared" si="60"/>
        <v>50</v>
      </c>
    </row>
    <row r="97" spans="1:9" ht="16.5" customHeight="1" x14ac:dyDescent="0.3">
      <c r="A97" s="169" t="b">
        <v>1</v>
      </c>
      <c r="B97" s="170" t="s">
        <v>329</v>
      </c>
      <c r="C97" s="169">
        <f t="shared" ref="C97:C102" si="73">C96+1</f>
        <v>92</v>
      </c>
      <c r="D97" s="169">
        <f t="shared" ref="D97:D101" si="74">D96</f>
        <v>2</v>
      </c>
      <c r="E97" s="179">
        <v>10</v>
      </c>
      <c r="F97" s="169">
        <f>F96</f>
        <v>155101001</v>
      </c>
      <c r="G97" s="169">
        <f>G96+1</f>
        <v>2</v>
      </c>
      <c r="H97" s="169" t="str">
        <f>H96</f>
        <v>Gem</v>
      </c>
      <c r="I97" s="207">
        <f t="shared" si="60"/>
        <v>100</v>
      </c>
    </row>
    <row r="98" spans="1:9" ht="16.5" customHeight="1" x14ac:dyDescent="0.3">
      <c r="A98" s="169" t="b">
        <v>1</v>
      </c>
      <c r="B98" s="170" t="s">
        <v>329</v>
      </c>
      <c r="C98" s="169">
        <f t="shared" si="73"/>
        <v>93</v>
      </c>
      <c r="D98" s="169">
        <f t="shared" si="74"/>
        <v>2</v>
      </c>
      <c r="E98" s="179">
        <v>10</v>
      </c>
      <c r="F98" s="169">
        <f>F97</f>
        <v>155101001</v>
      </c>
      <c r="G98" s="169">
        <f>G97+1</f>
        <v>3</v>
      </c>
      <c r="H98" s="169" t="str">
        <f>H97</f>
        <v>Gem</v>
      </c>
      <c r="I98" s="207">
        <f t="shared" si="60"/>
        <v>150</v>
      </c>
    </row>
    <row r="99" spans="1:9" ht="16.5" customHeight="1" x14ac:dyDescent="0.3">
      <c r="A99" s="169" t="b">
        <v>1</v>
      </c>
      <c r="B99" s="170" t="s">
        <v>329</v>
      </c>
      <c r="C99" s="169">
        <f t="shared" si="73"/>
        <v>94</v>
      </c>
      <c r="D99" s="169">
        <f t="shared" si="74"/>
        <v>2</v>
      </c>
      <c r="E99" s="179">
        <v>6</v>
      </c>
      <c r="F99" s="169">
        <f>F98</f>
        <v>155101001</v>
      </c>
      <c r="G99" s="179">
        <v>1</v>
      </c>
      <c r="H99" s="179" t="s">
        <v>335</v>
      </c>
      <c r="I99" s="207">
        <f t="shared" si="60"/>
        <v>10000</v>
      </c>
    </row>
    <row r="100" spans="1:9" ht="16.5" customHeight="1" x14ac:dyDescent="0.3">
      <c r="A100" s="169" t="b">
        <v>1</v>
      </c>
      <c r="B100" s="170" t="s">
        <v>329</v>
      </c>
      <c r="C100" s="169">
        <f t="shared" si="73"/>
        <v>95</v>
      </c>
      <c r="D100" s="169">
        <f t="shared" si="74"/>
        <v>2</v>
      </c>
      <c r="E100" s="179">
        <v>6</v>
      </c>
      <c r="F100" s="169">
        <f>F99</f>
        <v>155101001</v>
      </c>
      <c r="G100" s="169">
        <f>G99+1</f>
        <v>2</v>
      </c>
      <c r="H100" s="169" t="str">
        <f t="shared" ref="H100:H101" si="75">H99</f>
        <v>Gold</v>
      </c>
      <c r="I100" s="207">
        <f t="shared" si="60"/>
        <v>20000</v>
      </c>
    </row>
    <row r="101" spans="1:9" ht="16.5" customHeight="1" x14ac:dyDescent="0.3">
      <c r="A101" s="169" t="b">
        <v>1</v>
      </c>
      <c r="B101" s="170" t="s">
        <v>329</v>
      </c>
      <c r="C101" s="169">
        <f t="shared" si="73"/>
        <v>96</v>
      </c>
      <c r="D101" s="169">
        <f t="shared" si="74"/>
        <v>2</v>
      </c>
      <c r="E101" s="179">
        <v>6</v>
      </c>
      <c r="F101" s="169">
        <f>F100</f>
        <v>155101001</v>
      </c>
      <c r="G101" s="169">
        <f>G100+1</f>
        <v>3</v>
      </c>
      <c r="H101" s="169" t="str">
        <f t="shared" si="75"/>
        <v>Gold</v>
      </c>
      <c r="I101" s="207">
        <f t="shared" si="60"/>
        <v>30000</v>
      </c>
    </row>
    <row r="102" spans="1:9" ht="16.5" customHeight="1" x14ac:dyDescent="0.3">
      <c r="A102" s="210" t="b">
        <v>1</v>
      </c>
      <c r="B102" s="211" t="s">
        <v>329</v>
      </c>
      <c r="C102" s="210">
        <f t="shared" si="73"/>
        <v>97</v>
      </c>
      <c r="D102" s="210">
        <f>D98</f>
        <v>2</v>
      </c>
      <c r="E102" s="212">
        <f>E96</f>
        <v>10</v>
      </c>
      <c r="F102" s="210">
        <f>F96+1</f>
        <v>155101002</v>
      </c>
      <c r="G102" s="212">
        <f>G96</f>
        <v>1</v>
      </c>
      <c r="H102" s="212" t="str">
        <f>H96</f>
        <v>Gem</v>
      </c>
      <c r="I102" s="208">
        <f t="shared" si="60"/>
        <v>50</v>
      </c>
    </row>
    <row r="103" spans="1:9" ht="16.5" customHeight="1" x14ac:dyDescent="0.3">
      <c r="A103" s="210" t="b">
        <v>1</v>
      </c>
      <c r="B103" s="211" t="s">
        <v>329</v>
      </c>
      <c r="C103" s="210">
        <f t="shared" ref="C103:C108" si="76">C102+1</f>
        <v>98</v>
      </c>
      <c r="D103" s="210">
        <f t="shared" ref="D103:D108" si="77">D102</f>
        <v>2</v>
      </c>
      <c r="E103" s="212">
        <f t="shared" ref="E103:E107" si="78">E97</f>
        <v>10</v>
      </c>
      <c r="F103" s="210">
        <f>F102</f>
        <v>155101002</v>
      </c>
      <c r="G103" s="212">
        <f t="shared" ref="G103:H103" si="79">G97</f>
        <v>2</v>
      </c>
      <c r="H103" s="212" t="str">
        <f t="shared" si="79"/>
        <v>Gem</v>
      </c>
      <c r="I103" s="208">
        <f t="shared" si="60"/>
        <v>100</v>
      </c>
    </row>
    <row r="104" spans="1:9" ht="16.5" customHeight="1" x14ac:dyDescent="0.3">
      <c r="A104" s="210" t="b">
        <v>1</v>
      </c>
      <c r="B104" s="211" t="s">
        <v>329</v>
      </c>
      <c r="C104" s="210">
        <f t="shared" si="76"/>
        <v>99</v>
      </c>
      <c r="D104" s="210">
        <f t="shared" si="77"/>
        <v>2</v>
      </c>
      <c r="E104" s="212">
        <f t="shared" si="78"/>
        <v>10</v>
      </c>
      <c r="F104" s="210">
        <f>F103</f>
        <v>155101002</v>
      </c>
      <c r="G104" s="212">
        <f t="shared" ref="G104:H104" si="80">G98</f>
        <v>3</v>
      </c>
      <c r="H104" s="212" t="str">
        <f t="shared" si="80"/>
        <v>Gem</v>
      </c>
      <c r="I104" s="208">
        <f t="shared" si="60"/>
        <v>150</v>
      </c>
    </row>
    <row r="105" spans="1:9" ht="16.5" customHeight="1" x14ac:dyDescent="0.3">
      <c r="A105" s="210" t="b">
        <v>1</v>
      </c>
      <c r="B105" s="211" t="s">
        <v>329</v>
      </c>
      <c r="C105" s="210">
        <f t="shared" si="76"/>
        <v>100</v>
      </c>
      <c r="D105" s="210">
        <f t="shared" si="77"/>
        <v>2</v>
      </c>
      <c r="E105" s="212">
        <f t="shared" si="78"/>
        <v>6</v>
      </c>
      <c r="F105" s="210">
        <f>F104</f>
        <v>155101002</v>
      </c>
      <c r="G105" s="212">
        <f t="shared" ref="G105:H105" si="81">G99</f>
        <v>1</v>
      </c>
      <c r="H105" s="212" t="str">
        <f t="shared" si="81"/>
        <v>Gold</v>
      </c>
      <c r="I105" s="208">
        <f t="shared" si="60"/>
        <v>10000</v>
      </c>
    </row>
    <row r="106" spans="1:9" ht="16.5" customHeight="1" x14ac:dyDescent="0.3">
      <c r="A106" s="210" t="b">
        <v>1</v>
      </c>
      <c r="B106" s="211" t="s">
        <v>329</v>
      </c>
      <c r="C106" s="210">
        <f t="shared" si="76"/>
        <v>101</v>
      </c>
      <c r="D106" s="210">
        <f t="shared" si="77"/>
        <v>2</v>
      </c>
      <c r="E106" s="212">
        <f t="shared" si="78"/>
        <v>6</v>
      </c>
      <c r="F106" s="210">
        <f>F105</f>
        <v>155101002</v>
      </c>
      <c r="G106" s="212">
        <f t="shared" ref="G106:H106" si="82">G100</f>
        <v>2</v>
      </c>
      <c r="H106" s="212" t="str">
        <f t="shared" si="82"/>
        <v>Gold</v>
      </c>
      <c r="I106" s="208">
        <f t="shared" si="60"/>
        <v>20000</v>
      </c>
    </row>
    <row r="107" spans="1:9" ht="16.5" customHeight="1" x14ac:dyDescent="0.3">
      <c r="A107" s="210" t="b">
        <v>1</v>
      </c>
      <c r="B107" s="211" t="s">
        <v>329</v>
      </c>
      <c r="C107" s="210">
        <f t="shared" si="76"/>
        <v>102</v>
      </c>
      <c r="D107" s="210">
        <f t="shared" si="77"/>
        <v>2</v>
      </c>
      <c r="E107" s="212">
        <f t="shared" si="78"/>
        <v>6</v>
      </c>
      <c r="F107" s="210">
        <f>F106</f>
        <v>155101002</v>
      </c>
      <c r="G107" s="212">
        <f t="shared" ref="G107:H107" si="83">G101</f>
        <v>3</v>
      </c>
      <c r="H107" s="212" t="str">
        <f t="shared" si="83"/>
        <v>Gold</v>
      </c>
      <c r="I107" s="208">
        <f t="shared" si="60"/>
        <v>30000</v>
      </c>
    </row>
    <row r="108" spans="1:9" ht="16.5" customHeight="1" x14ac:dyDescent="0.3">
      <c r="A108" s="169" t="b">
        <v>1</v>
      </c>
      <c r="B108" s="170" t="s">
        <v>329</v>
      </c>
      <c r="C108" s="171">
        <f t="shared" si="76"/>
        <v>103</v>
      </c>
      <c r="D108" s="169">
        <f t="shared" si="77"/>
        <v>2</v>
      </c>
      <c r="E108" s="171">
        <f>E102</f>
        <v>10</v>
      </c>
      <c r="F108" s="171">
        <f>F102+1</f>
        <v>155101003</v>
      </c>
      <c r="G108" s="171">
        <v>1</v>
      </c>
      <c r="H108" s="171" t="s">
        <v>104</v>
      </c>
      <c r="I108" s="207">
        <f t="shared" si="60"/>
        <v>50</v>
      </c>
    </row>
    <row r="109" spans="1:9" ht="16.5" customHeight="1" x14ac:dyDescent="0.3">
      <c r="A109" s="169" t="b">
        <v>1</v>
      </c>
      <c r="B109" s="170" t="s">
        <v>329</v>
      </c>
      <c r="C109" s="169">
        <f t="shared" ref="C109:C114" si="84">C108+1</f>
        <v>104</v>
      </c>
      <c r="D109" s="169">
        <f t="shared" ref="D109:D113" si="85">D108</f>
        <v>2</v>
      </c>
      <c r="E109" s="169">
        <f t="shared" ref="E109:E113" si="86">E103</f>
        <v>10</v>
      </c>
      <c r="F109" s="169">
        <f>F108</f>
        <v>155101003</v>
      </c>
      <c r="G109" s="169">
        <f>G108+1</f>
        <v>2</v>
      </c>
      <c r="H109" s="169" t="str">
        <f>H108</f>
        <v>Gem</v>
      </c>
      <c r="I109" s="207">
        <f t="shared" si="60"/>
        <v>100</v>
      </c>
    </row>
    <row r="110" spans="1:9" ht="16.5" customHeight="1" x14ac:dyDescent="0.3">
      <c r="A110" s="169" t="b">
        <v>1</v>
      </c>
      <c r="B110" s="170" t="s">
        <v>329</v>
      </c>
      <c r="C110" s="169">
        <f t="shared" si="84"/>
        <v>105</v>
      </c>
      <c r="D110" s="169">
        <f t="shared" si="85"/>
        <v>2</v>
      </c>
      <c r="E110" s="169">
        <f t="shared" si="86"/>
        <v>10</v>
      </c>
      <c r="F110" s="169">
        <f>F109</f>
        <v>155101003</v>
      </c>
      <c r="G110" s="169">
        <f>G109+1</f>
        <v>3</v>
      </c>
      <c r="H110" s="169" t="str">
        <f>H109</f>
        <v>Gem</v>
      </c>
      <c r="I110" s="207">
        <f t="shared" si="60"/>
        <v>150</v>
      </c>
    </row>
    <row r="111" spans="1:9" ht="16.5" customHeight="1" x14ac:dyDescent="0.3">
      <c r="A111" s="169" t="b">
        <v>1</v>
      </c>
      <c r="B111" s="170" t="s">
        <v>329</v>
      </c>
      <c r="C111" s="169">
        <f t="shared" si="84"/>
        <v>106</v>
      </c>
      <c r="D111" s="169">
        <f t="shared" si="85"/>
        <v>2</v>
      </c>
      <c r="E111" s="169">
        <f t="shared" si="86"/>
        <v>6</v>
      </c>
      <c r="F111" s="169">
        <f>F110</f>
        <v>155101003</v>
      </c>
      <c r="G111" s="169">
        <v>1</v>
      </c>
      <c r="H111" s="169" t="s">
        <v>334</v>
      </c>
      <c r="I111" s="207">
        <f t="shared" si="60"/>
        <v>10000</v>
      </c>
    </row>
    <row r="112" spans="1:9" ht="16.5" customHeight="1" x14ac:dyDescent="0.3">
      <c r="A112" s="169" t="b">
        <v>1</v>
      </c>
      <c r="B112" s="170" t="s">
        <v>329</v>
      </c>
      <c r="C112" s="169">
        <f t="shared" si="84"/>
        <v>107</v>
      </c>
      <c r="D112" s="169">
        <f t="shared" si="85"/>
        <v>2</v>
      </c>
      <c r="E112" s="169">
        <f t="shared" si="86"/>
        <v>6</v>
      </c>
      <c r="F112" s="169">
        <f>F111</f>
        <v>155101003</v>
      </c>
      <c r="G112" s="169">
        <f>G111+1</f>
        <v>2</v>
      </c>
      <c r="H112" s="169" t="str">
        <f t="shared" ref="H112:H113" si="87">H111</f>
        <v>Gold</v>
      </c>
      <c r="I112" s="207">
        <f t="shared" si="60"/>
        <v>20000</v>
      </c>
    </row>
    <row r="113" spans="1:9" ht="16.5" customHeight="1" x14ac:dyDescent="0.3">
      <c r="A113" s="169" t="b">
        <v>1</v>
      </c>
      <c r="B113" s="170" t="s">
        <v>329</v>
      </c>
      <c r="C113" s="169">
        <f t="shared" si="84"/>
        <v>108</v>
      </c>
      <c r="D113" s="169">
        <f t="shared" si="85"/>
        <v>2</v>
      </c>
      <c r="E113" s="169">
        <f t="shared" si="86"/>
        <v>6</v>
      </c>
      <c r="F113" s="169">
        <f>F112</f>
        <v>155101003</v>
      </c>
      <c r="G113" s="169">
        <f>G112+1</f>
        <v>3</v>
      </c>
      <c r="H113" s="169" t="str">
        <f t="shared" si="87"/>
        <v>Gold</v>
      </c>
      <c r="I113" s="207">
        <f t="shared" si="60"/>
        <v>30000</v>
      </c>
    </row>
    <row r="114" spans="1:9" ht="16.5" customHeight="1" x14ac:dyDescent="0.3">
      <c r="A114" s="210" t="b">
        <v>1</v>
      </c>
      <c r="B114" s="211" t="s">
        <v>329</v>
      </c>
      <c r="C114" s="210">
        <f t="shared" si="84"/>
        <v>109</v>
      </c>
      <c r="D114" s="210">
        <f>D110</f>
        <v>2</v>
      </c>
      <c r="E114" s="212">
        <f>E108</f>
        <v>10</v>
      </c>
      <c r="F114" s="210">
        <f>F108+1</f>
        <v>155101004</v>
      </c>
      <c r="G114" s="212">
        <f>G108</f>
        <v>1</v>
      </c>
      <c r="H114" s="212" t="str">
        <f>H108</f>
        <v>Gem</v>
      </c>
      <c r="I114" s="208">
        <f t="shared" si="60"/>
        <v>50</v>
      </c>
    </row>
    <row r="115" spans="1:9" ht="16.5" customHeight="1" x14ac:dyDescent="0.3">
      <c r="A115" s="210" t="b">
        <v>1</v>
      </c>
      <c r="B115" s="211" t="s">
        <v>329</v>
      </c>
      <c r="C115" s="210">
        <f t="shared" ref="C115:C120" si="88">C114+1</f>
        <v>110</v>
      </c>
      <c r="D115" s="210">
        <f t="shared" ref="D115:D120" si="89">D114</f>
        <v>2</v>
      </c>
      <c r="E115" s="212">
        <f t="shared" ref="E115:E119" si="90">E109</f>
        <v>10</v>
      </c>
      <c r="F115" s="210">
        <f>F114</f>
        <v>155101004</v>
      </c>
      <c r="G115" s="212">
        <f t="shared" ref="G115:H115" si="91">G109</f>
        <v>2</v>
      </c>
      <c r="H115" s="212" t="str">
        <f t="shared" si="91"/>
        <v>Gem</v>
      </c>
      <c r="I115" s="208">
        <f t="shared" si="60"/>
        <v>100</v>
      </c>
    </row>
    <row r="116" spans="1:9" ht="16.5" customHeight="1" x14ac:dyDescent="0.3">
      <c r="A116" s="210" t="b">
        <v>1</v>
      </c>
      <c r="B116" s="211" t="s">
        <v>329</v>
      </c>
      <c r="C116" s="210">
        <f t="shared" si="88"/>
        <v>111</v>
      </c>
      <c r="D116" s="210">
        <f t="shared" si="89"/>
        <v>2</v>
      </c>
      <c r="E116" s="212">
        <f t="shared" si="90"/>
        <v>10</v>
      </c>
      <c r="F116" s="210">
        <f>F115</f>
        <v>155101004</v>
      </c>
      <c r="G116" s="212">
        <f t="shared" ref="G116:H116" si="92">G110</f>
        <v>3</v>
      </c>
      <c r="H116" s="212" t="str">
        <f t="shared" si="92"/>
        <v>Gem</v>
      </c>
      <c r="I116" s="208">
        <f t="shared" si="60"/>
        <v>150</v>
      </c>
    </row>
    <row r="117" spans="1:9" ht="16.5" customHeight="1" x14ac:dyDescent="0.3">
      <c r="A117" s="210" t="b">
        <v>1</v>
      </c>
      <c r="B117" s="211" t="s">
        <v>329</v>
      </c>
      <c r="C117" s="210">
        <f t="shared" si="88"/>
        <v>112</v>
      </c>
      <c r="D117" s="210">
        <f t="shared" si="89"/>
        <v>2</v>
      </c>
      <c r="E117" s="212">
        <f t="shared" si="90"/>
        <v>6</v>
      </c>
      <c r="F117" s="210">
        <f>F116</f>
        <v>155101004</v>
      </c>
      <c r="G117" s="212">
        <f t="shared" ref="G117:H117" si="93">G111</f>
        <v>1</v>
      </c>
      <c r="H117" s="212" t="str">
        <f t="shared" si="93"/>
        <v>Gold</v>
      </c>
      <c r="I117" s="208">
        <f t="shared" si="60"/>
        <v>10000</v>
      </c>
    </row>
    <row r="118" spans="1:9" ht="16.5" customHeight="1" x14ac:dyDescent="0.3">
      <c r="A118" s="210" t="b">
        <v>1</v>
      </c>
      <c r="B118" s="211" t="s">
        <v>329</v>
      </c>
      <c r="C118" s="210">
        <f t="shared" si="88"/>
        <v>113</v>
      </c>
      <c r="D118" s="210">
        <f t="shared" si="89"/>
        <v>2</v>
      </c>
      <c r="E118" s="212">
        <f t="shared" si="90"/>
        <v>6</v>
      </c>
      <c r="F118" s="210">
        <f>F117</f>
        <v>155101004</v>
      </c>
      <c r="G118" s="212">
        <f t="shared" ref="G118:H118" si="94">G112</f>
        <v>2</v>
      </c>
      <c r="H118" s="212" t="str">
        <f t="shared" si="94"/>
        <v>Gold</v>
      </c>
      <c r="I118" s="208">
        <f t="shared" si="60"/>
        <v>20000</v>
      </c>
    </row>
    <row r="119" spans="1:9" ht="16.5" customHeight="1" x14ac:dyDescent="0.3">
      <c r="A119" s="210" t="b">
        <v>1</v>
      </c>
      <c r="B119" s="211" t="s">
        <v>329</v>
      </c>
      <c r="C119" s="210">
        <f t="shared" si="88"/>
        <v>114</v>
      </c>
      <c r="D119" s="210">
        <f t="shared" si="89"/>
        <v>2</v>
      </c>
      <c r="E119" s="212">
        <f t="shared" si="90"/>
        <v>6</v>
      </c>
      <c r="F119" s="210">
        <f>F118</f>
        <v>155101004</v>
      </c>
      <c r="G119" s="212">
        <f t="shared" ref="G119:H119" si="95">G113</f>
        <v>3</v>
      </c>
      <c r="H119" s="212" t="str">
        <f t="shared" si="95"/>
        <v>Gold</v>
      </c>
      <c r="I119" s="208">
        <f t="shared" si="60"/>
        <v>30000</v>
      </c>
    </row>
    <row r="120" spans="1:9" ht="16.5" customHeight="1" x14ac:dyDescent="0.3">
      <c r="A120" s="169" t="b">
        <v>1</v>
      </c>
      <c r="B120" s="170" t="s">
        <v>329</v>
      </c>
      <c r="C120" s="171">
        <f t="shared" si="88"/>
        <v>115</v>
      </c>
      <c r="D120" s="169">
        <f t="shared" si="89"/>
        <v>2</v>
      </c>
      <c r="E120" s="171">
        <f>E114</f>
        <v>10</v>
      </c>
      <c r="F120" s="171">
        <f>F114+1</f>
        <v>155101005</v>
      </c>
      <c r="G120" s="171">
        <v>1</v>
      </c>
      <c r="H120" s="171" t="s">
        <v>104</v>
      </c>
      <c r="I120" s="207">
        <f t="shared" si="60"/>
        <v>50</v>
      </c>
    </row>
    <row r="121" spans="1:9" ht="16.5" customHeight="1" x14ac:dyDescent="0.3">
      <c r="A121" s="169" t="b">
        <v>1</v>
      </c>
      <c r="B121" s="170" t="s">
        <v>329</v>
      </c>
      <c r="C121" s="169">
        <f t="shared" ref="C121:C126" si="96">C120+1</f>
        <v>116</v>
      </c>
      <c r="D121" s="169">
        <f t="shared" ref="D121:D125" si="97">D120</f>
        <v>2</v>
      </c>
      <c r="E121" s="169">
        <f t="shared" ref="E121:E125" si="98">E115</f>
        <v>10</v>
      </c>
      <c r="F121" s="169">
        <f>F120</f>
        <v>155101005</v>
      </c>
      <c r="G121" s="169">
        <f>G120+1</f>
        <v>2</v>
      </c>
      <c r="H121" s="169" t="str">
        <f>H120</f>
        <v>Gem</v>
      </c>
      <c r="I121" s="207">
        <f t="shared" si="60"/>
        <v>100</v>
      </c>
    </row>
    <row r="122" spans="1:9" ht="16.5" customHeight="1" x14ac:dyDescent="0.3">
      <c r="A122" s="169" t="b">
        <v>1</v>
      </c>
      <c r="B122" s="170" t="s">
        <v>329</v>
      </c>
      <c r="C122" s="169">
        <f t="shared" si="96"/>
        <v>117</v>
      </c>
      <c r="D122" s="169">
        <f t="shared" si="97"/>
        <v>2</v>
      </c>
      <c r="E122" s="169">
        <f t="shared" si="98"/>
        <v>10</v>
      </c>
      <c r="F122" s="169">
        <f>F121</f>
        <v>155101005</v>
      </c>
      <c r="G122" s="169">
        <f>G121+1</f>
        <v>3</v>
      </c>
      <c r="H122" s="169" t="str">
        <f>H121</f>
        <v>Gem</v>
      </c>
      <c r="I122" s="207">
        <f t="shared" si="60"/>
        <v>150</v>
      </c>
    </row>
    <row r="123" spans="1:9" ht="16.5" customHeight="1" x14ac:dyDescent="0.3">
      <c r="A123" s="169" t="b">
        <v>1</v>
      </c>
      <c r="B123" s="170" t="s">
        <v>329</v>
      </c>
      <c r="C123" s="169">
        <f t="shared" si="96"/>
        <v>118</v>
      </c>
      <c r="D123" s="169">
        <f t="shared" si="97"/>
        <v>2</v>
      </c>
      <c r="E123" s="169">
        <f t="shared" si="98"/>
        <v>6</v>
      </c>
      <c r="F123" s="169">
        <f>F122</f>
        <v>155101005</v>
      </c>
      <c r="G123" s="169">
        <v>1</v>
      </c>
      <c r="H123" s="169" t="s">
        <v>334</v>
      </c>
      <c r="I123" s="207">
        <f t="shared" si="60"/>
        <v>10000</v>
      </c>
    </row>
    <row r="124" spans="1:9" ht="16.5" customHeight="1" x14ac:dyDescent="0.3">
      <c r="A124" s="169" t="b">
        <v>1</v>
      </c>
      <c r="B124" s="170" t="s">
        <v>329</v>
      </c>
      <c r="C124" s="169">
        <f t="shared" si="96"/>
        <v>119</v>
      </c>
      <c r="D124" s="169">
        <f t="shared" si="97"/>
        <v>2</v>
      </c>
      <c r="E124" s="169">
        <f t="shared" si="98"/>
        <v>6</v>
      </c>
      <c r="F124" s="169">
        <f>F123</f>
        <v>155101005</v>
      </c>
      <c r="G124" s="169">
        <f>G123+1</f>
        <v>2</v>
      </c>
      <c r="H124" s="169" t="str">
        <f t="shared" ref="H124:H125" si="99">H123</f>
        <v>Gold</v>
      </c>
      <c r="I124" s="207">
        <f t="shared" si="60"/>
        <v>20000</v>
      </c>
    </row>
    <row r="125" spans="1:9" ht="16.5" customHeight="1" x14ac:dyDescent="0.3">
      <c r="A125" s="169" t="b">
        <v>1</v>
      </c>
      <c r="B125" s="170" t="s">
        <v>329</v>
      </c>
      <c r="C125" s="169">
        <f t="shared" si="96"/>
        <v>120</v>
      </c>
      <c r="D125" s="169">
        <f t="shared" si="97"/>
        <v>2</v>
      </c>
      <c r="E125" s="169">
        <f t="shared" si="98"/>
        <v>6</v>
      </c>
      <c r="F125" s="169">
        <f>F124</f>
        <v>155101005</v>
      </c>
      <c r="G125" s="169">
        <f>G124+1</f>
        <v>3</v>
      </c>
      <c r="H125" s="169" t="str">
        <f t="shared" si="99"/>
        <v>Gold</v>
      </c>
      <c r="I125" s="207">
        <f t="shared" si="60"/>
        <v>30000</v>
      </c>
    </row>
    <row r="126" spans="1:9" ht="16.5" customHeight="1" x14ac:dyDescent="0.3">
      <c r="A126" s="210" t="b">
        <v>1</v>
      </c>
      <c r="B126" s="211" t="s">
        <v>329</v>
      </c>
      <c r="C126" s="210">
        <f t="shared" si="96"/>
        <v>121</v>
      </c>
      <c r="D126" s="210">
        <f>D122</f>
        <v>2</v>
      </c>
      <c r="E126" s="212">
        <f>E120</f>
        <v>10</v>
      </c>
      <c r="F126" s="210">
        <f>F120+1</f>
        <v>155101006</v>
      </c>
      <c r="G126" s="212">
        <f>G120</f>
        <v>1</v>
      </c>
      <c r="H126" s="212" t="str">
        <f>H120</f>
        <v>Gem</v>
      </c>
      <c r="I126" s="208">
        <f t="shared" si="60"/>
        <v>50</v>
      </c>
    </row>
    <row r="127" spans="1:9" ht="16.5" customHeight="1" x14ac:dyDescent="0.3">
      <c r="A127" s="210" t="b">
        <v>1</v>
      </c>
      <c r="B127" s="211" t="s">
        <v>329</v>
      </c>
      <c r="C127" s="210">
        <f t="shared" ref="C127:C132" si="100">C126+1</f>
        <v>122</v>
      </c>
      <c r="D127" s="210">
        <f t="shared" ref="D127:D132" si="101">D126</f>
        <v>2</v>
      </c>
      <c r="E127" s="212">
        <f t="shared" ref="E127:E131" si="102">E121</f>
        <v>10</v>
      </c>
      <c r="F127" s="210">
        <f>F126</f>
        <v>155101006</v>
      </c>
      <c r="G127" s="212">
        <f t="shared" ref="G127:H127" si="103">G121</f>
        <v>2</v>
      </c>
      <c r="H127" s="212" t="str">
        <f t="shared" si="103"/>
        <v>Gem</v>
      </c>
      <c r="I127" s="208">
        <f t="shared" si="60"/>
        <v>100</v>
      </c>
    </row>
    <row r="128" spans="1:9" ht="16.5" customHeight="1" x14ac:dyDescent="0.3">
      <c r="A128" s="210" t="b">
        <v>1</v>
      </c>
      <c r="B128" s="211" t="s">
        <v>329</v>
      </c>
      <c r="C128" s="210">
        <f t="shared" si="100"/>
        <v>123</v>
      </c>
      <c r="D128" s="210">
        <f t="shared" si="101"/>
        <v>2</v>
      </c>
      <c r="E128" s="212">
        <f t="shared" si="102"/>
        <v>10</v>
      </c>
      <c r="F128" s="210">
        <f>F127</f>
        <v>155101006</v>
      </c>
      <c r="G128" s="212">
        <f t="shared" ref="G128:H128" si="104">G122</f>
        <v>3</v>
      </c>
      <c r="H128" s="212" t="str">
        <f t="shared" si="104"/>
        <v>Gem</v>
      </c>
      <c r="I128" s="208">
        <f t="shared" si="60"/>
        <v>150</v>
      </c>
    </row>
    <row r="129" spans="1:9" ht="16.5" customHeight="1" x14ac:dyDescent="0.3">
      <c r="A129" s="210" t="b">
        <v>1</v>
      </c>
      <c r="B129" s="211" t="s">
        <v>329</v>
      </c>
      <c r="C129" s="210">
        <f t="shared" si="100"/>
        <v>124</v>
      </c>
      <c r="D129" s="210">
        <f t="shared" si="101"/>
        <v>2</v>
      </c>
      <c r="E129" s="212">
        <f t="shared" si="102"/>
        <v>6</v>
      </c>
      <c r="F129" s="210">
        <f>F128</f>
        <v>155101006</v>
      </c>
      <c r="G129" s="212">
        <f t="shared" ref="G129:H129" si="105">G123</f>
        <v>1</v>
      </c>
      <c r="H129" s="212" t="str">
        <f t="shared" si="105"/>
        <v>Gold</v>
      </c>
      <c r="I129" s="208">
        <f t="shared" si="60"/>
        <v>10000</v>
      </c>
    </row>
    <row r="130" spans="1:9" ht="16.5" customHeight="1" x14ac:dyDescent="0.3">
      <c r="A130" s="210" t="b">
        <v>1</v>
      </c>
      <c r="B130" s="211" t="s">
        <v>329</v>
      </c>
      <c r="C130" s="210">
        <f t="shared" si="100"/>
        <v>125</v>
      </c>
      <c r="D130" s="210">
        <f t="shared" si="101"/>
        <v>2</v>
      </c>
      <c r="E130" s="212">
        <f t="shared" si="102"/>
        <v>6</v>
      </c>
      <c r="F130" s="210">
        <f>F129</f>
        <v>155101006</v>
      </c>
      <c r="G130" s="212">
        <f t="shared" ref="G130:H130" si="106">G124</f>
        <v>2</v>
      </c>
      <c r="H130" s="212" t="str">
        <f t="shared" si="106"/>
        <v>Gold</v>
      </c>
      <c r="I130" s="208">
        <f t="shared" si="60"/>
        <v>20000</v>
      </c>
    </row>
    <row r="131" spans="1:9" ht="16.5" customHeight="1" x14ac:dyDescent="0.3">
      <c r="A131" s="210" t="b">
        <v>1</v>
      </c>
      <c r="B131" s="211" t="s">
        <v>329</v>
      </c>
      <c r="C131" s="210">
        <f t="shared" si="100"/>
        <v>126</v>
      </c>
      <c r="D131" s="210">
        <f t="shared" si="101"/>
        <v>2</v>
      </c>
      <c r="E131" s="212">
        <f t="shared" si="102"/>
        <v>6</v>
      </c>
      <c r="F131" s="210">
        <f>F130</f>
        <v>155101006</v>
      </c>
      <c r="G131" s="212">
        <f t="shared" ref="G131:H131" si="107">G125</f>
        <v>3</v>
      </c>
      <c r="H131" s="212" t="str">
        <f t="shared" si="107"/>
        <v>Gold</v>
      </c>
      <c r="I131" s="208">
        <f t="shared" si="60"/>
        <v>30000</v>
      </c>
    </row>
    <row r="132" spans="1:9" ht="16.5" customHeight="1" x14ac:dyDescent="0.3">
      <c r="A132" s="169" t="b">
        <v>1</v>
      </c>
      <c r="B132" s="170" t="s">
        <v>329</v>
      </c>
      <c r="C132" s="171">
        <f t="shared" si="100"/>
        <v>127</v>
      </c>
      <c r="D132" s="169">
        <f t="shared" si="101"/>
        <v>2</v>
      </c>
      <c r="E132" s="179">
        <v>10</v>
      </c>
      <c r="F132" s="160">
        <v>155102001</v>
      </c>
      <c r="G132" s="179">
        <v>1</v>
      </c>
      <c r="H132" s="179" t="s">
        <v>104</v>
      </c>
      <c r="I132" s="207">
        <f t="shared" si="60"/>
        <v>50</v>
      </c>
    </row>
    <row r="133" spans="1:9" ht="16.5" customHeight="1" x14ac:dyDescent="0.3">
      <c r="A133" s="169" t="b">
        <v>1</v>
      </c>
      <c r="B133" s="170" t="s">
        <v>329</v>
      </c>
      <c r="C133" s="169">
        <f>C132+1</f>
        <v>128</v>
      </c>
      <c r="D133" s="169">
        <f t="shared" ref="D133:D134" si="108">D132</f>
        <v>2</v>
      </c>
      <c r="E133" s="179">
        <v>10</v>
      </c>
      <c r="F133" s="169">
        <f>F132</f>
        <v>155102001</v>
      </c>
      <c r="G133" s="171">
        <f>G132+1</f>
        <v>2</v>
      </c>
      <c r="H133" s="171" t="str">
        <f>H132</f>
        <v>Gem</v>
      </c>
      <c r="I133" s="207">
        <f t="shared" si="60"/>
        <v>100</v>
      </c>
    </row>
    <row r="134" spans="1:9" ht="16.5" customHeight="1" x14ac:dyDescent="0.3">
      <c r="A134" s="169" t="b">
        <v>1</v>
      </c>
      <c r="B134" s="170" t="s">
        <v>329</v>
      </c>
      <c r="C134" s="169">
        <f>C133+1</f>
        <v>129</v>
      </c>
      <c r="D134" s="169">
        <f t="shared" si="108"/>
        <v>2</v>
      </c>
      <c r="E134" s="179">
        <v>10</v>
      </c>
      <c r="F134" s="169">
        <f>F133</f>
        <v>155102001</v>
      </c>
      <c r="G134" s="171">
        <f>G133+1</f>
        <v>3</v>
      </c>
      <c r="H134" s="171" t="str">
        <f>H133</f>
        <v>Gem</v>
      </c>
      <c r="I134" s="207">
        <f t="shared" ref="I134:I197" si="109">IF(H134="Gem",$H$1*G134,IF(H134="Gold",$I$1*G134))</f>
        <v>150</v>
      </c>
    </row>
    <row r="135" spans="1:9" ht="16.5" customHeight="1" x14ac:dyDescent="0.3">
      <c r="A135" s="210" t="b">
        <v>1</v>
      </c>
      <c r="B135" s="211" t="s">
        <v>329</v>
      </c>
      <c r="C135" s="210">
        <f>C134+1</f>
        <v>130</v>
      </c>
      <c r="D135" s="210">
        <f>D134</f>
        <v>2</v>
      </c>
      <c r="E135" s="212">
        <f t="shared" ref="E135:E149" si="110">E132</f>
        <v>10</v>
      </c>
      <c r="F135" s="210">
        <f>F132+1</f>
        <v>155102002</v>
      </c>
      <c r="G135" s="212">
        <f t="shared" ref="G135:H137" si="111">G132</f>
        <v>1</v>
      </c>
      <c r="H135" s="212" t="str">
        <f t="shared" si="111"/>
        <v>Gem</v>
      </c>
      <c r="I135" s="208">
        <f t="shared" si="109"/>
        <v>50</v>
      </c>
    </row>
    <row r="136" spans="1:9" ht="16.5" customHeight="1" x14ac:dyDescent="0.3">
      <c r="A136" s="210" t="b">
        <v>1</v>
      </c>
      <c r="B136" s="211" t="s">
        <v>329</v>
      </c>
      <c r="C136" s="210">
        <f t="shared" ref="C136:C137" si="112">C135+1</f>
        <v>131</v>
      </c>
      <c r="D136" s="210">
        <f t="shared" ref="D136:D138" si="113">D135</f>
        <v>2</v>
      </c>
      <c r="E136" s="212">
        <f t="shared" si="110"/>
        <v>10</v>
      </c>
      <c r="F136" s="210">
        <f>F135</f>
        <v>155102002</v>
      </c>
      <c r="G136" s="212">
        <f t="shared" si="111"/>
        <v>2</v>
      </c>
      <c r="H136" s="212" t="str">
        <f t="shared" si="111"/>
        <v>Gem</v>
      </c>
      <c r="I136" s="208">
        <f t="shared" si="109"/>
        <v>100</v>
      </c>
    </row>
    <row r="137" spans="1:9" ht="16.5" customHeight="1" x14ac:dyDescent="0.3">
      <c r="A137" s="210" t="b">
        <v>1</v>
      </c>
      <c r="B137" s="211" t="s">
        <v>329</v>
      </c>
      <c r="C137" s="210">
        <f t="shared" si="112"/>
        <v>132</v>
      </c>
      <c r="D137" s="210">
        <f t="shared" si="113"/>
        <v>2</v>
      </c>
      <c r="E137" s="212">
        <f t="shared" si="110"/>
        <v>10</v>
      </c>
      <c r="F137" s="210">
        <f>F136</f>
        <v>155102002</v>
      </c>
      <c r="G137" s="212">
        <f t="shared" si="111"/>
        <v>3</v>
      </c>
      <c r="H137" s="212" t="str">
        <f t="shared" si="111"/>
        <v>Gem</v>
      </c>
      <c r="I137" s="208">
        <f t="shared" si="109"/>
        <v>150</v>
      </c>
    </row>
    <row r="138" spans="1:9" ht="16.5" customHeight="1" x14ac:dyDescent="0.3">
      <c r="A138" s="169" t="b">
        <v>1</v>
      </c>
      <c r="B138" s="170" t="s">
        <v>329</v>
      </c>
      <c r="C138" s="171">
        <f>C137+1</f>
        <v>133</v>
      </c>
      <c r="D138" s="169">
        <f t="shared" si="113"/>
        <v>2</v>
      </c>
      <c r="E138" s="171">
        <f t="shared" si="110"/>
        <v>10</v>
      </c>
      <c r="F138" s="171">
        <f>F135+1</f>
        <v>155102003</v>
      </c>
      <c r="G138" s="171">
        <v>1</v>
      </c>
      <c r="H138" s="171" t="s">
        <v>104</v>
      </c>
      <c r="I138" s="207">
        <f t="shared" si="109"/>
        <v>50</v>
      </c>
    </row>
    <row r="139" spans="1:9" ht="16.5" customHeight="1" x14ac:dyDescent="0.3">
      <c r="A139" s="169" t="b">
        <v>1</v>
      </c>
      <c r="B139" s="170" t="s">
        <v>329</v>
      </c>
      <c r="C139" s="169">
        <f>C138+1</f>
        <v>134</v>
      </c>
      <c r="D139" s="169">
        <f t="shared" ref="D139:D140" si="114">D138</f>
        <v>2</v>
      </c>
      <c r="E139" s="169">
        <f t="shared" si="110"/>
        <v>10</v>
      </c>
      <c r="F139" s="169">
        <f>F138</f>
        <v>155102003</v>
      </c>
      <c r="G139" s="169">
        <f>G138+1</f>
        <v>2</v>
      </c>
      <c r="H139" s="169" t="str">
        <f>H138</f>
        <v>Gem</v>
      </c>
      <c r="I139" s="207">
        <f t="shared" si="109"/>
        <v>100</v>
      </c>
    </row>
    <row r="140" spans="1:9" ht="16.5" customHeight="1" x14ac:dyDescent="0.3">
      <c r="A140" s="169" t="b">
        <v>1</v>
      </c>
      <c r="B140" s="170" t="s">
        <v>329</v>
      </c>
      <c r="C140" s="169">
        <f>C139+1</f>
        <v>135</v>
      </c>
      <c r="D140" s="169">
        <f t="shared" si="114"/>
        <v>2</v>
      </c>
      <c r="E140" s="169">
        <f t="shared" si="110"/>
        <v>10</v>
      </c>
      <c r="F140" s="169">
        <f>F139</f>
        <v>155102003</v>
      </c>
      <c r="G140" s="169">
        <f>G139+1</f>
        <v>3</v>
      </c>
      <c r="H140" s="169" t="str">
        <f>H139</f>
        <v>Gem</v>
      </c>
      <c r="I140" s="207">
        <f t="shared" si="109"/>
        <v>150</v>
      </c>
    </row>
    <row r="141" spans="1:9" ht="16.5" customHeight="1" x14ac:dyDescent="0.3">
      <c r="A141" s="210" t="b">
        <v>1</v>
      </c>
      <c r="B141" s="211" t="s">
        <v>329</v>
      </c>
      <c r="C141" s="210">
        <f>C140+1</f>
        <v>136</v>
      </c>
      <c r="D141" s="210">
        <f>D140</f>
        <v>2</v>
      </c>
      <c r="E141" s="212">
        <f t="shared" si="110"/>
        <v>10</v>
      </c>
      <c r="F141" s="210">
        <f>F138+1</f>
        <v>155102004</v>
      </c>
      <c r="G141" s="212">
        <f t="shared" ref="G141:H143" si="115">G138</f>
        <v>1</v>
      </c>
      <c r="H141" s="212" t="str">
        <f t="shared" si="115"/>
        <v>Gem</v>
      </c>
      <c r="I141" s="208">
        <f t="shared" si="109"/>
        <v>50</v>
      </c>
    </row>
    <row r="142" spans="1:9" ht="16.5" customHeight="1" x14ac:dyDescent="0.3">
      <c r="A142" s="210" t="b">
        <v>1</v>
      </c>
      <c r="B142" s="211" t="s">
        <v>329</v>
      </c>
      <c r="C142" s="210">
        <f t="shared" ref="C142:C185" si="116">C141+1</f>
        <v>137</v>
      </c>
      <c r="D142" s="210">
        <f t="shared" ref="D142:D144" si="117">D141</f>
        <v>2</v>
      </c>
      <c r="E142" s="212">
        <f t="shared" si="110"/>
        <v>10</v>
      </c>
      <c r="F142" s="210">
        <f>F141</f>
        <v>155102004</v>
      </c>
      <c r="G142" s="212">
        <f t="shared" si="115"/>
        <v>2</v>
      </c>
      <c r="H142" s="212" t="str">
        <f t="shared" si="115"/>
        <v>Gem</v>
      </c>
      <c r="I142" s="208">
        <f t="shared" si="109"/>
        <v>100</v>
      </c>
    </row>
    <row r="143" spans="1:9" ht="16.5" customHeight="1" x14ac:dyDescent="0.3">
      <c r="A143" s="210" t="b">
        <v>1</v>
      </c>
      <c r="B143" s="211" t="s">
        <v>329</v>
      </c>
      <c r="C143" s="210">
        <f t="shared" si="116"/>
        <v>138</v>
      </c>
      <c r="D143" s="210">
        <f t="shared" si="117"/>
        <v>2</v>
      </c>
      <c r="E143" s="212">
        <f t="shared" si="110"/>
        <v>10</v>
      </c>
      <c r="F143" s="210">
        <f>F142</f>
        <v>155102004</v>
      </c>
      <c r="G143" s="212">
        <f t="shared" si="115"/>
        <v>3</v>
      </c>
      <c r="H143" s="212" t="str">
        <f t="shared" si="115"/>
        <v>Gem</v>
      </c>
      <c r="I143" s="208">
        <f t="shared" si="109"/>
        <v>150</v>
      </c>
    </row>
    <row r="144" spans="1:9" ht="16.5" customHeight="1" x14ac:dyDescent="0.3">
      <c r="A144" s="169" t="b">
        <v>1</v>
      </c>
      <c r="B144" s="170" t="s">
        <v>329</v>
      </c>
      <c r="C144" s="171">
        <f t="shared" si="116"/>
        <v>139</v>
      </c>
      <c r="D144" s="169">
        <f t="shared" si="117"/>
        <v>2</v>
      </c>
      <c r="E144" s="171">
        <f t="shared" si="110"/>
        <v>10</v>
      </c>
      <c r="F144" s="171">
        <f>F141+1</f>
        <v>155102005</v>
      </c>
      <c r="G144" s="171">
        <v>1</v>
      </c>
      <c r="H144" s="171" t="s">
        <v>104</v>
      </c>
      <c r="I144" s="207">
        <f t="shared" si="109"/>
        <v>50</v>
      </c>
    </row>
    <row r="145" spans="1:9" ht="16.5" customHeight="1" x14ac:dyDescent="0.3">
      <c r="A145" s="169" t="b">
        <v>1</v>
      </c>
      <c r="B145" s="170" t="s">
        <v>329</v>
      </c>
      <c r="C145" s="169">
        <f t="shared" si="116"/>
        <v>140</v>
      </c>
      <c r="D145" s="169">
        <f t="shared" ref="D145:D146" si="118">D144</f>
        <v>2</v>
      </c>
      <c r="E145" s="169">
        <f t="shared" si="110"/>
        <v>10</v>
      </c>
      <c r="F145" s="169">
        <f>F144</f>
        <v>155102005</v>
      </c>
      <c r="G145" s="169">
        <f>G144+1</f>
        <v>2</v>
      </c>
      <c r="H145" s="169" t="str">
        <f>H144</f>
        <v>Gem</v>
      </c>
      <c r="I145" s="207">
        <f t="shared" si="109"/>
        <v>100</v>
      </c>
    </row>
    <row r="146" spans="1:9" ht="16.5" customHeight="1" x14ac:dyDescent="0.3">
      <c r="A146" s="169" t="b">
        <v>1</v>
      </c>
      <c r="B146" s="170" t="s">
        <v>329</v>
      </c>
      <c r="C146" s="169">
        <f t="shared" si="116"/>
        <v>141</v>
      </c>
      <c r="D146" s="169">
        <f t="shared" si="118"/>
        <v>2</v>
      </c>
      <c r="E146" s="169">
        <f t="shared" si="110"/>
        <v>10</v>
      </c>
      <c r="F146" s="169">
        <f>F145</f>
        <v>155102005</v>
      </c>
      <c r="G146" s="169">
        <f>G145+1</f>
        <v>3</v>
      </c>
      <c r="H146" s="169" t="str">
        <f>H145</f>
        <v>Gem</v>
      </c>
      <c r="I146" s="207">
        <f t="shared" si="109"/>
        <v>150</v>
      </c>
    </row>
    <row r="147" spans="1:9" ht="16.5" customHeight="1" x14ac:dyDescent="0.3">
      <c r="A147" s="210" t="b">
        <v>1</v>
      </c>
      <c r="B147" s="211" t="s">
        <v>329</v>
      </c>
      <c r="C147" s="210">
        <f t="shared" si="116"/>
        <v>142</v>
      </c>
      <c r="D147" s="210">
        <f>D146</f>
        <v>2</v>
      </c>
      <c r="E147" s="212">
        <f t="shared" si="110"/>
        <v>10</v>
      </c>
      <c r="F147" s="210">
        <f>F144+1</f>
        <v>155102006</v>
      </c>
      <c r="G147" s="212">
        <f t="shared" ref="G147:H149" si="119">G144</f>
        <v>1</v>
      </c>
      <c r="H147" s="212" t="str">
        <f t="shared" si="119"/>
        <v>Gem</v>
      </c>
      <c r="I147" s="208">
        <f t="shared" si="109"/>
        <v>50</v>
      </c>
    </row>
    <row r="148" spans="1:9" ht="16.5" customHeight="1" x14ac:dyDescent="0.3">
      <c r="A148" s="210" t="b">
        <v>1</v>
      </c>
      <c r="B148" s="211" t="s">
        <v>329</v>
      </c>
      <c r="C148" s="210">
        <f t="shared" si="116"/>
        <v>143</v>
      </c>
      <c r="D148" s="210">
        <f t="shared" ref="D148:D150" si="120">D147</f>
        <v>2</v>
      </c>
      <c r="E148" s="212">
        <f t="shared" si="110"/>
        <v>10</v>
      </c>
      <c r="F148" s="210">
        <f>F147</f>
        <v>155102006</v>
      </c>
      <c r="G148" s="212">
        <f t="shared" si="119"/>
        <v>2</v>
      </c>
      <c r="H148" s="212" t="str">
        <f t="shared" si="119"/>
        <v>Gem</v>
      </c>
      <c r="I148" s="208">
        <f t="shared" si="109"/>
        <v>100</v>
      </c>
    </row>
    <row r="149" spans="1:9" ht="16.5" customHeight="1" x14ac:dyDescent="0.3">
      <c r="A149" s="210" t="b">
        <v>1</v>
      </c>
      <c r="B149" s="211" t="s">
        <v>329</v>
      </c>
      <c r="C149" s="210">
        <f t="shared" si="116"/>
        <v>144</v>
      </c>
      <c r="D149" s="210">
        <f t="shared" si="120"/>
        <v>2</v>
      </c>
      <c r="E149" s="212">
        <f t="shared" si="110"/>
        <v>10</v>
      </c>
      <c r="F149" s="210">
        <f>F148</f>
        <v>155102006</v>
      </c>
      <c r="G149" s="212">
        <f t="shared" si="119"/>
        <v>3</v>
      </c>
      <c r="H149" s="212" t="str">
        <f t="shared" si="119"/>
        <v>Gem</v>
      </c>
      <c r="I149" s="208">
        <f t="shared" si="109"/>
        <v>150</v>
      </c>
    </row>
    <row r="150" spans="1:9" ht="16.5" customHeight="1" x14ac:dyDescent="0.3">
      <c r="A150" s="169" t="b">
        <v>1</v>
      </c>
      <c r="B150" s="170" t="s">
        <v>329</v>
      </c>
      <c r="C150" s="171">
        <f t="shared" si="116"/>
        <v>145</v>
      </c>
      <c r="D150" s="169">
        <f t="shared" si="120"/>
        <v>2</v>
      </c>
      <c r="E150" s="179">
        <v>10</v>
      </c>
      <c r="F150" s="160">
        <v>155103001</v>
      </c>
      <c r="G150" s="179">
        <v>1</v>
      </c>
      <c r="H150" s="179" t="s">
        <v>104</v>
      </c>
      <c r="I150" s="207">
        <f t="shared" si="109"/>
        <v>50</v>
      </c>
    </row>
    <row r="151" spans="1:9" ht="16.5" customHeight="1" x14ac:dyDescent="0.3">
      <c r="A151" s="169" t="b">
        <v>1</v>
      </c>
      <c r="B151" s="170" t="s">
        <v>329</v>
      </c>
      <c r="C151" s="169">
        <f t="shared" si="116"/>
        <v>146</v>
      </c>
      <c r="D151" s="169">
        <f t="shared" ref="D151:D152" si="121">D150</f>
        <v>2</v>
      </c>
      <c r="E151" s="179">
        <v>10</v>
      </c>
      <c r="F151" s="169">
        <f>F150</f>
        <v>155103001</v>
      </c>
      <c r="G151" s="171">
        <f>G150+1</f>
        <v>2</v>
      </c>
      <c r="H151" s="171" t="str">
        <f>H150</f>
        <v>Gem</v>
      </c>
      <c r="I151" s="207">
        <f t="shared" si="109"/>
        <v>100</v>
      </c>
    </row>
    <row r="152" spans="1:9" ht="16.5" customHeight="1" x14ac:dyDescent="0.3">
      <c r="A152" s="169" t="b">
        <v>1</v>
      </c>
      <c r="B152" s="170" t="s">
        <v>329</v>
      </c>
      <c r="C152" s="169">
        <f t="shared" si="116"/>
        <v>147</v>
      </c>
      <c r="D152" s="169">
        <f t="shared" si="121"/>
        <v>2</v>
      </c>
      <c r="E152" s="179">
        <v>10</v>
      </c>
      <c r="F152" s="169">
        <f>F151</f>
        <v>155103001</v>
      </c>
      <c r="G152" s="171">
        <f>G151+1</f>
        <v>3</v>
      </c>
      <c r="H152" s="171" t="str">
        <f>H151</f>
        <v>Gem</v>
      </c>
      <c r="I152" s="207">
        <f t="shared" si="109"/>
        <v>150</v>
      </c>
    </row>
    <row r="153" spans="1:9" ht="16.5" customHeight="1" x14ac:dyDescent="0.3">
      <c r="A153" s="210" t="b">
        <v>1</v>
      </c>
      <c r="B153" s="211" t="s">
        <v>329</v>
      </c>
      <c r="C153" s="210">
        <f t="shared" si="116"/>
        <v>148</v>
      </c>
      <c r="D153" s="210">
        <f>D152</f>
        <v>2</v>
      </c>
      <c r="E153" s="212">
        <f t="shared" ref="E153:E185" si="122">E150</f>
        <v>10</v>
      </c>
      <c r="F153" s="210">
        <f>F150+1</f>
        <v>155103002</v>
      </c>
      <c r="G153" s="212">
        <f t="shared" ref="G153:H155" si="123">G150</f>
        <v>1</v>
      </c>
      <c r="H153" s="212" t="str">
        <f t="shared" si="123"/>
        <v>Gem</v>
      </c>
      <c r="I153" s="208">
        <f t="shared" si="109"/>
        <v>50</v>
      </c>
    </row>
    <row r="154" spans="1:9" ht="16.5" customHeight="1" x14ac:dyDescent="0.3">
      <c r="A154" s="210" t="b">
        <v>1</v>
      </c>
      <c r="B154" s="211" t="s">
        <v>329</v>
      </c>
      <c r="C154" s="210">
        <f t="shared" si="116"/>
        <v>149</v>
      </c>
      <c r="D154" s="210">
        <f t="shared" ref="D154:D156" si="124">D153</f>
        <v>2</v>
      </c>
      <c r="E154" s="212">
        <f t="shared" si="122"/>
        <v>10</v>
      </c>
      <c r="F154" s="210">
        <f>F153</f>
        <v>155103002</v>
      </c>
      <c r="G154" s="212">
        <f t="shared" si="123"/>
        <v>2</v>
      </c>
      <c r="H154" s="212" t="str">
        <f t="shared" si="123"/>
        <v>Gem</v>
      </c>
      <c r="I154" s="208">
        <f t="shared" si="109"/>
        <v>100</v>
      </c>
    </row>
    <row r="155" spans="1:9" ht="16.5" customHeight="1" x14ac:dyDescent="0.3">
      <c r="A155" s="210" t="b">
        <v>1</v>
      </c>
      <c r="B155" s="211" t="s">
        <v>329</v>
      </c>
      <c r="C155" s="210">
        <f t="shared" si="116"/>
        <v>150</v>
      </c>
      <c r="D155" s="210">
        <f t="shared" si="124"/>
        <v>2</v>
      </c>
      <c r="E155" s="212">
        <f t="shared" si="122"/>
        <v>10</v>
      </c>
      <c r="F155" s="210">
        <f>F154</f>
        <v>155103002</v>
      </c>
      <c r="G155" s="212">
        <f t="shared" si="123"/>
        <v>3</v>
      </c>
      <c r="H155" s="212" t="str">
        <f t="shared" si="123"/>
        <v>Gem</v>
      </c>
      <c r="I155" s="208">
        <f t="shared" si="109"/>
        <v>150</v>
      </c>
    </row>
    <row r="156" spans="1:9" ht="16.5" customHeight="1" x14ac:dyDescent="0.3">
      <c r="A156" s="169" t="b">
        <v>1</v>
      </c>
      <c r="B156" s="170" t="s">
        <v>329</v>
      </c>
      <c r="C156" s="171">
        <f t="shared" si="116"/>
        <v>151</v>
      </c>
      <c r="D156" s="169">
        <f t="shared" si="124"/>
        <v>2</v>
      </c>
      <c r="E156" s="171">
        <f t="shared" si="122"/>
        <v>10</v>
      </c>
      <c r="F156" s="171">
        <f>F153+1</f>
        <v>155103003</v>
      </c>
      <c r="G156" s="171">
        <v>1</v>
      </c>
      <c r="H156" s="171" t="s">
        <v>104</v>
      </c>
      <c r="I156" s="207">
        <f t="shared" si="109"/>
        <v>50</v>
      </c>
    </row>
    <row r="157" spans="1:9" ht="16.5" customHeight="1" x14ac:dyDescent="0.3">
      <c r="A157" s="169" t="b">
        <v>1</v>
      </c>
      <c r="B157" s="170" t="s">
        <v>329</v>
      </c>
      <c r="C157" s="169">
        <f t="shared" si="116"/>
        <v>152</v>
      </c>
      <c r="D157" s="169">
        <f t="shared" ref="D157:D158" si="125">D156</f>
        <v>2</v>
      </c>
      <c r="E157" s="169">
        <f t="shared" si="122"/>
        <v>10</v>
      </c>
      <c r="F157" s="169">
        <f>F156</f>
        <v>155103003</v>
      </c>
      <c r="G157" s="169">
        <f>G156+1</f>
        <v>2</v>
      </c>
      <c r="H157" s="169" t="str">
        <f>H156</f>
        <v>Gem</v>
      </c>
      <c r="I157" s="207">
        <f t="shared" si="109"/>
        <v>100</v>
      </c>
    </row>
    <row r="158" spans="1:9" ht="16.5" customHeight="1" x14ac:dyDescent="0.3">
      <c r="A158" s="169" t="b">
        <v>1</v>
      </c>
      <c r="B158" s="170" t="s">
        <v>329</v>
      </c>
      <c r="C158" s="169">
        <f t="shared" si="116"/>
        <v>153</v>
      </c>
      <c r="D158" s="169">
        <f t="shared" si="125"/>
        <v>2</v>
      </c>
      <c r="E158" s="169">
        <f t="shared" si="122"/>
        <v>10</v>
      </c>
      <c r="F158" s="169">
        <f>F157</f>
        <v>155103003</v>
      </c>
      <c r="G158" s="169">
        <f>G157+1</f>
        <v>3</v>
      </c>
      <c r="H158" s="169" t="str">
        <f>H157</f>
        <v>Gem</v>
      </c>
      <c r="I158" s="207">
        <f t="shared" si="109"/>
        <v>150</v>
      </c>
    </row>
    <row r="159" spans="1:9" ht="16.5" customHeight="1" x14ac:dyDescent="0.3">
      <c r="A159" s="210" t="b">
        <v>1</v>
      </c>
      <c r="B159" s="211" t="s">
        <v>329</v>
      </c>
      <c r="C159" s="210">
        <f t="shared" si="116"/>
        <v>154</v>
      </c>
      <c r="D159" s="210">
        <f>D158</f>
        <v>2</v>
      </c>
      <c r="E159" s="212">
        <f t="shared" si="122"/>
        <v>10</v>
      </c>
      <c r="F159" s="210">
        <f>F156+1</f>
        <v>155103004</v>
      </c>
      <c r="G159" s="212">
        <f t="shared" ref="G159:H161" si="126">G156</f>
        <v>1</v>
      </c>
      <c r="H159" s="212" t="str">
        <f t="shared" si="126"/>
        <v>Gem</v>
      </c>
      <c r="I159" s="208">
        <f t="shared" si="109"/>
        <v>50</v>
      </c>
    </row>
    <row r="160" spans="1:9" ht="16.5" customHeight="1" x14ac:dyDescent="0.3">
      <c r="A160" s="210" t="b">
        <v>1</v>
      </c>
      <c r="B160" s="211" t="s">
        <v>329</v>
      </c>
      <c r="C160" s="210">
        <f t="shared" si="116"/>
        <v>155</v>
      </c>
      <c r="D160" s="210">
        <f t="shared" ref="D160:D162" si="127">D159</f>
        <v>2</v>
      </c>
      <c r="E160" s="212">
        <f t="shared" si="122"/>
        <v>10</v>
      </c>
      <c r="F160" s="210">
        <f>F159</f>
        <v>155103004</v>
      </c>
      <c r="G160" s="212">
        <f t="shared" si="126"/>
        <v>2</v>
      </c>
      <c r="H160" s="212" t="str">
        <f t="shared" si="126"/>
        <v>Gem</v>
      </c>
      <c r="I160" s="208">
        <f t="shared" si="109"/>
        <v>100</v>
      </c>
    </row>
    <row r="161" spans="1:9" ht="16.5" customHeight="1" x14ac:dyDescent="0.3">
      <c r="A161" s="210" t="b">
        <v>1</v>
      </c>
      <c r="B161" s="211" t="s">
        <v>329</v>
      </c>
      <c r="C161" s="210">
        <f t="shared" si="116"/>
        <v>156</v>
      </c>
      <c r="D161" s="210">
        <f t="shared" si="127"/>
        <v>2</v>
      </c>
      <c r="E161" s="212">
        <f t="shared" si="122"/>
        <v>10</v>
      </c>
      <c r="F161" s="210">
        <f>F160</f>
        <v>155103004</v>
      </c>
      <c r="G161" s="212">
        <f t="shared" si="126"/>
        <v>3</v>
      </c>
      <c r="H161" s="212" t="str">
        <f t="shared" si="126"/>
        <v>Gem</v>
      </c>
      <c r="I161" s="208">
        <f t="shared" si="109"/>
        <v>150</v>
      </c>
    </row>
    <row r="162" spans="1:9" ht="16.5" customHeight="1" x14ac:dyDescent="0.3">
      <c r="A162" s="181" t="b">
        <v>0</v>
      </c>
      <c r="B162" s="177" t="s">
        <v>329</v>
      </c>
      <c r="C162" s="178">
        <f t="shared" si="116"/>
        <v>157</v>
      </c>
      <c r="D162" s="178">
        <f t="shared" si="127"/>
        <v>2</v>
      </c>
      <c r="E162" s="178">
        <f t="shared" si="122"/>
        <v>10</v>
      </c>
      <c r="F162" s="178">
        <f>F159+1</f>
        <v>155103005</v>
      </c>
      <c r="G162" s="178">
        <v>1</v>
      </c>
      <c r="H162" s="178" t="s">
        <v>104</v>
      </c>
      <c r="I162" s="205">
        <f t="shared" si="109"/>
        <v>50</v>
      </c>
    </row>
    <row r="163" spans="1:9" ht="16.5" customHeight="1" x14ac:dyDescent="0.3">
      <c r="A163" s="181" t="b">
        <v>0</v>
      </c>
      <c r="B163" s="177" t="s">
        <v>329</v>
      </c>
      <c r="C163" s="181">
        <f t="shared" si="116"/>
        <v>158</v>
      </c>
      <c r="D163" s="181">
        <f t="shared" ref="D163:D164" si="128">D162</f>
        <v>2</v>
      </c>
      <c r="E163" s="181">
        <f t="shared" si="122"/>
        <v>10</v>
      </c>
      <c r="F163" s="181">
        <f>F162</f>
        <v>155103005</v>
      </c>
      <c r="G163" s="181">
        <f>G162+1</f>
        <v>2</v>
      </c>
      <c r="H163" s="181" t="str">
        <f>H162</f>
        <v>Gem</v>
      </c>
      <c r="I163" s="205">
        <f t="shared" si="109"/>
        <v>100</v>
      </c>
    </row>
    <row r="164" spans="1:9" ht="16.5" customHeight="1" x14ac:dyDescent="0.3">
      <c r="A164" s="181" t="b">
        <v>0</v>
      </c>
      <c r="B164" s="177" t="s">
        <v>329</v>
      </c>
      <c r="C164" s="181">
        <f t="shared" si="116"/>
        <v>159</v>
      </c>
      <c r="D164" s="181">
        <f t="shared" si="128"/>
        <v>2</v>
      </c>
      <c r="E164" s="181">
        <f t="shared" si="122"/>
        <v>10</v>
      </c>
      <c r="F164" s="181">
        <f>F163</f>
        <v>155103005</v>
      </c>
      <c r="G164" s="181">
        <f>G163+1</f>
        <v>3</v>
      </c>
      <c r="H164" s="181" t="str">
        <f>H163</f>
        <v>Gem</v>
      </c>
      <c r="I164" s="205">
        <f t="shared" si="109"/>
        <v>150</v>
      </c>
    </row>
    <row r="165" spans="1:9" ht="16.5" customHeight="1" x14ac:dyDescent="0.3">
      <c r="A165" s="182" t="b">
        <v>0</v>
      </c>
      <c r="B165" s="174" t="s">
        <v>329</v>
      </c>
      <c r="C165" s="182">
        <f t="shared" si="116"/>
        <v>160</v>
      </c>
      <c r="D165" s="182">
        <f>D164</f>
        <v>2</v>
      </c>
      <c r="E165" s="175">
        <f t="shared" si="122"/>
        <v>10</v>
      </c>
      <c r="F165" s="182">
        <f>F162+1</f>
        <v>155103006</v>
      </c>
      <c r="G165" s="175">
        <f t="shared" ref="G165:H167" si="129">G162</f>
        <v>1</v>
      </c>
      <c r="H165" s="175" t="str">
        <f t="shared" si="129"/>
        <v>Gem</v>
      </c>
      <c r="I165" s="206">
        <f t="shared" si="109"/>
        <v>50</v>
      </c>
    </row>
    <row r="166" spans="1:9" ht="16.5" customHeight="1" x14ac:dyDescent="0.3">
      <c r="A166" s="182" t="b">
        <v>0</v>
      </c>
      <c r="B166" s="174" t="s">
        <v>329</v>
      </c>
      <c r="C166" s="182">
        <f t="shared" si="116"/>
        <v>161</v>
      </c>
      <c r="D166" s="182">
        <f t="shared" ref="D166:D168" si="130">D165</f>
        <v>2</v>
      </c>
      <c r="E166" s="175">
        <f t="shared" si="122"/>
        <v>10</v>
      </c>
      <c r="F166" s="182">
        <f>F165</f>
        <v>155103006</v>
      </c>
      <c r="G166" s="175">
        <f t="shared" si="129"/>
        <v>2</v>
      </c>
      <c r="H166" s="175" t="str">
        <f t="shared" si="129"/>
        <v>Gem</v>
      </c>
      <c r="I166" s="206">
        <f t="shared" si="109"/>
        <v>100</v>
      </c>
    </row>
    <row r="167" spans="1:9" ht="16.5" customHeight="1" x14ac:dyDescent="0.3">
      <c r="A167" s="182" t="b">
        <v>0</v>
      </c>
      <c r="B167" s="174" t="s">
        <v>329</v>
      </c>
      <c r="C167" s="182">
        <f t="shared" si="116"/>
        <v>162</v>
      </c>
      <c r="D167" s="182">
        <f t="shared" si="130"/>
        <v>2</v>
      </c>
      <c r="E167" s="175">
        <f t="shared" si="122"/>
        <v>10</v>
      </c>
      <c r="F167" s="182">
        <f>F166</f>
        <v>155103006</v>
      </c>
      <c r="G167" s="175">
        <f t="shared" si="129"/>
        <v>3</v>
      </c>
      <c r="H167" s="175" t="str">
        <f t="shared" si="129"/>
        <v>Gem</v>
      </c>
      <c r="I167" s="206">
        <f t="shared" si="109"/>
        <v>150</v>
      </c>
    </row>
    <row r="168" spans="1:9" ht="16.5" customHeight="1" x14ac:dyDescent="0.3">
      <c r="A168" s="181" t="b">
        <v>0</v>
      </c>
      <c r="B168" s="177" t="s">
        <v>329</v>
      </c>
      <c r="C168" s="178">
        <f t="shared" si="116"/>
        <v>163</v>
      </c>
      <c r="D168" s="178">
        <f t="shared" si="130"/>
        <v>2</v>
      </c>
      <c r="E168" s="178">
        <f t="shared" si="122"/>
        <v>10</v>
      </c>
      <c r="F168" s="178">
        <f>F165+1</f>
        <v>155103007</v>
      </c>
      <c r="G168" s="178">
        <v>1</v>
      </c>
      <c r="H168" s="178" t="s">
        <v>104</v>
      </c>
      <c r="I168" s="205">
        <f t="shared" si="109"/>
        <v>50</v>
      </c>
    </row>
    <row r="169" spans="1:9" ht="16.5" customHeight="1" x14ac:dyDescent="0.3">
      <c r="A169" s="181" t="b">
        <v>0</v>
      </c>
      <c r="B169" s="177" t="s">
        <v>329</v>
      </c>
      <c r="C169" s="181">
        <f t="shared" si="116"/>
        <v>164</v>
      </c>
      <c r="D169" s="181">
        <f t="shared" ref="D169:D170" si="131">D168</f>
        <v>2</v>
      </c>
      <c r="E169" s="181">
        <f t="shared" si="122"/>
        <v>10</v>
      </c>
      <c r="F169" s="181">
        <f>F168</f>
        <v>155103007</v>
      </c>
      <c r="G169" s="181">
        <f>G168+1</f>
        <v>2</v>
      </c>
      <c r="H169" s="181" t="str">
        <f>H168</f>
        <v>Gem</v>
      </c>
      <c r="I169" s="205">
        <f t="shared" si="109"/>
        <v>100</v>
      </c>
    </row>
    <row r="170" spans="1:9" ht="16.5" customHeight="1" x14ac:dyDescent="0.3">
      <c r="A170" s="181" t="b">
        <v>0</v>
      </c>
      <c r="B170" s="177" t="s">
        <v>329</v>
      </c>
      <c r="C170" s="181">
        <f t="shared" si="116"/>
        <v>165</v>
      </c>
      <c r="D170" s="181">
        <f t="shared" si="131"/>
        <v>2</v>
      </c>
      <c r="E170" s="181">
        <f t="shared" si="122"/>
        <v>10</v>
      </c>
      <c r="F170" s="181">
        <f>F169</f>
        <v>155103007</v>
      </c>
      <c r="G170" s="181">
        <f>G169+1</f>
        <v>3</v>
      </c>
      <c r="H170" s="181" t="str">
        <f>H169</f>
        <v>Gem</v>
      </c>
      <c r="I170" s="205">
        <f t="shared" si="109"/>
        <v>150</v>
      </c>
    </row>
    <row r="171" spans="1:9" ht="16.5" customHeight="1" x14ac:dyDescent="0.3">
      <c r="A171" s="182" t="b">
        <v>0</v>
      </c>
      <c r="B171" s="174" t="s">
        <v>329</v>
      </c>
      <c r="C171" s="182">
        <f t="shared" si="116"/>
        <v>166</v>
      </c>
      <c r="D171" s="182">
        <f>D170</f>
        <v>2</v>
      </c>
      <c r="E171" s="175">
        <f t="shared" si="122"/>
        <v>10</v>
      </c>
      <c r="F171" s="182">
        <f>F168+1</f>
        <v>155103008</v>
      </c>
      <c r="G171" s="175">
        <f t="shared" ref="G171:H173" si="132">G168</f>
        <v>1</v>
      </c>
      <c r="H171" s="175" t="str">
        <f t="shared" si="132"/>
        <v>Gem</v>
      </c>
      <c r="I171" s="206">
        <f t="shared" si="109"/>
        <v>50</v>
      </c>
    </row>
    <row r="172" spans="1:9" ht="16.5" customHeight="1" x14ac:dyDescent="0.3">
      <c r="A172" s="182" t="b">
        <v>0</v>
      </c>
      <c r="B172" s="174" t="s">
        <v>329</v>
      </c>
      <c r="C172" s="182">
        <f t="shared" si="116"/>
        <v>167</v>
      </c>
      <c r="D172" s="182">
        <f t="shared" ref="D172:D174" si="133">D171</f>
        <v>2</v>
      </c>
      <c r="E172" s="175">
        <f t="shared" si="122"/>
        <v>10</v>
      </c>
      <c r="F172" s="182">
        <f>F171</f>
        <v>155103008</v>
      </c>
      <c r="G172" s="175">
        <f t="shared" si="132"/>
        <v>2</v>
      </c>
      <c r="H172" s="175" t="str">
        <f t="shared" si="132"/>
        <v>Gem</v>
      </c>
      <c r="I172" s="206">
        <f t="shared" si="109"/>
        <v>100</v>
      </c>
    </row>
    <row r="173" spans="1:9" ht="16.5" customHeight="1" x14ac:dyDescent="0.3">
      <c r="A173" s="182" t="b">
        <v>0</v>
      </c>
      <c r="B173" s="174" t="s">
        <v>329</v>
      </c>
      <c r="C173" s="182">
        <f t="shared" si="116"/>
        <v>168</v>
      </c>
      <c r="D173" s="182">
        <f t="shared" si="133"/>
        <v>2</v>
      </c>
      <c r="E173" s="175">
        <f t="shared" si="122"/>
        <v>10</v>
      </c>
      <c r="F173" s="182">
        <f>F172</f>
        <v>155103008</v>
      </c>
      <c r="G173" s="175">
        <f t="shared" si="132"/>
        <v>3</v>
      </c>
      <c r="H173" s="175" t="str">
        <f t="shared" si="132"/>
        <v>Gem</v>
      </c>
      <c r="I173" s="206">
        <f t="shared" si="109"/>
        <v>150</v>
      </c>
    </row>
    <row r="174" spans="1:9" ht="16.5" customHeight="1" x14ac:dyDescent="0.3">
      <c r="A174" s="181" t="b">
        <v>0</v>
      </c>
      <c r="B174" s="177" t="s">
        <v>329</v>
      </c>
      <c r="C174" s="178">
        <f t="shared" si="116"/>
        <v>169</v>
      </c>
      <c r="D174" s="178">
        <f t="shared" si="133"/>
        <v>2</v>
      </c>
      <c r="E174" s="178">
        <f t="shared" si="122"/>
        <v>10</v>
      </c>
      <c r="F174" s="178">
        <f>F171+1</f>
        <v>155103009</v>
      </c>
      <c r="G174" s="178">
        <v>1</v>
      </c>
      <c r="H174" s="178" t="s">
        <v>104</v>
      </c>
      <c r="I174" s="205">
        <f t="shared" si="109"/>
        <v>50</v>
      </c>
    </row>
    <row r="175" spans="1:9" ht="16.5" customHeight="1" x14ac:dyDescent="0.3">
      <c r="A175" s="181" t="b">
        <v>0</v>
      </c>
      <c r="B175" s="177" t="s">
        <v>329</v>
      </c>
      <c r="C175" s="181">
        <f t="shared" si="116"/>
        <v>170</v>
      </c>
      <c r="D175" s="181">
        <f t="shared" ref="D175:D176" si="134">D174</f>
        <v>2</v>
      </c>
      <c r="E175" s="181">
        <f t="shared" si="122"/>
        <v>10</v>
      </c>
      <c r="F175" s="181">
        <f>F174</f>
        <v>155103009</v>
      </c>
      <c r="G175" s="181">
        <f>G174+1</f>
        <v>2</v>
      </c>
      <c r="H175" s="181" t="str">
        <f>H174</f>
        <v>Gem</v>
      </c>
      <c r="I175" s="205">
        <f t="shared" si="109"/>
        <v>100</v>
      </c>
    </row>
    <row r="176" spans="1:9" ht="16.5" customHeight="1" x14ac:dyDescent="0.3">
      <c r="A176" s="181" t="b">
        <v>0</v>
      </c>
      <c r="B176" s="177" t="s">
        <v>329</v>
      </c>
      <c r="C176" s="181">
        <f t="shared" si="116"/>
        <v>171</v>
      </c>
      <c r="D176" s="181">
        <f t="shared" si="134"/>
        <v>2</v>
      </c>
      <c r="E176" s="181">
        <f t="shared" si="122"/>
        <v>10</v>
      </c>
      <c r="F176" s="181">
        <f>F175</f>
        <v>155103009</v>
      </c>
      <c r="G176" s="181">
        <f>G175+1</f>
        <v>3</v>
      </c>
      <c r="H176" s="181" t="str">
        <f>H175</f>
        <v>Gem</v>
      </c>
      <c r="I176" s="205">
        <f t="shared" si="109"/>
        <v>150</v>
      </c>
    </row>
    <row r="177" spans="1:9" ht="16.5" customHeight="1" x14ac:dyDescent="0.3">
      <c r="A177" s="182" t="b">
        <v>0</v>
      </c>
      <c r="B177" s="174" t="s">
        <v>329</v>
      </c>
      <c r="C177" s="182">
        <f t="shared" si="116"/>
        <v>172</v>
      </c>
      <c r="D177" s="182">
        <f>D176</f>
        <v>2</v>
      </c>
      <c r="E177" s="175">
        <f t="shared" si="122"/>
        <v>10</v>
      </c>
      <c r="F177" s="182">
        <f>F174+1</f>
        <v>155103010</v>
      </c>
      <c r="G177" s="175">
        <f t="shared" ref="G177:H179" si="135">G174</f>
        <v>1</v>
      </c>
      <c r="H177" s="175" t="str">
        <f t="shared" si="135"/>
        <v>Gem</v>
      </c>
      <c r="I177" s="206">
        <f t="shared" si="109"/>
        <v>50</v>
      </c>
    </row>
    <row r="178" spans="1:9" ht="16.5" customHeight="1" x14ac:dyDescent="0.3">
      <c r="A178" s="182" t="b">
        <v>0</v>
      </c>
      <c r="B178" s="174" t="s">
        <v>329</v>
      </c>
      <c r="C178" s="182">
        <f t="shared" si="116"/>
        <v>173</v>
      </c>
      <c r="D178" s="182">
        <f t="shared" ref="D178:D180" si="136">D177</f>
        <v>2</v>
      </c>
      <c r="E178" s="175">
        <f t="shared" si="122"/>
        <v>10</v>
      </c>
      <c r="F178" s="182">
        <f>F177</f>
        <v>155103010</v>
      </c>
      <c r="G178" s="175">
        <f t="shared" si="135"/>
        <v>2</v>
      </c>
      <c r="H178" s="175" t="str">
        <f t="shared" si="135"/>
        <v>Gem</v>
      </c>
      <c r="I178" s="206">
        <f t="shared" si="109"/>
        <v>100</v>
      </c>
    </row>
    <row r="179" spans="1:9" ht="16.5" customHeight="1" x14ac:dyDescent="0.3">
      <c r="A179" s="182" t="b">
        <v>0</v>
      </c>
      <c r="B179" s="174" t="s">
        <v>329</v>
      </c>
      <c r="C179" s="182">
        <f t="shared" si="116"/>
        <v>174</v>
      </c>
      <c r="D179" s="182">
        <f t="shared" si="136"/>
        <v>2</v>
      </c>
      <c r="E179" s="175">
        <f t="shared" si="122"/>
        <v>10</v>
      </c>
      <c r="F179" s="182">
        <f>F178</f>
        <v>155103010</v>
      </c>
      <c r="G179" s="175">
        <f t="shared" si="135"/>
        <v>3</v>
      </c>
      <c r="H179" s="175" t="str">
        <f t="shared" si="135"/>
        <v>Gem</v>
      </c>
      <c r="I179" s="206">
        <f t="shared" si="109"/>
        <v>150</v>
      </c>
    </row>
    <row r="180" spans="1:9" ht="16.5" customHeight="1" x14ac:dyDescent="0.3">
      <c r="A180" s="181" t="b">
        <v>0</v>
      </c>
      <c r="B180" s="177" t="s">
        <v>329</v>
      </c>
      <c r="C180" s="178">
        <f t="shared" si="116"/>
        <v>175</v>
      </c>
      <c r="D180" s="178">
        <f t="shared" si="136"/>
        <v>2</v>
      </c>
      <c r="E180" s="178">
        <f t="shared" si="122"/>
        <v>10</v>
      </c>
      <c r="F180" s="178">
        <f>F177+1</f>
        <v>155103011</v>
      </c>
      <c r="G180" s="178">
        <v>1</v>
      </c>
      <c r="H180" s="178" t="s">
        <v>104</v>
      </c>
      <c r="I180" s="205">
        <f t="shared" si="109"/>
        <v>50</v>
      </c>
    </row>
    <row r="181" spans="1:9" ht="16.5" customHeight="1" x14ac:dyDescent="0.3">
      <c r="A181" s="181" t="b">
        <v>0</v>
      </c>
      <c r="B181" s="177" t="s">
        <v>329</v>
      </c>
      <c r="C181" s="181">
        <f t="shared" si="116"/>
        <v>176</v>
      </c>
      <c r="D181" s="181">
        <f t="shared" ref="D181:D182" si="137">D180</f>
        <v>2</v>
      </c>
      <c r="E181" s="181">
        <f t="shared" si="122"/>
        <v>10</v>
      </c>
      <c r="F181" s="181">
        <f>F180</f>
        <v>155103011</v>
      </c>
      <c r="G181" s="181">
        <f>G180+1</f>
        <v>2</v>
      </c>
      <c r="H181" s="181" t="str">
        <f>H180</f>
        <v>Gem</v>
      </c>
      <c r="I181" s="205">
        <f t="shared" si="109"/>
        <v>100</v>
      </c>
    </row>
    <row r="182" spans="1:9" ht="16.5" customHeight="1" x14ac:dyDescent="0.3">
      <c r="A182" s="181" t="b">
        <v>0</v>
      </c>
      <c r="B182" s="177" t="s">
        <v>329</v>
      </c>
      <c r="C182" s="181">
        <f t="shared" si="116"/>
        <v>177</v>
      </c>
      <c r="D182" s="181">
        <f t="shared" si="137"/>
        <v>2</v>
      </c>
      <c r="E182" s="181">
        <f t="shared" si="122"/>
        <v>10</v>
      </c>
      <c r="F182" s="181">
        <f>F181</f>
        <v>155103011</v>
      </c>
      <c r="G182" s="181">
        <f>G181+1</f>
        <v>3</v>
      </c>
      <c r="H182" s="181" t="str">
        <f>H181</f>
        <v>Gem</v>
      </c>
      <c r="I182" s="205">
        <f t="shared" si="109"/>
        <v>150</v>
      </c>
    </row>
    <row r="183" spans="1:9" ht="16.5" customHeight="1" x14ac:dyDescent="0.3">
      <c r="A183" s="182" t="b">
        <v>0</v>
      </c>
      <c r="B183" s="174" t="s">
        <v>329</v>
      </c>
      <c r="C183" s="182">
        <f t="shared" si="116"/>
        <v>178</v>
      </c>
      <c r="D183" s="182">
        <f>D182</f>
        <v>2</v>
      </c>
      <c r="E183" s="175">
        <f t="shared" si="122"/>
        <v>10</v>
      </c>
      <c r="F183" s="182">
        <f>F180+1</f>
        <v>155103012</v>
      </c>
      <c r="G183" s="175">
        <f t="shared" ref="G183:H185" si="138">G180</f>
        <v>1</v>
      </c>
      <c r="H183" s="175" t="str">
        <f t="shared" si="138"/>
        <v>Gem</v>
      </c>
      <c r="I183" s="206">
        <f t="shared" si="109"/>
        <v>50</v>
      </c>
    </row>
    <row r="184" spans="1:9" ht="16.5" customHeight="1" x14ac:dyDescent="0.3">
      <c r="A184" s="182" t="b">
        <v>0</v>
      </c>
      <c r="B184" s="174" t="s">
        <v>329</v>
      </c>
      <c r="C184" s="182">
        <f t="shared" si="116"/>
        <v>179</v>
      </c>
      <c r="D184" s="182">
        <f t="shared" ref="D184:D185" si="139">D183</f>
        <v>2</v>
      </c>
      <c r="E184" s="175">
        <f t="shared" si="122"/>
        <v>10</v>
      </c>
      <c r="F184" s="182">
        <f>F183</f>
        <v>155103012</v>
      </c>
      <c r="G184" s="175">
        <f t="shared" si="138"/>
        <v>2</v>
      </c>
      <c r="H184" s="175" t="str">
        <f t="shared" si="138"/>
        <v>Gem</v>
      </c>
      <c r="I184" s="206">
        <f t="shared" si="109"/>
        <v>100</v>
      </c>
    </row>
    <row r="185" spans="1:9" ht="16.5" customHeight="1" x14ac:dyDescent="0.3">
      <c r="A185" s="182" t="b">
        <v>0</v>
      </c>
      <c r="B185" s="174" t="s">
        <v>329</v>
      </c>
      <c r="C185" s="182">
        <f t="shared" si="116"/>
        <v>180</v>
      </c>
      <c r="D185" s="182">
        <f t="shared" si="139"/>
        <v>2</v>
      </c>
      <c r="E185" s="175">
        <f t="shared" si="122"/>
        <v>10</v>
      </c>
      <c r="F185" s="182">
        <f>F184</f>
        <v>155103012</v>
      </c>
      <c r="G185" s="175">
        <f t="shared" si="138"/>
        <v>3</v>
      </c>
      <c r="H185" s="175" t="str">
        <f t="shared" si="138"/>
        <v>Gem</v>
      </c>
      <c r="I185" s="206">
        <f t="shared" si="109"/>
        <v>150</v>
      </c>
    </row>
    <row r="186" spans="1:9" ht="16.5" customHeight="1" x14ac:dyDescent="0.3">
      <c r="A186" s="168" t="b">
        <v>1</v>
      </c>
      <c r="B186" s="184" t="s">
        <v>330</v>
      </c>
      <c r="C186" s="184">
        <f t="shared" ref="C186:C192" si="140">C185+1</f>
        <v>181</v>
      </c>
      <c r="D186" s="186">
        <v>3</v>
      </c>
      <c r="E186" s="185">
        <v>10</v>
      </c>
      <c r="F186" s="186">
        <v>155101001</v>
      </c>
      <c r="G186" s="185">
        <v>1</v>
      </c>
      <c r="H186" s="185" t="s">
        <v>104</v>
      </c>
      <c r="I186" s="203">
        <f t="shared" si="109"/>
        <v>50</v>
      </c>
    </row>
    <row r="187" spans="1:9" ht="16.5" customHeight="1" x14ac:dyDescent="0.3">
      <c r="A187" s="168" t="b">
        <v>1</v>
      </c>
      <c r="B187" s="183" t="s">
        <v>330</v>
      </c>
      <c r="C187" s="184">
        <f t="shared" si="140"/>
        <v>182</v>
      </c>
      <c r="D187" s="168">
        <f t="shared" ref="D187:D198" si="141">D186</f>
        <v>3</v>
      </c>
      <c r="E187" s="185">
        <v>10</v>
      </c>
      <c r="F187" s="168">
        <f>F186</f>
        <v>155101001</v>
      </c>
      <c r="G187" s="184">
        <f>G186+1</f>
        <v>2</v>
      </c>
      <c r="H187" s="184" t="str">
        <f>H186</f>
        <v>Gem</v>
      </c>
      <c r="I187" s="203">
        <f t="shared" si="109"/>
        <v>100</v>
      </c>
    </row>
    <row r="188" spans="1:9" ht="16.5" customHeight="1" x14ac:dyDescent="0.3">
      <c r="A188" s="168" t="b">
        <v>1</v>
      </c>
      <c r="B188" s="183" t="s">
        <v>330</v>
      </c>
      <c r="C188" s="184">
        <f t="shared" si="140"/>
        <v>183</v>
      </c>
      <c r="D188" s="168">
        <f t="shared" si="141"/>
        <v>3</v>
      </c>
      <c r="E188" s="185">
        <v>10</v>
      </c>
      <c r="F188" s="168">
        <f>F187</f>
        <v>155101001</v>
      </c>
      <c r="G188" s="184">
        <f>G187+1</f>
        <v>3</v>
      </c>
      <c r="H188" s="184" t="str">
        <f>H187</f>
        <v>Gem</v>
      </c>
      <c r="I188" s="203">
        <f t="shared" si="109"/>
        <v>150</v>
      </c>
    </row>
    <row r="189" spans="1:9" ht="16.5" customHeight="1" x14ac:dyDescent="0.3">
      <c r="A189" s="168" t="b">
        <v>1</v>
      </c>
      <c r="B189" s="183" t="s">
        <v>330</v>
      </c>
      <c r="C189" s="184">
        <f t="shared" si="140"/>
        <v>184</v>
      </c>
      <c r="D189" s="168">
        <f t="shared" si="141"/>
        <v>3</v>
      </c>
      <c r="E189" s="185">
        <v>6</v>
      </c>
      <c r="F189" s="168">
        <f>F188</f>
        <v>155101001</v>
      </c>
      <c r="G189" s="185">
        <v>1</v>
      </c>
      <c r="H189" s="185" t="s">
        <v>335</v>
      </c>
      <c r="I189" s="203">
        <f t="shared" si="109"/>
        <v>10000</v>
      </c>
    </row>
    <row r="190" spans="1:9" ht="16.5" customHeight="1" x14ac:dyDescent="0.3">
      <c r="A190" s="168" t="b">
        <v>1</v>
      </c>
      <c r="B190" s="183" t="s">
        <v>330</v>
      </c>
      <c r="C190" s="184">
        <f t="shared" si="140"/>
        <v>185</v>
      </c>
      <c r="D190" s="168">
        <f t="shared" si="141"/>
        <v>3</v>
      </c>
      <c r="E190" s="185">
        <v>6</v>
      </c>
      <c r="F190" s="168">
        <f>F189</f>
        <v>155101001</v>
      </c>
      <c r="G190" s="184">
        <f>G189+1</f>
        <v>2</v>
      </c>
      <c r="H190" s="184" t="str">
        <f t="shared" ref="H190:H191" si="142">H189</f>
        <v>Gold</v>
      </c>
      <c r="I190" s="203">
        <f t="shared" si="109"/>
        <v>20000</v>
      </c>
    </row>
    <row r="191" spans="1:9" ht="16.5" customHeight="1" x14ac:dyDescent="0.3">
      <c r="A191" s="168" t="b">
        <v>1</v>
      </c>
      <c r="B191" s="183" t="s">
        <v>330</v>
      </c>
      <c r="C191" s="184">
        <f t="shared" si="140"/>
        <v>186</v>
      </c>
      <c r="D191" s="168">
        <f t="shared" si="141"/>
        <v>3</v>
      </c>
      <c r="E191" s="185">
        <v>6</v>
      </c>
      <c r="F191" s="168">
        <f>F190</f>
        <v>155101001</v>
      </c>
      <c r="G191" s="184">
        <f>G190+1</f>
        <v>3</v>
      </c>
      <c r="H191" s="184" t="str">
        <f t="shared" si="142"/>
        <v>Gold</v>
      </c>
      <c r="I191" s="203">
        <f t="shared" si="109"/>
        <v>30000</v>
      </c>
    </row>
    <row r="192" spans="1:9" ht="16.5" customHeight="1" x14ac:dyDescent="0.3">
      <c r="A192" s="164" t="b">
        <v>1</v>
      </c>
      <c r="B192" s="187" t="s">
        <v>330</v>
      </c>
      <c r="C192" s="164">
        <f t="shared" si="140"/>
        <v>187</v>
      </c>
      <c r="D192" s="164">
        <f>D188</f>
        <v>3</v>
      </c>
      <c r="E192" s="188">
        <f>E186</f>
        <v>10</v>
      </c>
      <c r="F192" s="164">
        <f>F186+1</f>
        <v>155101002</v>
      </c>
      <c r="G192" s="188">
        <f>G186</f>
        <v>1</v>
      </c>
      <c r="H192" s="188" t="str">
        <f>H186</f>
        <v>Gem</v>
      </c>
      <c r="I192" s="204">
        <f t="shared" si="109"/>
        <v>50</v>
      </c>
    </row>
    <row r="193" spans="1:9" ht="16.5" customHeight="1" x14ac:dyDescent="0.3">
      <c r="A193" s="164" t="b">
        <v>1</v>
      </c>
      <c r="B193" s="187" t="s">
        <v>330</v>
      </c>
      <c r="C193" s="188">
        <f t="shared" ref="C193:C198" si="143">C192+1</f>
        <v>188</v>
      </c>
      <c r="D193" s="164">
        <f t="shared" si="141"/>
        <v>3</v>
      </c>
      <c r="E193" s="188">
        <f t="shared" ref="E193:E197" si="144">E187</f>
        <v>10</v>
      </c>
      <c r="F193" s="164">
        <f>F192</f>
        <v>155101002</v>
      </c>
      <c r="G193" s="188">
        <f t="shared" ref="G193:H197" si="145">G187</f>
        <v>2</v>
      </c>
      <c r="H193" s="188" t="str">
        <f t="shared" si="145"/>
        <v>Gem</v>
      </c>
      <c r="I193" s="204">
        <f t="shared" si="109"/>
        <v>100</v>
      </c>
    </row>
    <row r="194" spans="1:9" ht="16.5" customHeight="1" x14ac:dyDescent="0.3">
      <c r="A194" s="164" t="b">
        <v>1</v>
      </c>
      <c r="B194" s="187" t="s">
        <v>330</v>
      </c>
      <c r="C194" s="188">
        <f t="shared" si="143"/>
        <v>189</v>
      </c>
      <c r="D194" s="164">
        <f t="shared" si="141"/>
        <v>3</v>
      </c>
      <c r="E194" s="188">
        <f t="shared" si="144"/>
        <v>10</v>
      </c>
      <c r="F194" s="164">
        <f>F193</f>
        <v>155101002</v>
      </c>
      <c r="G194" s="188">
        <f t="shared" si="145"/>
        <v>3</v>
      </c>
      <c r="H194" s="188" t="str">
        <f t="shared" si="145"/>
        <v>Gem</v>
      </c>
      <c r="I194" s="204">
        <f t="shared" si="109"/>
        <v>150</v>
      </c>
    </row>
    <row r="195" spans="1:9" ht="16.5" customHeight="1" x14ac:dyDescent="0.3">
      <c r="A195" s="164" t="b">
        <v>1</v>
      </c>
      <c r="B195" s="187" t="s">
        <v>330</v>
      </c>
      <c r="C195" s="188">
        <f t="shared" si="143"/>
        <v>190</v>
      </c>
      <c r="D195" s="164">
        <f t="shared" si="141"/>
        <v>3</v>
      </c>
      <c r="E195" s="188">
        <f t="shared" si="144"/>
        <v>6</v>
      </c>
      <c r="F195" s="164">
        <f>F194</f>
        <v>155101002</v>
      </c>
      <c r="G195" s="188">
        <f t="shared" si="145"/>
        <v>1</v>
      </c>
      <c r="H195" s="188" t="str">
        <f t="shared" si="145"/>
        <v>Gold</v>
      </c>
      <c r="I195" s="204">
        <f t="shared" si="109"/>
        <v>10000</v>
      </c>
    </row>
    <row r="196" spans="1:9" ht="16.5" customHeight="1" x14ac:dyDescent="0.3">
      <c r="A196" s="164" t="b">
        <v>1</v>
      </c>
      <c r="B196" s="187" t="s">
        <v>330</v>
      </c>
      <c r="C196" s="188">
        <f t="shared" si="143"/>
        <v>191</v>
      </c>
      <c r="D196" s="164">
        <f t="shared" si="141"/>
        <v>3</v>
      </c>
      <c r="E196" s="188">
        <f t="shared" si="144"/>
        <v>6</v>
      </c>
      <c r="F196" s="164">
        <f>F195</f>
        <v>155101002</v>
      </c>
      <c r="G196" s="188">
        <f t="shared" si="145"/>
        <v>2</v>
      </c>
      <c r="H196" s="188" t="str">
        <f t="shared" si="145"/>
        <v>Gold</v>
      </c>
      <c r="I196" s="204">
        <f t="shared" si="109"/>
        <v>20000</v>
      </c>
    </row>
    <row r="197" spans="1:9" ht="16.5" customHeight="1" x14ac:dyDescent="0.3">
      <c r="A197" s="164" t="b">
        <v>1</v>
      </c>
      <c r="B197" s="187" t="s">
        <v>330</v>
      </c>
      <c r="C197" s="188">
        <f t="shared" si="143"/>
        <v>192</v>
      </c>
      <c r="D197" s="164">
        <f t="shared" si="141"/>
        <v>3</v>
      </c>
      <c r="E197" s="188">
        <f t="shared" si="144"/>
        <v>6</v>
      </c>
      <c r="F197" s="164">
        <f>F196</f>
        <v>155101002</v>
      </c>
      <c r="G197" s="188">
        <f t="shared" si="145"/>
        <v>3</v>
      </c>
      <c r="H197" s="188" t="str">
        <f t="shared" si="145"/>
        <v>Gold</v>
      </c>
      <c r="I197" s="204">
        <f t="shared" si="109"/>
        <v>30000</v>
      </c>
    </row>
    <row r="198" spans="1:9" ht="16.5" customHeight="1" x14ac:dyDescent="0.3">
      <c r="A198" s="168" t="b">
        <v>1</v>
      </c>
      <c r="B198" s="183" t="s">
        <v>330</v>
      </c>
      <c r="C198" s="184">
        <f t="shared" si="143"/>
        <v>193</v>
      </c>
      <c r="D198" s="168">
        <f t="shared" si="141"/>
        <v>3</v>
      </c>
      <c r="E198" s="184">
        <f>E192</f>
        <v>10</v>
      </c>
      <c r="F198" s="184">
        <f>F192+1</f>
        <v>155101003</v>
      </c>
      <c r="G198" s="184">
        <v>1</v>
      </c>
      <c r="H198" s="184" t="s">
        <v>104</v>
      </c>
      <c r="I198" s="203">
        <f t="shared" ref="I198:I261" si="146">IF(H198="Gem",$H$1*G198,IF(H198="Gold",$I$1*G198))</f>
        <v>50</v>
      </c>
    </row>
    <row r="199" spans="1:9" ht="16.5" customHeight="1" x14ac:dyDescent="0.3">
      <c r="A199" s="168" t="b">
        <v>1</v>
      </c>
      <c r="B199" s="183" t="s">
        <v>330</v>
      </c>
      <c r="C199" s="184">
        <f t="shared" ref="C199:C204" si="147">C198+1</f>
        <v>194</v>
      </c>
      <c r="D199" s="168">
        <f t="shared" ref="D199:D203" si="148">D198</f>
        <v>3</v>
      </c>
      <c r="E199" s="168">
        <f t="shared" ref="E199:E203" si="149">E193</f>
        <v>10</v>
      </c>
      <c r="F199" s="168">
        <f>F198</f>
        <v>155101003</v>
      </c>
      <c r="G199" s="168">
        <f>G198+1</f>
        <v>2</v>
      </c>
      <c r="H199" s="168" t="str">
        <f>H198</f>
        <v>Gem</v>
      </c>
      <c r="I199" s="203">
        <f t="shared" si="146"/>
        <v>100</v>
      </c>
    </row>
    <row r="200" spans="1:9" ht="16.5" customHeight="1" x14ac:dyDescent="0.3">
      <c r="A200" s="168" t="b">
        <v>1</v>
      </c>
      <c r="B200" s="183" t="s">
        <v>330</v>
      </c>
      <c r="C200" s="184">
        <f t="shared" si="147"/>
        <v>195</v>
      </c>
      <c r="D200" s="168">
        <f t="shared" si="148"/>
        <v>3</v>
      </c>
      <c r="E200" s="168">
        <f t="shared" si="149"/>
        <v>10</v>
      </c>
      <c r="F200" s="168">
        <f>F199</f>
        <v>155101003</v>
      </c>
      <c r="G200" s="168">
        <f>G199+1</f>
        <v>3</v>
      </c>
      <c r="H200" s="168" t="str">
        <f>H199</f>
        <v>Gem</v>
      </c>
      <c r="I200" s="203">
        <f t="shared" si="146"/>
        <v>150</v>
      </c>
    </row>
    <row r="201" spans="1:9" ht="16.5" customHeight="1" x14ac:dyDescent="0.3">
      <c r="A201" s="168" t="b">
        <v>1</v>
      </c>
      <c r="B201" s="183" t="s">
        <v>330</v>
      </c>
      <c r="C201" s="184">
        <f t="shared" si="147"/>
        <v>196</v>
      </c>
      <c r="D201" s="168">
        <f t="shared" si="148"/>
        <v>3</v>
      </c>
      <c r="E201" s="168">
        <f t="shared" si="149"/>
        <v>6</v>
      </c>
      <c r="F201" s="168">
        <f>F200</f>
        <v>155101003</v>
      </c>
      <c r="G201" s="168">
        <v>1</v>
      </c>
      <c r="H201" s="168" t="s">
        <v>335</v>
      </c>
      <c r="I201" s="203">
        <f t="shared" si="146"/>
        <v>10000</v>
      </c>
    </row>
    <row r="202" spans="1:9" ht="16.5" customHeight="1" x14ac:dyDescent="0.3">
      <c r="A202" s="168" t="b">
        <v>1</v>
      </c>
      <c r="B202" s="183" t="s">
        <v>330</v>
      </c>
      <c r="C202" s="184">
        <f t="shared" si="147"/>
        <v>197</v>
      </c>
      <c r="D202" s="168">
        <f t="shared" si="148"/>
        <v>3</v>
      </c>
      <c r="E202" s="168">
        <f t="shared" si="149"/>
        <v>6</v>
      </c>
      <c r="F202" s="168">
        <f>F201</f>
        <v>155101003</v>
      </c>
      <c r="G202" s="168">
        <f>G201+1</f>
        <v>2</v>
      </c>
      <c r="H202" s="168" t="str">
        <f t="shared" ref="H202:H203" si="150">H201</f>
        <v>Gold</v>
      </c>
      <c r="I202" s="203">
        <f t="shared" si="146"/>
        <v>20000</v>
      </c>
    </row>
    <row r="203" spans="1:9" ht="16.5" customHeight="1" x14ac:dyDescent="0.3">
      <c r="A203" s="168" t="b">
        <v>1</v>
      </c>
      <c r="B203" s="183" t="s">
        <v>330</v>
      </c>
      <c r="C203" s="184">
        <f t="shared" si="147"/>
        <v>198</v>
      </c>
      <c r="D203" s="168">
        <f t="shared" si="148"/>
        <v>3</v>
      </c>
      <c r="E203" s="168">
        <f t="shared" si="149"/>
        <v>6</v>
      </c>
      <c r="F203" s="168">
        <f>F202</f>
        <v>155101003</v>
      </c>
      <c r="G203" s="168">
        <f>G202+1</f>
        <v>3</v>
      </c>
      <c r="H203" s="168" t="str">
        <f t="shared" si="150"/>
        <v>Gold</v>
      </c>
      <c r="I203" s="203">
        <f t="shared" si="146"/>
        <v>30000</v>
      </c>
    </row>
    <row r="204" spans="1:9" ht="16.5" customHeight="1" x14ac:dyDescent="0.3">
      <c r="A204" s="164" t="b">
        <v>1</v>
      </c>
      <c r="B204" s="187" t="s">
        <v>330</v>
      </c>
      <c r="C204" s="164">
        <f t="shared" si="147"/>
        <v>199</v>
      </c>
      <c r="D204" s="164">
        <f>D200</f>
        <v>3</v>
      </c>
      <c r="E204" s="188">
        <f>E198</f>
        <v>10</v>
      </c>
      <c r="F204" s="164">
        <f>F198+1</f>
        <v>155101004</v>
      </c>
      <c r="G204" s="188">
        <f>G198</f>
        <v>1</v>
      </c>
      <c r="H204" s="188" t="str">
        <f>H198</f>
        <v>Gem</v>
      </c>
      <c r="I204" s="204">
        <f t="shared" si="146"/>
        <v>50</v>
      </c>
    </row>
    <row r="205" spans="1:9" ht="16.5" customHeight="1" x14ac:dyDescent="0.3">
      <c r="A205" s="164" t="b">
        <v>1</v>
      </c>
      <c r="B205" s="187" t="s">
        <v>330</v>
      </c>
      <c r="C205" s="188">
        <f t="shared" ref="C205:C210" si="151">C204+1</f>
        <v>200</v>
      </c>
      <c r="D205" s="164">
        <f t="shared" ref="D205:D210" si="152">D204</f>
        <v>3</v>
      </c>
      <c r="E205" s="188">
        <f t="shared" ref="E205:E209" si="153">E199</f>
        <v>10</v>
      </c>
      <c r="F205" s="164">
        <f>F204</f>
        <v>155101004</v>
      </c>
      <c r="G205" s="188">
        <f t="shared" ref="G205:H209" si="154">G199</f>
        <v>2</v>
      </c>
      <c r="H205" s="188" t="str">
        <f t="shared" si="154"/>
        <v>Gem</v>
      </c>
      <c r="I205" s="204">
        <f t="shared" si="146"/>
        <v>100</v>
      </c>
    </row>
    <row r="206" spans="1:9" ht="16.5" customHeight="1" x14ac:dyDescent="0.3">
      <c r="A206" s="164" t="b">
        <v>1</v>
      </c>
      <c r="B206" s="187" t="s">
        <v>330</v>
      </c>
      <c r="C206" s="188">
        <f t="shared" si="151"/>
        <v>201</v>
      </c>
      <c r="D206" s="164">
        <f t="shared" si="152"/>
        <v>3</v>
      </c>
      <c r="E206" s="188">
        <f t="shared" si="153"/>
        <v>10</v>
      </c>
      <c r="F206" s="164">
        <f>F205</f>
        <v>155101004</v>
      </c>
      <c r="G206" s="188">
        <f t="shared" si="154"/>
        <v>3</v>
      </c>
      <c r="H206" s="188" t="str">
        <f t="shared" si="154"/>
        <v>Gem</v>
      </c>
      <c r="I206" s="204">
        <f t="shared" si="146"/>
        <v>150</v>
      </c>
    </row>
    <row r="207" spans="1:9" ht="16.5" customHeight="1" x14ac:dyDescent="0.3">
      <c r="A207" s="164" t="b">
        <v>1</v>
      </c>
      <c r="B207" s="187" t="s">
        <v>330</v>
      </c>
      <c r="C207" s="188">
        <f t="shared" si="151"/>
        <v>202</v>
      </c>
      <c r="D207" s="164">
        <f t="shared" si="152"/>
        <v>3</v>
      </c>
      <c r="E207" s="188">
        <f t="shared" si="153"/>
        <v>6</v>
      </c>
      <c r="F207" s="164">
        <f>F206</f>
        <v>155101004</v>
      </c>
      <c r="G207" s="188">
        <f t="shared" si="154"/>
        <v>1</v>
      </c>
      <c r="H207" s="188" t="str">
        <f t="shared" si="154"/>
        <v>Gold</v>
      </c>
      <c r="I207" s="204">
        <f t="shared" si="146"/>
        <v>10000</v>
      </c>
    </row>
    <row r="208" spans="1:9" ht="16.5" customHeight="1" x14ac:dyDescent="0.3">
      <c r="A208" s="164" t="b">
        <v>1</v>
      </c>
      <c r="B208" s="187" t="s">
        <v>330</v>
      </c>
      <c r="C208" s="188">
        <f t="shared" si="151"/>
        <v>203</v>
      </c>
      <c r="D208" s="164">
        <f t="shared" si="152"/>
        <v>3</v>
      </c>
      <c r="E208" s="188">
        <f t="shared" si="153"/>
        <v>6</v>
      </c>
      <c r="F208" s="164">
        <f>F207</f>
        <v>155101004</v>
      </c>
      <c r="G208" s="188">
        <f t="shared" si="154"/>
        <v>2</v>
      </c>
      <c r="H208" s="188" t="str">
        <f t="shared" si="154"/>
        <v>Gold</v>
      </c>
      <c r="I208" s="204">
        <f t="shared" si="146"/>
        <v>20000</v>
      </c>
    </row>
    <row r="209" spans="1:9" ht="16.5" customHeight="1" x14ac:dyDescent="0.3">
      <c r="A209" s="164" t="b">
        <v>1</v>
      </c>
      <c r="B209" s="187" t="s">
        <v>330</v>
      </c>
      <c r="C209" s="188">
        <f t="shared" si="151"/>
        <v>204</v>
      </c>
      <c r="D209" s="164">
        <f t="shared" si="152"/>
        <v>3</v>
      </c>
      <c r="E209" s="188">
        <f t="shared" si="153"/>
        <v>6</v>
      </c>
      <c r="F209" s="164">
        <f>F208</f>
        <v>155101004</v>
      </c>
      <c r="G209" s="188">
        <f t="shared" si="154"/>
        <v>3</v>
      </c>
      <c r="H209" s="188" t="str">
        <f t="shared" si="154"/>
        <v>Gold</v>
      </c>
      <c r="I209" s="204">
        <f t="shared" si="146"/>
        <v>30000</v>
      </c>
    </row>
    <row r="210" spans="1:9" ht="16.5" customHeight="1" x14ac:dyDescent="0.3">
      <c r="A210" s="168" t="b">
        <v>1</v>
      </c>
      <c r="B210" s="183" t="s">
        <v>330</v>
      </c>
      <c r="C210" s="184">
        <f t="shared" si="151"/>
        <v>205</v>
      </c>
      <c r="D210" s="168">
        <f t="shared" si="152"/>
        <v>3</v>
      </c>
      <c r="E210" s="184">
        <f>E204</f>
        <v>10</v>
      </c>
      <c r="F210" s="184">
        <f>F204+1</f>
        <v>155101005</v>
      </c>
      <c r="G210" s="184">
        <v>1</v>
      </c>
      <c r="H210" s="184" t="s">
        <v>104</v>
      </c>
      <c r="I210" s="203">
        <f t="shared" si="146"/>
        <v>50</v>
      </c>
    </row>
    <row r="211" spans="1:9" ht="16.5" customHeight="1" x14ac:dyDescent="0.3">
      <c r="A211" s="168" t="b">
        <v>1</v>
      </c>
      <c r="B211" s="183" t="s">
        <v>330</v>
      </c>
      <c r="C211" s="184">
        <f t="shared" ref="C211:C216" si="155">C210+1</f>
        <v>206</v>
      </c>
      <c r="D211" s="168">
        <f t="shared" ref="D211:D215" si="156">D210</f>
        <v>3</v>
      </c>
      <c r="E211" s="168">
        <f t="shared" ref="E211:E215" si="157">E205</f>
        <v>10</v>
      </c>
      <c r="F211" s="168">
        <f>F210</f>
        <v>155101005</v>
      </c>
      <c r="G211" s="168">
        <f>G210+1</f>
        <v>2</v>
      </c>
      <c r="H211" s="168" t="str">
        <f>H210</f>
        <v>Gem</v>
      </c>
      <c r="I211" s="203">
        <f t="shared" si="146"/>
        <v>100</v>
      </c>
    </row>
    <row r="212" spans="1:9" ht="16.5" customHeight="1" x14ac:dyDescent="0.3">
      <c r="A212" s="168" t="b">
        <v>1</v>
      </c>
      <c r="B212" s="183" t="s">
        <v>330</v>
      </c>
      <c r="C212" s="184">
        <f t="shared" si="155"/>
        <v>207</v>
      </c>
      <c r="D212" s="168">
        <f t="shared" si="156"/>
        <v>3</v>
      </c>
      <c r="E212" s="168">
        <f t="shared" si="157"/>
        <v>10</v>
      </c>
      <c r="F212" s="168">
        <f>F211</f>
        <v>155101005</v>
      </c>
      <c r="G212" s="168">
        <f>G211+1</f>
        <v>3</v>
      </c>
      <c r="H212" s="168" t="str">
        <f>H211</f>
        <v>Gem</v>
      </c>
      <c r="I212" s="203">
        <f t="shared" si="146"/>
        <v>150</v>
      </c>
    </row>
    <row r="213" spans="1:9" ht="16.5" customHeight="1" x14ac:dyDescent="0.3">
      <c r="A213" s="168" t="b">
        <v>1</v>
      </c>
      <c r="B213" s="183" t="s">
        <v>330</v>
      </c>
      <c r="C213" s="184">
        <f t="shared" si="155"/>
        <v>208</v>
      </c>
      <c r="D213" s="168">
        <f t="shared" si="156"/>
        <v>3</v>
      </c>
      <c r="E213" s="168">
        <f t="shared" si="157"/>
        <v>6</v>
      </c>
      <c r="F213" s="168">
        <f>F212</f>
        <v>155101005</v>
      </c>
      <c r="G213" s="168">
        <v>1</v>
      </c>
      <c r="H213" s="168" t="s">
        <v>335</v>
      </c>
      <c r="I213" s="203">
        <f t="shared" si="146"/>
        <v>10000</v>
      </c>
    </row>
    <row r="214" spans="1:9" ht="16.5" customHeight="1" x14ac:dyDescent="0.3">
      <c r="A214" s="168" t="b">
        <v>1</v>
      </c>
      <c r="B214" s="183" t="s">
        <v>330</v>
      </c>
      <c r="C214" s="184">
        <f t="shared" si="155"/>
        <v>209</v>
      </c>
      <c r="D214" s="168">
        <f t="shared" si="156"/>
        <v>3</v>
      </c>
      <c r="E214" s="168">
        <f t="shared" si="157"/>
        <v>6</v>
      </c>
      <c r="F214" s="168">
        <f>F213</f>
        <v>155101005</v>
      </c>
      <c r="G214" s="168">
        <f>G213+1</f>
        <v>2</v>
      </c>
      <c r="H214" s="168" t="str">
        <f t="shared" ref="H214:H215" si="158">H213</f>
        <v>Gold</v>
      </c>
      <c r="I214" s="203">
        <f t="shared" si="146"/>
        <v>20000</v>
      </c>
    </row>
    <row r="215" spans="1:9" ht="16.5" customHeight="1" x14ac:dyDescent="0.3">
      <c r="A215" s="168" t="b">
        <v>1</v>
      </c>
      <c r="B215" s="183" t="s">
        <v>330</v>
      </c>
      <c r="C215" s="184">
        <f t="shared" si="155"/>
        <v>210</v>
      </c>
      <c r="D215" s="168">
        <f t="shared" si="156"/>
        <v>3</v>
      </c>
      <c r="E215" s="168">
        <f t="shared" si="157"/>
        <v>6</v>
      </c>
      <c r="F215" s="168">
        <f>F214</f>
        <v>155101005</v>
      </c>
      <c r="G215" s="168">
        <f>G214+1</f>
        <v>3</v>
      </c>
      <c r="H215" s="168" t="str">
        <f t="shared" si="158"/>
        <v>Gold</v>
      </c>
      <c r="I215" s="203">
        <f t="shared" si="146"/>
        <v>30000</v>
      </c>
    </row>
    <row r="216" spans="1:9" ht="16.5" customHeight="1" x14ac:dyDescent="0.3">
      <c r="A216" s="164" t="b">
        <v>1</v>
      </c>
      <c r="B216" s="187" t="s">
        <v>330</v>
      </c>
      <c r="C216" s="164">
        <f t="shared" si="155"/>
        <v>211</v>
      </c>
      <c r="D216" s="164">
        <f>D212</f>
        <v>3</v>
      </c>
      <c r="E216" s="188">
        <f>E210</f>
        <v>10</v>
      </c>
      <c r="F216" s="164">
        <f>F210+1</f>
        <v>155101006</v>
      </c>
      <c r="G216" s="188">
        <f>G210</f>
        <v>1</v>
      </c>
      <c r="H216" s="188" t="str">
        <f>H210</f>
        <v>Gem</v>
      </c>
      <c r="I216" s="204">
        <f t="shared" si="146"/>
        <v>50</v>
      </c>
    </row>
    <row r="217" spans="1:9" ht="16.5" customHeight="1" x14ac:dyDescent="0.3">
      <c r="A217" s="164" t="b">
        <v>1</v>
      </c>
      <c r="B217" s="187" t="s">
        <v>330</v>
      </c>
      <c r="C217" s="188">
        <f t="shared" ref="C217:C222" si="159">C216+1</f>
        <v>212</v>
      </c>
      <c r="D217" s="164">
        <f t="shared" ref="D217:D222" si="160">D216</f>
        <v>3</v>
      </c>
      <c r="E217" s="188">
        <f t="shared" ref="E217:E221" si="161">E211</f>
        <v>10</v>
      </c>
      <c r="F217" s="164">
        <f>F216</f>
        <v>155101006</v>
      </c>
      <c r="G217" s="188">
        <f t="shared" ref="G217:H221" si="162">G211</f>
        <v>2</v>
      </c>
      <c r="H217" s="188" t="str">
        <f t="shared" si="162"/>
        <v>Gem</v>
      </c>
      <c r="I217" s="204">
        <f t="shared" si="146"/>
        <v>100</v>
      </c>
    </row>
    <row r="218" spans="1:9" ht="16.5" customHeight="1" x14ac:dyDescent="0.3">
      <c r="A218" s="164" t="b">
        <v>1</v>
      </c>
      <c r="B218" s="187" t="s">
        <v>330</v>
      </c>
      <c r="C218" s="188">
        <f t="shared" si="159"/>
        <v>213</v>
      </c>
      <c r="D218" s="164">
        <f t="shared" si="160"/>
        <v>3</v>
      </c>
      <c r="E218" s="188">
        <f t="shared" si="161"/>
        <v>10</v>
      </c>
      <c r="F218" s="164">
        <f>F217</f>
        <v>155101006</v>
      </c>
      <c r="G218" s="188">
        <f t="shared" si="162"/>
        <v>3</v>
      </c>
      <c r="H218" s="188" t="str">
        <f t="shared" si="162"/>
        <v>Gem</v>
      </c>
      <c r="I218" s="204">
        <f t="shared" si="146"/>
        <v>150</v>
      </c>
    </row>
    <row r="219" spans="1:9" ht="16.5" customHeight="1" x14ac:dyDescent="0.3">
      <c r="A219" s="164" t="b">
        <v>1</v>
      </c>
      <c r="B219" s="187" t="s">
        <v>330</v>
      </c>
      <c r="C219" s="188">
        <f t="shared" si="159"/>
        <v>214</v>
      </c>
      <c r="D219" s="164">
        <f t="shared" si="160"/>
        <v>3</v>
      </c>
      <c r="E219" s="188">
        <f t="shared" si="161"/>
        <v>6</v>
      </c>
      <c r="F219" s="164">
        <f>F218</f>
        <v>155101006</v>
      </c>
      <c r="G219" s="188">
        <f t="shared" si="162"/>
        <v>1</v>
      </c>
      <c r="H219" s="188" t="str">
        <f t="shared" si="162"/>
        <v>Gold</v>
      </c>
      <c r="I219" s="204">
        <f t="shared" si="146"/>
        <v>10000</v>
      </c>
    </row>
    <row r="220" spans="1:9" ht="16.5" customHeight="1" x14ac:dyDescent="0.3">
      <c r="A220" s="164" t="b">
        <v>1</v>
      </c>
      <c r="B220" s="187" t="s">
        <v>330</v>
      </c>
      <c r="C220" s="188">
        <f t="shared" si="159"/>
        <v>215</v>
      </c>
      <c r="D220" s="164">
        <f t="shared" si="160"/>
        <v>3</v>
      </c>
      <c r="E220" s="188">
        <f t="shared" si="161"/>
        <v>6</v>
      </c>
      <c r="F220" s="164">
        <f>F219</f>
        <v>155101006</v>
      </c>
      <c r="G220" s="188">
        <f t="shared" si="162"/>
        <v>2</v>
      </c>
      <c r="H220" s="188" t="str">
        <f t="shared" si="162"/>
        <v>Gold</v>
      </c>
      <c r="I220" s="204">
        <f t="shared" si="146"/>
        <v>20000</v>
      </c>
    </row>
    <row r="221" spans="1:9" ht="16.5" customHeight="1" x14ac:dyDescent="0.3">
      <c r="A221" s="164" t="b">
        <v>1</v>
      </c>
      <c r="B221" s="187" t="s">
        <v>330</v>
      </c>
      <c r="C221" s="188">
        <f t="shared" si="159"/>
        <v>216</v>
      </c>
      <c r="D221" s="164">
        <f t="shared" si="160"/>
        <v>3</v>
      </c>
      <c r="E221" s="188">
        <f t="shared" si="161"/>
        <v>6</v>
      </c>
      <c r="F221" s="164">
        <f>F220</f>
        <v>155101006</v>
      </c>
      <c r="G221" s="188">
        <f t="shared" si="162"/>
        <v>3</v>
      </c>
      <c r="H221" s="188" t="str">
        <f t="shared" si="162"/>
        <v>Gold</v>
      </c>
      <c r="I221" s="204">
        <f t="shared" si="146"/>
        <v>30000</v>
      </c>
    </row>
    <row r="222" spans="1:9" ht="16.5" customHeight="1" x14ac:dyDescent="0.3">
      <c r="A222" s="168" t="b">
        <v>1</v>
      </c>
      <c r="B222" s="183" t="s">
        <v>330</v>
      </c>
      <c r="C222" s="184">
        <f t="shared" si="159"/>
        <v>217</v>
      </c>
      <c r="D222" s="168">
        <f t="shared" si="160"/>
        <v>3</v>
      </c>
      <c r="E222" s="185">
        <v>10</v>
      </c>
      <c r="F222" s="186">
        <v>155102001</v>
      </c>
      <c r="G222" s="185">
        <v>1</v>
      </c>
      <c r="H222" s="185" t="s">
        <v>104</v>
      </c>
      <c r="I222" s="203">
        <f t="shared" si="146"/>
        <v>50</v>
      </c>
    </row>
    <row r="223" spans="1:9" ht="16.5" customHeight="1" x14ac:dyDescent="0.3">
      <c r="A223" s="168" t="b">
        <v>1</v>
      </c>
      <c r="B223" s="183" t="s">
        <v>330</v>
      </c>
      <c r="C223" s="184">
        <f t="shared" ref="C223:C228" si="163">C222+1</f>
        <v>218</v>
      </c>
      <c r="D223" s="168">
        <f t="shared" ref="D223:D227" si="164">D222</f>
        <v>3</v>
      </c>
      <c r="E223" s="185">
        <v>10</v>
      </c>
      <c r="F223" s="168">
        <f>F222</f>
        <v>155102001</v>
      </c>
      <c r="G223" s="184">
        <f>G222+1</f>
        <v>2</v>
      </c>
      <c r="H223" s="184" t="str">
        <f>H222</f>
        <v>Gem</v>
      </c>
      <c r="I223" s="203">
        <f t="shared" si="146"/>
        <v>100</v>
      </c>
    </row>
    <row r="224" spans="1:9" ht="16.5" customHeight="1" x14ac:dyDescent="0.3">
      <c r="A224" s="168" t="b">
        <v>1</v>
      </c>
      <c r="B224" s="183" t="s">
        <v>330</v>
      </c>
      <c r="C224" s="184">
        <f t="shared" si="163"/>
        <v>219</v>
      </c>
      <c r="D224" s="168">
        <f t="shared" si="164"/>
        <v>3</v>
      </c>
      <c r="E224" s="185">
        <v>10</v>
      </c>
      <c r="F224" s="168">
        <f>F223</f>
        <v>155102001</v>
      </c>
      <c r="G224" s="184">
        <f>G223+1</f>
        <v>3</v>
      </c>
      <c r="H224" s="184" t="str">
        <f>H223</f>
        <v>Gem</v>
      </c>
      <c r="I224" s="203">
        <f t="shared" si="146"/>
        <v>150</v>
      </c>
    </row>
    <row r="225" spans="1:9" ht="16.5" customHeight="1" x14ac:dyDescent="0.3">
      <c r="A225" s="168" t="b">
        <v>1</v>
      </c>
      <c r="B225" s="183" t="s">
        <v>330</v>
      </c>
      <c r="C225" s="184">
        <f t="shared" si="163"/>
        <v>220</v>
      </c>
      <c r="D225" s="168">
        <f t="shared" si="164"/>
        <v>3</v>
      </c>
      <c r="E225" s="185">
        <v>6</v>
      </c>
      <c r="F225" s="168">
        <f>F224</f>
        <v>155102001</v>
      </c>
      <c r="G225" s="185">
        <v>1</v>
      </c>
      <c r="H225" s="185" t="s">
        <v>336</v>
      </c>
      <c r="I225" s="203">
        <f t="shared" si="146"/>
        <v>10000</v>
      </c>
    </row>
    <row r="226" spans="1:9" ht="16.5" customHeight="1" x14ac:dyDescent="0.3">
      <c r="A226" s="168" t="b">
        <v>1</v>
      </c>
      <c r="B226" s="183" t="s">
        <v>330</v>
      </c>
      <c r="C226" s="184">
        <f t="shared" si="163"/>
        <v>221</v>
      </c>
      <c r="D226" s="168">
        <f t="shared" si="164"/>
        <v>3</v>
      </c>
      <c r="E226" s="185">
        <v>6</v>
      </c>
      <c r="F226" s="168">
        <f>F225</f>
        <v>155102001</v>
      </c>
      <c r="G226" s="184">
        <f>G225+1</f>
        <v>2</v>
      </c>
      <c r="H226" s="184" t="str">
        <f t="shared" ref="H226:H227" si="165">H225</f>
        <v>Gold</v>
      </c>
      <c r="I226" s="203">
        <f t="shared" si="146"/>
        <v>20000</v>
      </c>
    </row>
    <row r="227" spans="1:9" ht="16.5" customHeight="1" x14ac:dyDescent="0.3">
      <c r="A227" s="168" t="b">
        <v>1</v>
      </c>
      <c r="B227" s="183" t="s">
        <v>330</v>
      </c>
      <c r="C227" s="184">
        <f t="shared" si="163"/>
        <v>222</v>
      </c>
      <c r="D227" s="168">
        <f t="shared" si="164"/>
        <v>3</v>
      </c>
      <c r="E227" s="185">
        <v>6</v>
      </c>
      <c r="F227" s="168">
        <f>F226</f>
        <v>155102001</v>
      </c>
      <c r="G227" s="184">
        <f>G226+1</f>
        <v>3</v>
      </c>
      <c r="H227" s="184" t="str">
        <f t="shared" si="165"/>
        <v>Gold</v>
      </c>
      <c r="I227" s="203">
        <f t="shared" si="146"/>
        <v>30000</v>
      </c>
    </row>
    <row r="228" spans="1:9" ht="16.5" customHeight="1" x14ac:dyDescent="0.3">
      <c r="A228" s="164" t="b">
        <v>1</v>
      </c>
      <c r="B228" s="187" t="s">
        <v>330</v>
      </c>
      <c r="C228" s="164">
        <f t="shared" si="163"/>
        <v>223</v>
      </c>
      <c r="D228" s="164">
        <f>D224</f>
        <v>3</v>
      </c>
      <c r="E228" s="188">
        <f t="shared" ref="E228:E257" si="166">E222</f>
        <v>10</v>
      </c>
      <c r="F228" s="164">
        <f>F222+1</f>
        <v>155102002</v>
      </c>
      <c r="G228" s="188">
        <f t="shared" ref="G228:H233" si="167">G222</f>
        <v>1</v>
      </c>
      <c r="H228" s="188" t="str">
        <f t="shared" si="167"/>
        <v>Gem</v>
      </c>
      <c r="I228" s="204">
        <f t="shared" si="146"/>
        <v>50</v>
      </c>
    </row>
    <row r="229" spans="1:9" ht="16.5" customHeight="1" x14ac:dyDescent="0.3">
      <c r="A229" s="164" t="b">
        <v>1</v>
      </c>
      <c r="B229" s="187" t="s">
        <v>330</v>
      </c>
      <c r="C229" s="188">
        <f t="shared" ref="C229:C233" si="168">C228+1</f>
        <v>224</v>
      </c>
      <c r="D229" s="164">
        <f t="shared" ref="D229:D234" si="169">D228</f>
        <v>3</v>
      </c>
      <c r="E229" s="188">
        <f t="shared" si="166"/>
        <v>10</v>
      </c>
      <c r="F229" s="164">
        <f>F228</f>
        <v>155102002</v>
      </c>
      <c r="G229" s="188">
        <f t="shared" si="167"/>
        <v>2</v>
      </c>
      <c r="H229" s="188" t="str">
        <f t="shared" si="167"/>
        <v>Gem</v>
      </c>
      <c r="I229" s="204">
        <f t="shared" si="146"/>
        <v>100</v>
      </c>
    </row>
    <row r="230" spans="1:9" ht="16.5" customHeight="1" x14ac:dyDescent="0.3">
      <c r="A230" s="164" t="b">
        <v>1</v>
      </c>
      <c r="B230" s="187" t="s">
        <v>330</v>
      </c>
      <c r="C230" s="188">
        <f t="shared" si="168"/>
        <v>225</v>
      </c>
      <c r="D230" s="164">
        <f t="shared" si="169"/>
        <v>3</v>
      </c>
      <c r="E230" s="188">
        <f t="shared" si="166"/>
        <v>10</v>
      </c>
      <c r="F230" s="164">
        <f>F229</f>
        <v>155102002</v>
      </c>
      <c r="G230" s="188">
        <f t="shared" si="167"/>
        <v>3</v>
      </c>
      <c r="H230" s="188" t="str">
        <f t="shared" si="167"/>
        <v>Gem</v>
      </c>
      <c r="I230" s="204">
        <f t="shared" si="146"/>
        <v>150</v>
      </c>
    </row>
    <row r="231" spans="1:9" ht="16.5" customHeight="1" x14ac:dyDescent="0.3">
      <c r="A231" s="164" t="b">
        <v>1</v>
      </c>
      <c r="B231" s="187" t="s">
        <v>330</v>
      </c>
      <c r="C231" s="188">
        <f t="shared" si="168"/>
        <v>226</v>
      </c>
      <c r="D231" s="164">
        <f t="shared" si="169"/>
        <v>3</v>
      </c>
      <c r="E231" s="188">
        <f t="shared" si="166"/>
        <v>6</v>
      </c>
      <c r="F231" s="164">
        <f>F230</f>
        <v>155102002</v>
      </c>
      <c r="G231" s="188">
        <f t="shared" si="167"/>
        <v>1</v>
      </c>
      <c r="H231" s="188" t="str">
        <f t="shared" si="167"/>
        <v>Gold</v>
      </c>
      <c r="I231" s="204">
        <f t="shared" si="146"/>
        <v>10000</v>
      </c>
    </row>
    <row r="232" spans="1:9" ht="16.5" customHeight="1" x14ac:dyDescent="0.3">
      <c r="A232" s="164" t="b">
        <v>1</v>
      </c>
      <c r="B232" s="187" t="s">
        <v>330</v>
      </c>
      <c r="C232" s="188">
        <f t="shared" si="168"/>
        <v>227</v>
      </c>
      <c r="D232" s="164">
        <f t="shared" si="169"/>
        <v>3</v>
      </c>
      <c r="E232" s="188">
        <f t="shared" si="166"/>
        <v>6</v>
      </c>
      <c r="F232" s="164">
        <f>F231</f>
        <v>155102002</v>
      </c>
      <c r="G232" s="188">
        <f t="shared" si="167"/>
        <v>2</v>
      </c>
      <c r="H232" s="188" t="str">
        <f t="shared" si="167"/>
        <v>Gold</v>
      </c>
      <c r="I232" s="204">
        <f t="shared" si="146"/>
        <v>20000</v>
      </c>
    </row>
    <row r="233" spans="1:9" ht="16.5" customHeight="1" x14ac:dyDescent="0.3">
      <c r="A233" s="164" t="b">
        <v>1</v>
      </c>
      <c r="B233" s="187" t="s">
        <v>330</v>
      </c>
      <c r="C233" s="188">
        <f t="shared" si="168"/>
        <v>228</v>
      </c>
      <c r="D233" s="164">
        <f t="shared" si="169"/>
        <v>3</v>
      </c>
      <c r="E233" s="188">
        <f t="shared" si="166"/>
        <v>6</v>
      </c>
      <c r="F233" s="164">
        <f>F232</f>
        <v>155102002</v>
      </c>
      <c r="G233" s="188">
        <f t="shared" si="167"/>
        <v>3</v>
      </c>
      <c r="H233" s="188" t="str">
        <f t="shared" si="167"/>
        <v>Gold</v>
      </c>
      <c r="I233" s="204">
        <f t="shared" si="146"/>
        <v>30000</v>
      </c>
    </row>
    <row r="234" spans="1:9" ht="16.5" customHeight="1" x14ac:dyDescent="0.3">
      <c r="A234" s="168" t="b">
        <v>1</v>
      </c>
      <c r="B234" s="183" t="s">
        <v>330</v>
      </c>
      <c r="C234" s="184">
        <f t="shared" ref="C234:C240" si="170">C233+1</f>
        <v>229</v>
      </c>
      <c r="D234" s="168">
        <f t="shared" si="169"/>
        <v>3</v>
      </c>
      <c r="E234" s="184">
        <f t="shared" si="166"/>
        <v>10</v>
      </c>
      <c r="F234" s="184">
        <f>F228+1</f>
        <v>155102003</v>
      </c>
      <c r="G234" s="184">
        <v>1</v>
      </c>
      <c r="H234" s="184" t="s">
        <v>104</v>
      </c>
      <c r="I234" s="203">
        <f t="shared" si="146"/>
        <v>50</v>
      </c>
    </row>
    <row r="235" spans="1:9" ht="16.5" customHeight="1" x14ac:dyDescent="0.3">
      <c r="A235" s="168" t="b">
        <v>1</v>
      </c>
      <c r="B235" s="183" t="s">
        <v>330</v>
      </c>
      <c r="C235" s="184">
        <f t="shared" si="170"/>
        <v>230</v>
      </c>
      <c r="D235" s="168">
        <f t="shared" ref="D235:D239" si="171">D234</f>
        <v>3</v>
      </c>
      <c r="E235" s="168">
        <f t="shared" si="166"/>
        <v>10</v>
      </c>
      <c r="F235" s="168">
        <f>F234</f>
        <v>155102003</v>
      </c>
      <c r="G235" s="168">
        <f>G234+1</f>
        <v>2</v>
      </c>
      <c r="H235" s="168" t="str">
        <f>H234</f>
        <v>Gem</v>
      </c>
      <c r="I235" s="203">
        <f t="shared" si="146"/>
        <v>100</v>
      </c>
    </row>
    <row r="236" spans="1:9" ht="16.5" customHeight="1" x14ac:dyDescent="0.3">
      <c r="A236" s="168" t="b">
        <v>1</v>
      </c>
      <c r="B236" s="183" t="s">
        <v>330</v>
      </c>
      <c r="C236" s="184">
        <f t="shared" si="170"/>
        <v>231</v>
      </c>
      <c r="D236" s="168">
        <f t="shared" si="171"/>
        <v>3</v>
      </c>
      <c r="E236" s="168">
        <f t="shared" si="166"/>
        <v>10</v>
      </c>
      <c r="F236" s="168">
        <f>F235</f>
        <v>155102003</v>
      </c>
      <c r="G236" s="168">
        <f>G235+1</f>
        <v>3</v>
      </c>
      <c r="H236" s="168" t="str">
        <f>H235</f>
        <v>Gem</v>
      </c>
      <c r="I236" s="203">
        <f t="shared" si="146"/>
        <v>150</v>
      </c>
    </row>
    <row r="237" spans="1:9" ht="16.5" customHeight="1" x14ac:dyDescent="0.3">
      <c r="A237" s="168" t="b">
        <v>1</v>
      </c>
      <c r="B237" s="183" t="s">
        <v>330</v>
      </c>
      <c r="C237" s="184">
        <f t="shared" si="170"/>
        <v>232</v>
      </c>
      <c r="D237" s="168">
        <f t="shared" si="171"/>
        <v>3</v>
      </c>
      <c r="E237" s="168">
        <f t="shared" si="166"/>
        <v>6</v>
      </c>
      <c r="F237" s="168">
        <f>F236</f>
        <v>155102003</v>
      </c>
      <c r="G237" s="168">
        <v>1</v>
      </c>
      <c r="H237" s="168" t="s">
        <v>337</v>
      </c>
      <c r="I237" s="203">
        <f t="shared" si="146"/>
        <v>10000</v>
      </c>
    </row>
    <row r="238" spans="1:9" ht="16.5" customHeight="1" x14ac:dyDescent="0.3">
      <c r="A238" s="168" t="b">
        <v>1</v>
      </c>
      <c r="B238" s="183" t="s">
        <v>330</v>
      </c>
      <c r="C238" s="184">
        <f t="shared" si="170"/>
        <v>233</v>
      </c>
      <c r="D238" s="168">
        <f t="shared" si="171"/>
        <v>3</v>
      </c>
      <c r="E238" s="168">
        <f t="shared" si="166"/>
        <v>6</v>
      </c>
      <c r="F238" s="168">
        <f>F237</f>
        <v>155102003</v>
      </c>
      <c r="G238" s="168">
        <f>G237+1</f>
        <v>2</v>
      </c>
      <c r="H238" s="168" t="str">
        <f t="shared" ref="H238:H239" si="172">H237</f>
        <v>Gold</v>
      </c>
      <c r="I238" s="203">
        <f t="shared" si="146"/>
        <v>20000</v>
      </c>
    </row>
    <row r="239" spans="1:9" ht="16.5" customHeight="1" x14ac:dyDescent="0.3">
      <c r="A239" s="168" t="b">
        <v>1</v>
      </c>
      <c r="B239" s="183" t="s">
        <v>330</v>
      </c>
      <c r="C239" s="184">
        <f t="shared" si="170"/>
        <v>234</v>
      </c>
      <c r="D239" s="168">
        <f t="shared" si="171"/>
        <v>3</v>
      </c>
      <c r="E239" s="168">
        <f t="shared" si="166"/>
        <v>6</v>
      </c>
      <c r="F239" s="168">
        <f>F238</f>
        <v>155102003</v>
      </c>
      <c r="G239" s="168">
        <f>G238+1</f>
        <v>3</v>
      </c>
      <c r="H239" s="168" t="str">
        <f t="shared" si="172"/>
        <v>Gold</v>
      </c>
      <c r="I239" s="203">
        <f t="shared" si="146"/>
        <v>30000</v>
      </c>
    </row>
    <row r="240" spans="1:9" ht="16.5" customHeight="1" x14ac:dyDescent="0.3">
      <c r="A240" s="164" t="b">
        <v>1</v>
      </c>
      <c r="B240" s="187" t="s">
        <v>330</v>
      </c>
      <c r="C240" s="164">
        <f t="shared" si="170"/>
        <v>235</v>
      </c>
      <c r="D240" s="164">
        <f>D236</f>
        <v>3</v>
      </c>
      <c r="E240" s="188">
        <f t="shared" si="166"/>
        <v>10</v>
      </c>
      <c r="F240" s="164">
        <f>F234+1</f>
        <v>155102004</v>
      </c>
      <c r="G240" s="188">
        <f t="shared" ref="G240:H245" si="173">G234</f>
        <v>1</v>
      </c>
      <c r="H240" s="188" t="str">
        <f t="shared" si="173"/>
        <v>Gem</v>
      </c>
      <c r="I240" s="204">
        <f t="shared" si="146"/>
        <v>50</v>
      </c>
    </row>
    <row r="241" spans="1:9" ht="16.5" customHeight="1" x14ac:dyDescent="0.3">
      <c r="A241" s="164" t="b">
        <v>1</v>
      </c>
      <c r="B241" s="187" t="s">
        <v>330</v>
      </c>
      <c r="C241" s="188">
        <f t="shared" ref="C241:C245" si="174">C240+1</f>
        <v>236</v>
      </c>
      <c r="D241" s="164">
        <f t="shared" ref="D241:D246" si="175">D240</f>
        <v>3</v>
      </c>
      <c r="E241" s="188">
        <f t="shared" si="166"/>
        <v>10</v>
      </c>
      <c r="F241" s="164">
        <f>F240</f>
        <v>155102004</v>
      </c>
      <c r="G241" s="188">
        <f t="shared" si="173"/>
        <v>2</v>
      </c>
      <c r="H241" s="188" t="str">
        <f t="shared" si="173"/>
        <v>Gem</v>
      </c>
      <c r="I241" s="204">
        <f t="shared" si="146"/>
        <v>100</v>
      </c>
    </row>
    <row r="242" spans="1:9" ht="16.5" customHeight="1" x14ac:dyDescent="0.3">
      <c r="A242" s="164" t="b">
        <v>1</v>
      </c>
      <c r="B242" s="187" t="s">
        <v>330</v>
      </c>
      <c r="C242" s="188">
        <f t="shared" si="174"/>
        <v>237</v>
      </c>
      <c r="D242" s="164">
        <f t="shared" si="175"/>
        <v>3</v>
      </c>
      <c r="E242" s="188">
        <f t="shared" si="166"/>
        <v>10</v>
      </c>
      <c r="F242" s="164">
        <f>F241</f>
        <v>155102004</v>
      </c>
      <c r="G242" s="188">
        <f t="shared" si="173"/>
        <v>3</v>
      </c>
      <c r="H242" s="188" t="str">
        <f t="shared" si="173"/>
        <v>Gem</v>
      </c>
      <c r="I242" s="204">
        <f t="shared" si="146"/>
        <v>150</v>
      </c>
    </row>
    <row r="243" spans="1:9" ht="16.5" customHeight="1" x14ac:dyDescent="0.3">
      <c r="A243" s="164" t="b">
        <v>1</v>
      </c>
      <c r="B243" s="187" t="s">
        <v>330</v>
      </c>
      <c r="C243" s="188">
        <f t="shared" si="174"/>
        <v>238</v>
      </c>
      <c r="D243" s="164">
        <f t="shared" si="175"/>
        <v>3</v>
      </c>
      <c r="E243" s="188">
        <f t="shared" si="166"/>
        <v>6</v>
      </c>
      <c r="F243" s="164">
        <f>F242</f>
        <v>155102004</v>
      </c>
      <c r="G243" s="188">
        <f t="shared" si="173"/>
        <v>1</v>
      </c>
      <c r="H243" s="188" t="str">
        <f t="shared" si="173"/>
        <v>Gold</v>
      </c>
      <c r="I243" s="204">
        <f t="shared" si="146"/>
        <v>10000</v>
      </c>
    </row>
    <row r="244" spans="1:9" ht="16.5" customHeight="1" x14ac:dyDescent="0.3">
      <c r="A244" s="164" t="b">
        <v>1</v>
      </c>
      <c r="B244" s="187" t="s">
        <v>330</v>
      </c>
      <c r="C244" s="188">
        <f t="shared" si="174"/>
        <v>239</v>
      </c>
      <c r="D244" s="164">
        <f t="shared" si="175"/>
        <v>3</v>
      </c>
      <c r="E244" s="188">
        <f t="shared" si="166"/>
        <v>6</v>
      </c>
      <c r="F244" s="164">
        <f>F243</f>
        <v>155102004</v>
      </c>
      <c r="G244" s="188">
        <f t="shared" si="173"/>
        <v>2</v>
      </c>
      <c r="H244" s="188" t="str">
        <f t="shared" si="173"/>
        <v>Gold</v>
      </c>
      <c r="I244" s="204">
        <f t="shared" si="146"/>
        <v>20000</v>
      </c>
    </row>
    <row r="245" spans="1:9" ht="16.5" customHeight="1" x14ac:dyDescent="0.3">
      <c r="A245" s="164" t="b">
        <v>1</v>
      </c>
      <c r="B245" s="187" t="s">
        <v>330</v>
      </c>
      <c r="C245" s="188">
        <f t="shared" si="174"/>
        <v>240</v>
      </c>
      <c r="D245" s="164">
        <f t="shared" si="175"/>
        <v>3</v>
      </c>
      <c r="E245" s="188">
        <f t="shared" si="166"/>
        <v>6</v>
      </c>
      <c r="F245" s="164">
        <f>F244</f>
        <v>155102004</v>
      </c>
      <c r="G245" s="188">
        <f t="shared" si="173"/>
        <v>3</v>
      </c>
      <c r="H245" s="188" t="str">
        <f t="shared" si="173"/>
        <v>Gold</v>
      </c>
      <c r="I245" s="204">
        <f t="shared" si="146"/>
        <v>30000</v>
      </c>
    </row>
    <row r="246" spans="1:9" ht="16.5" customHeight="1" x14ac:dyDescent="0.3">
      <c r="A246" s="168" t="b">
        <v>1</v>
      </c>
      <c r="B246" s="183" t="s">
        <v>330</v>
      </c>
      <c r="C246" s="184">
        <f t="shared" ref="C246:C252" si="176">C245+1</f>
        <v>241</v>
      </c>
      <c r="D246" s="168">
        <f t="shared" si="175"/>
        <v>3</v>
      </c>
      <c r="E246" s="184">
        <f t="shared" si="166"/>
        <v>10</v>
      </c>
      <c r="F246" s="184">
        <f>F240+1</f>
        <v>155102005</v>
      </c>
      <c r="G246" s="184">
        <v>1</v>
      </c>
      <c r="H246" s="184" t="s">
        <v>104</v>
      </c>
      <c r="I246" s="203">
        <f t="shared" si="146"/>
        <v>50</v>
      </c>
    </row>
    <row r="247" spans="1:9" ht="16.5" customHeight="1" x14ac:dyDescent="0.3">
      <c r="A247" s="168" t="b">
        <v>1</v>
      </c>
      <c r="B247" s="183" t="s">
        <v>330</v>
      </c>
      <c r="C247" s="184">
        <f t="shared" si="176"/>
        <v>242</v>
      </c>
      <c r="D247" s="168">
        <f t="shared" ref="D247:D251" si="177">D246</f>
        <v>3</v>
      </c>
      <c r="E247" s="168">
        <f t="shared" si="166"/>
        <v>10</v>
      </c>
      <c r="F247" s="168">
        <f>F246</f>
        <v>155102005</v>
      </c>
      <c r="G247" s="168">
        <f>G246+1</f>
        <v>2</v>
      </c>
      <c r="H247" s="168" t="str">
        <f>H246</f>
        <v>Gem</v>
      </c>
      <c r="I247" s="203">
        <f t="shared" si="146"/>
        <v>100</v>
      </c>
    </row>
    <row r="248" spans="1:9" ht="16.5" customHeight="1" x14ac:dyDescent="0.3">
      <c r="A248" s="168" t="b">
        <v>1</v>
      </c>
      <c r="B248" s="183" t="s">
        <v>330</v>
      </c>
      <c r="C248" s="184">
        <f t="shared" si="176"/>
        <v>243</v>
      </c>
      <c r="D248" s="168">
        <f t="shared" si="177"/>
        <v>3</v>
      </c>
      <c r="E248" s="168">
        <f t="shared" si="166"/>
        <v>10</v>
      </c>
      <c r="F248" s="168">
        <f>F247</f>
        <v>155102005</v>
      </c>
      <c r="G248" s="168">
        <f>G247+1</f>
        <v>3</v>
      </c>
      <c r="H248" s="168" t="str">
        <f>H247</f>
        <v>Gem</v>
      </c>
      <c r="I248" s="203">
        <f t="shared" si="146"/>
        <v>150</v>
      </c>
    </row>
    <row r="249" spans="1:9" ht="16.5" customHeight="1" x14ac:dyDescent="0.3">
      <c r="A249" s="168" t="b">
        <v>1</v>
      </c>
      <c r="B249" s="183" t="s">
        <v>330</v>
      </c>
      <c r="C249" s="184">
        <f t="shared" si="176"/>
        <v>244</v>
      </c>
      <c r="D249" s="168">
        <f t="shared" si="177"/>
        <v>3</v>
      </c>
      <c r="E249" s="168">
        <f t="shared" si="166"/>
        <v>6</v>
      </c>
      <c r="F249" s="168">
        <f>F248</f>
        <v>155102005</v>
      </c>
      <c r="G249" s="168">
        <v>1</v>
      </c>
      <c r="H249" s="168" t="s">
        <v>338</v>
      </c>
      <c r="I249" s="203">
        <f t="shared" si="146"/>
        <v>10000</v>
      </c>
    </row>
    <row r="250" spans="1:9" ht="16.5" customHeight="1" x14ac:dyDescent="0.3">
      <c r="A250" s="168" t="b">
        <v>1</v>
      </c>
      <c r="B250" s="183" t="s">
        <v>330</v>
      </c>
      <c r="C250" s="184">
        <f t="shared" si="176"/>
        <v>245</v>
      </c>
      <c r="D250" s="168">
        <f t="shared" si="177"/>
        <v>3</v>
      </c>
      <c r="E250" s="168">
        <f t="shared" si="166"/>
        <v>6</v>
      </c>
      <c r="F250" s="168">
        <f>F249</f>
        <v>155102005</v>
      </c>
      <c r="G250" s="168">
        <f>G249+1</f>
        <v>2</v>
      </c>
      <c r="H250" s="168" t="str">
        <f t="shared" ref="H250:H251" si="178">H249</f>
        <v>Gold</v>
      </c>
      <c r="I250" s="203">
        <f t="shared" si="146"/>
        <v>20000</v>
      </c>
    </row>
    <row r="251" spans="1:9" ht="16.5" customHeight="1" x14ac:dyDescent="0.3">
      <c r="A251" s="168" t="b">
        <v>1</v>
      </c>
      <c r="B251" s="183" t="s">
        <v>330</v>
      </c>
      <c r="C251" s="184">
        <f t="shared" si="176"/>
        <v>246</v>
      </c>
      <c r="D251" s="168">
        <f t="shared" si="177"/>
        <v>3</v>
      </c>
      <c r="E251" s="168">
        <f t="shared" si="166"/>
        <v>6</v>
      </c>
      <c r="F251" s="168">
        <f>F250</f>
        <v>155102005</v>
      </c>
      <c r="G251" s="168">
        <f>G250+1</f>
        <v>3</v>
      </c>
      <c r="H251" s="168" t="str">
        <f t="shared" si="178"/>
        <v>Gold</v>
      </c>
      <c r="I251" s="203">
        <f t="shared" si="146"/>
        <v>30000</v>
      </c>
    </row>
    <row r="252" spans="1:9" ht="16.5" customHeight="1" x14ac:dyDescent="0.3">
      <c r="A252" s="164" t="b">
        <v>1</v>
      </c>
      <c r="B252" s="187" t="s">
        <v>330</v>
      </c>
      <c r="C252" s="164">
        <f t="shared" si="176"/>
        <v>247</v>
      </c>
      <c r="D252" s="164">
        <f>D248</f>
        <v>3</v>
      </c>
      <c r="E252" s="188">
        <f t="shared" si="166"/>
        <v>10</v>
      </c>
      <c r="F252" s="164">
        <f>F246+1</f>
        <v>155102006</v>
      </c>
      <c r="G252" s="188">
        <f t="shared" ref="G252:H257" si="179">G246</f>
        <v>1</v>
      </c>
      <c r="H252" s="188" t="str">
        <f t="shared" si="179"/>
        <v>Gem</v>
      </c>
      <c r="I252" s="204">
        <f t="shared" si="146"/>
        <v>50</v>
      </c>
    </row>
    <row r="253" spans="1:9" ht="16.5" customHeight="1" x14ac:dyDescent="0.3">
      <c r="A253" s="164" t="b">
        <v>1</v>
      </c>
      <c r="B253" s="187" t="s">
        <v>330</v>
      </c>
      <c r="C253" s="188">
        <f t="shared" ref="C253:C257" si="180">C252+1</f>
        <v>248</v>
      </c>
      <c r="D253" s="164">
        <f t="shared" ref="D253:D258" si="181">D252</f>
        <v>3</v>
      </c>
      <c r="E253" s="188">
        <f t="shared" si="166"/>
        <v>10</v>
      </c>
      <c r="F253" s="164">
        <f>F252</f>
        <v>155102006</v>
      </c>
      <c r="G253" s="188">
        <f t="shared" si="179"/>
        <v>2</v>
      </c>
      <c r="H253" s="188" t="str">
        <f t="shared" si="179"/>
        <v>Gem</v>
      </c>
      <c r="I253" s="204">
        <f t="shared" si="146"/>
        <v>100</v>
      </c>
    </row>
    <row r="254" spans="1:9" ht="16.5" customHeight="1" x14ac:dyDescent="0.3">
      <c r="A254" s="164" t="b">
        <v>1</v>
      </c>
      <c r="B254" s="187" t="s">
        <v>330</v>
      </c>
      <c r="C254" s="188">
        <f t="shared" si="180"/>
        <v>249</v>
      </c>
      <c r="D254" s="164">
        <f t="shared" si="181"/>
        <v>3</v>
      </c>
      <c r="E254" s="188">
        <f t="shared" si="166"/>
        <v>10</v>
      </c>
      <c r="F254" s="164">
        <f>F253</f>
        <v>155102006</v>
      </c>
      <c r="G254" s="188">
        <f t="shared" si="179"/>
        <v>3</v>
      </c>
      <c r="H254" s="188" t="str">
        <f t="shared" si="179"/>
        <v>Gem</v>
      </c>
      <c r="I254" s="204">
        <f t="shared" si="146"/>
        <v>150</v>
      </c>
    </row>
    <row r="255" spans="1:9" ht="16.5" customHeight="1" x14ac:dyDescent="0.3">
      <c r="A255" s="164" t="b">
        <v>1</v>
      </c>
      <c r="B255" s="187" t="s">
        <v>330</v>
      </c>
      <c r="C255" s="188">
        <f t="shared" si="180"/>
        <v>250</v>
      </c>
      <c r="D255" s="164">
        <f t="shared" si="181"/>
        <v>3</v>
      </c>
      <c r="E255" s="188">
        <f t="shared" si="166"/>
        <v>6</v>
      </c>
      <c r="F255" s="164">
        <f>F254</f>
        <v>155102006</v>
      </c>
      <c r="G255" s="188">
        <f t="shared" si="179"/>
        <v>1</v>
      </c>
      <c r="H255" s="188" t="str">
        <f t="shared" si="179"/>
        <v>Gold</v>
      </c>
      <c r="I255" s="204">
        <f t="shared" si="146"/>
        <v>10000</v>
      </c>
    </row>
    <row r="256" spans="1:9" ht="16.5" customHeight="1" x14ac:dyDescent="0.3">
      <c r="A256" s="164" t="b">
        <v>1</v>
      </c>
      <c r="B256" s="187" t="s">
        <v>330</v>
      </c>
      <c r="C256" s="188">
        <f t="shared" si="180"/>
        <v>251</v>
      </c>
      <c r="D256" s="164">
        <f t="shared" si="181"/>
        <v>3</v>
      </c>
      <c r="E256" s="188">
        <f t="shared" si="166"/>
        <v>6</v>
      </c>
      <c r="F256" s="164">
        <f>F255</f>
        <v>155102006</v>
      </c>
      <c r="G256" s="188">
        <f t="shared" si="179"/>
        <v>2</v>
      </c>
      <c r="H256" s="188" t="str">
        <f t="shared" si="179"/>
        <v>Gold</v>
      </c>
      <c r="I256" s="204">
        <f t="shared" si="146"/>
        <v>20000</v>
      </c>
    </row>
    <row r="257" spans="1:9" ht="16.5" customHeight="1" x14ac:dyDescent="0.3">
      <c r="A257" s="164" t="b">
        <v>1</v>
      </c>
      <c r="B257" s="187" t="s">
        <v>330</v>
      </c>
      <c r="C257" s="188">
        <f t="shared" si="180"/>
        <v>252</v>
      </c>
      <c r="D257" s="164">
        <f t="shared" si="181"/>
        <v>3</v>
      </c>
      <c r="E257" s="188">
        <f t="shared" si="166"/>
        <v>6</v>
      </c>
      <c r="F257" s="164">
        <f>F256</f>
        <v>155102006</v>
      </c>
      <c r="G257" s="188">
        <f t="shared" si="179"/>
        <v>3</v>
      </c>
      <c r="H257" s="188" t="str">
        <f t="shared" si="179"/>
        <v>Gold</v>
      </c>
      <c r="I257" s="204">
        <f t="shared" si="146"/>
        <v>30000</v>
      </c>
    </row>
    <row r="258" spans="1:9" ht="16.5" customHeight="1" x14ac:dyDescent="0.3">
      <c r="A258" s="168" t="b">
        <v>1</v>
      </c>
      <c r="B258" s="183" t="s">
        <v>330</v>
      </c>
      <c r="C258" s="184">
        <f>C257+1</f>
        <v>253</v>
      </c>
      <c r="D258" s="168">
        <f t="shared" si="181"/>
        <v>3</v>
      </c>
      <c r="E258" s="185">
        <v>10</v>
      </c>
      <c r="F258" s="186">
        <v>155103001</v>
      </c>
      <c r="G258" s="185">
        <v>1</v>
      </c>
      <c r="H258" s="185" t="s">
        <v>104</v>
      </c>
      <c r="I258" s="203">
        <f t="shared" si="146"/>
        <v>50</v>
      </c>
    </row>
    <row r="259" spans="1:9" ht="16.5" customHeight="1" x14ac:dyDescent="0.3">
      <c r="A259" s="168" t="b">
        <v>1</v>
      </c>
      <c r="B259" s="183" t="s">
        <v>330</v>
      </c>
      <c r="C259" s="184">
        <f>C258+1</f>
        <v>254</v>
      </c>
      <c r="D259" s="168">
        <f t="shared" ref="D259:D260" si="182">D258</f>
        <v>3</v>
      </c>
      <c r="E259" s="185">
        <v>10</v>
      </c>
      <c r="F259" s="168">
        <f>F258</f>
        <v>155103001</v>
      </c>
      <c r="G259" s="184">
        <f>G258+1</f>
        <v>2</v>
      </c>
      <c r="H259" s="184" t="str">
        <f>H258</f>
        <v>Gem</v>
      </c>
      <c r="I259" s="203">
        <f t="shared" si="146"/>
        <v>100</v>
      </c>
    </row>
    <row r="260" spans="1:9" ht="16.5" customHeight="1" x14ac:dyDescent="0.3">
      <c r="A260" s="168" t="b">
        <v>1</v>
      </c>
      <c r="B260" s="183" t="s">
        <v>330</v>
      </c>
      <c r="C260" s="184">
        <f>C259+1</f>
        <v>255</v>
      </c>
      <c r="D260" s="168">
        <f t="shared" si="182"/>
        <v>3</v>
      </c>
      <c r="E260" s="185">
        <v>10</v>
      </c>
      <c r="F260" s="168">
        <f>F259</f>
        <v>155103001</v>
      </c>
      <c r="G260" s="184">
        <f>G259+1</f>
        <v>3</v>
      </c>
      <c r="H260" s="184" t="str">
        <f>H259</f>
        <v>Gem</v>
      </c>
      <c r="I260" s="203">
        <f t="shared" si="146"/>
        <v>150</v>
      </c>
    </row>
    <row r="261" spans="1:9" ht="16.5" customHeight="1" x14ac:dyDescent="0.3">
      <c r="A261" s="164" t="b">
        <v>1</v>
      </c>
      <c r="B261" s="187" t="s">
        <v>330</v>
      </c>
      <c r="C261" s="188">
        <f t="shared" ref="C261" si="183">C260+1</f>
        <v>256</v>
      </c>
      <c r="D261" s="164">
        <f>D260</f>
        <v>3</v>
      </c>
      <c r="E261" s="188">
        <f t="shared" ref="E261:E293" si="184">E258</f>
        <v>10</v>
      </c>
      <c r="F261" s="164">
        <f>F258+1</f>
        <v>155103002</v>
      </c>
      <c r="G261" s="188">
        <f t="shared" ref="G261:H263" si="185">G258</f>
        <v>1</v>
      </c>
      <c r="H261" s="188" t="str">
        <f t="shared" si="185"/>
        <v>Gem</v>
      </c>
      <c r="I261" s="204">
        <f t="shared" si="146"/>
        <v>50</v>
      </c>
    </row>
    <row r="262" spans="1:9" ht="16.5" customHeight="1" x14ac:dyDescent="0.3">
      <c r="A262" s="164" t="b">
        <v>1</v>
      </c>
      <c r="B262" s="187" t="s">
        <v>330</v>
      </c>
      <c r="C262" s="188">
        <f t="shared" ref="C262:C263" si="186">C261+1</f>
        <v>257</v>
      </c>
      <c r="D262" s="164">
        <f t="shared" ref="D262:D264" si="187">D261</f>
        <v>3</v>
      </c>
      <c r="E262" s="188">
        <f t="shared" si="184"/>
        <v>10</v>
      </c>
      <c r="F262" s="164">
        <f>F261</f>
        <v>155103002</v>
      </c>
      <c r="G262" s="188">
        <f t="shared" si="185"/>
        <v>2</v>
      </c>
      <c r="H262" s="188" t="str">
        <f t="shared" si="185"/>
        <v>Gem</v>
      </c>
      <c r="I262" s="204">
        <f t="shared" ref="I262:I325" si="188">IF(H262="Gem",$H$1*G262,IF(H262="Gold",$I$1*G262))</f>
        <v>100</v>
      </c>
    </row>
    <row r="263" spans="1:9" ht="16.5" customHeight="1" x14ac:dyDescent="0.3">
      <c r="A263" s="164" t="b">
        <v>1</v>
      </c>
      <c r="B263" s="187" t="s">
        <v>330</v>
      </c>
      <c r="C263" s="188">
        <f t="shared" si="186"/>
        <v>258</v>
      </c>
      <c r="D263" s="164">
        <f t="shared" si="187"/>
        <v>3</v>
      </c>
      <c r="E263" s="188">
        <f t="shared" si="184"/>
        <v>10</v>
      </c>
      <c r="F263" s="164">
        <f>F262</f>
        <v>155103002</v>
      </c>
      <c r="G263" s="188">
        <f t="shared" si="185"/>
        <v>3</v>
      </c>
      <c r="H263" s="188" t="str">
        <f t="shared" si="185"/>
        <v>Gem</v>
      </c>
      <c r="I263" s="204">
        <f t="shared" si="188"/>
        <v>150</v>
      </c>
    </row>
    <row r="264" spans="1:9" ht="16.5" customHeight="1" x14ac:dyDescent="0.3">
      <c r="A264" s="168" t="b">
        <v>1</v>
      </c>
      <c r="B264" s="183" t="s">
        <v>330</v>
      </c>
      <c r="C264" s="184">
        <f>C263+1</f>
        <v>259</v>
      </c>
      <c r="D264" s="168">
        <f t="shared" si="187"/>
        <v>3</v>
      </c>
      <c r="E264" s="184">
        <f t="shared" si="184"/>
        <v>10</v>
      </c>
      <c r="F264" s="184">
        <f>F261+1</f>
        <v>155103003</v>
      </c>
      <c r="G264" s="184">
        <v>1</v>
      </c>
      <c r="H264" s="184" t="s">
        <v>104</v>
      </c>
      <c r="I264" s="203">
        <f t="shared" si="188"/>
        <v>50</v>
      </c>
    </row>
    <row r="265" spans="1:9" ht="16.5" customHeight="1" x14ac:dyDescent="0.3">
      <c r="A265" s="168" t="b">
        <v>1</v>
      </c>
      <c r="B265" s="183" t="s">
        <v>330</v>
      </c>
      <c r="C265" s="184">
        <f>C264+1</f>
        <v>260</v>
      </c>
      <c r="D265" s="168">
        <f t="shared" ref="D265:D266" si="189">D264</f>
        <v>3</v>
      </c>
      <c r="E265" s="168">
        <f t="shared" si="184"/>
        <v>10</v>
      </c>
      <c r="F265" s="168">
        <f>F264</f>
        <v>155103003</v>
      </c>
      <c r="G265" s="168">
        <f>G264+1</f>
        <v>2</v>
      </c>
      <c r="H265" s="168" t="str">
        <f>H264</f>
        <v>Gem</v>
      </c>
      <c r="I265" s="203">
        <f t="shared" si="188"/>
        <v>100</v>
      </c>
    </row>
    <row r="266" spans="1:9" ht="16.5" customHeight="1" x14ac:dyDescent="0.3">
      <c r="A266" s="168" t="b">
        <v>1</v>
      </c>
      <c r="B266" s="183" t="s">
        <v>330</v>
      </c>
      <c r="C266" s="184">
        <f>C265+1</f>
        <v>261</v>
      </c>
      <c r="D266" s="168">
        <f t="shared" si="189"/>
        <v>3</v>
      </c>
      <c r="E266" s="168">
        <f t="shared" si="184"/>
        <v>10</v>
      </c>
      <c r="F266" s="168">
        <f>F265</f>
        <v>155103003</v>
      </c>
      <c r="G266" s="168">
        <f>G265+1</f>
        <v>3</v>
      </c>
      <c r="H266" s="168" t="str">
        <f>H265</f>
        <v>Gem</v>
      </c>
      <c r="I266" s="203">
        <f t="shared" si="188"/>
        <v>150</v>
      </c>
    </row>
    <row r="267" spans="1:9" ht="16.5" customHeight="1" x14ac:dyDescent="0.3">
      <c r="A267" s="164" t="b">
        <v>1</v>
      </c>
      <c r="B267" s="187" t="s">
        <v>330</v>
      </c>
      <c r="C267" s="188">
        <f t="shared" ref="C267" si="190">C266+1</f>
        <v>262</v>
      </c>
      <c r="D267" s="164">
        <f>D266</f>
        <v>3</v>
      </c>
      <c r="E267" s="188">
        <f t="shared" si="184"/>
        <v>10</v>
      </c>
      <c r="F267" s="164">
        <f>F264+1</f>
        <v>155103004</v>
      </c>
      <c r="G267" s="188">
        <f t="shared" ref="G267:H269" si="191">G264</f>
        <v>1</v>
      </c>
      <c r="H267" s="188" t="str">
        <f t="shared" si="191"/>
        <v>Gem</v>
      </c>
      <c r="I267" s="204">
        <f t="shared" si="188"/>
        <v>50</v>
      </c>
    </row>
    <row r="268" spans="1:9" ht="16.5" customHeight="1" x14ac:dyDescent="0.3">
      <c r="A268" s="164" t="b">
        <v>1</v>
      </c>
      <c r="B268" s="187" t="s">
        <v>330</v>
      </c>
      <c r="C268" s="188">
        <f t="shared" ref="C268:C269" si="192">C267+1</f>
        <v>263</v>
      </c>
      <c r="D268" s="164">
        <f t="shared" ref="D268:D269" si="193">D267</f>
        <v>3</v>
      </c>
      <c r="E268" s="188">
        <f t="shared" si="184"/>
        <v>10</v>
      </c>
      <c r="F268" s="164">
        <f>F267</f>
        <v>155103004</v>
      </c>
      <c r="G268" s="188">
        <f t="shared" si="191"/>
        <v>2</v>
      </c>
      <c r="H268" s="188" t="str">
        <f t="shared" si="191"/>
        <v>Gem</v>
      </c>
      <c r="I268" s="204">
        <f t="shared" si="188"/>
        <v>100</v>
      </c>
    </row>
    <row r="269" spans="1:9" ht="16.5" customHeight="1" x14ac:dyDescent="0.3">
      <c r="A269" s="164" t="b">
        <v>1</v>
      </c>
      <c r="B269" s="187" t="s">
        <v>330</v>
      </c>
      <c r="C269" s="188">
        <f t="shared" si="192"/>
        <v>264</v>
      </c>
      <c r="D269" s="164">
        <f t="shared" si="193"/>
        <v>3</v>
      </c>
      <c r="E269" s="188">
        <f t="shared" si="184"/>
        <v>10</v>
      </c>
      <c r="F269" s="164">
        <f>F268</f>
        <v>155103004</v>
      </c>
      <c r="G269" s="188">
        <f t="shared" si="191"/>
        <v>3</v>
      </c>
      <c r="H269" s="188" t="str">
        <f t="shared" si="191"/>
        <v>Gem</v>
      </c>
      <c r="I269" s="204">
        <f t="shared" si="188"/>
        <v>150</v>
      </c>
    </row>
    <row r="270" spans="1:9" ht="16.5" customHeight="1" x14ac:dyDescent="0.3">
      <c r="A270" s="176" t="b">
        <v>0</v>
      </c>
      <c r="B270" s="189" t="s">
        <v>330</v>
      </c>
      <c r="C270" s="190">
        <f>C269+1</f>
        <v>265</v>
      </c>
      <c r="D270" s="176">
        <f t="shared" ref="D270:D272" si="194">D269</f>
        <v>3</v>
      </c>
      <c r="E270" s="190">
        <f t="shared" si="184"/>
        <v>10</v>
      </c>
      <c r="F270" s="190">
        <f>F267+1</f>
        <v>155103005</v>
      </c>
      <c r="G270" s="190">
        <v>1</v>
      </c>
      <c r="H270" s="190" t="s">
        <v>104</v>
      </c>
      <c r="I270" s="205">
        <f t="shared" si="188"/>
        <v>50</v>
      </c>
    </row>
    <row r="271" spans="1:9" ht="16.5" customHeight="1" x14ac:dyDescent="0.3">
      <c r="A271" s="176" t="b">
        <v>0</v>
      </c>
      <c r="B271" s="189" t="s">
        <v>330</v>
      </c>
      <c r="C271" s="190">
        <f>C270+1</f>
        <v>266</v>
      </c>
      <c r="D271" s="176">
        <f t="shared" si="194"/>
        <v>3</v>
      </c>
      <c r="E271" s="176">
        <f t="shared" si="184"/>
        <v>10</v>
      </c>
      <c r="F271" s="176">
        <f>F270</f>
        <v>155103005</v>
      </c>
      <c r="G271" s="176">
        <f>G270+1</f>
        <v>2</v>
      </c>
      <c r="H271" s="176" t="str">
        <f>H270</f>
        <v>Gem</v>
      </c>
      <c r="I271" s="205">
        <f t="shared" si="188"/>
        <v>100</v>
      </c>
    </row>
    <row r="272" spans="1:9" ht="16.5" customHeight="1" x14ac:dyDescent="0.3">
      <c r="A272" s="176" t="b">
        <v>0</v>
      </c>
      <c r="B272" s="189" t="s">
        <v>330</v>
      </c>
      <c r="C272" s="190">
        <f>C271+1</f>
        <v>267</v>
      </c>
      <c r="D272" s="176">
        <f t="shared" si="194"/>
        <v>3</v>
      </c>
      <c r="E272" s="176">
        <f t="shared" si="184"/>
        <v>10</v>
      </c>
      <c r="F272" s="176">
        <f>F271</f>
        <v>155103005</v>
      </c>
      <c r="G272" s="176">
        <f>G271+1</f>
        <v>3</v>
      </c>
      <c r="H272" s="176" t="str">
        <f>H271</f>
        <v>Gem</v>
      </c>
      <c r="I272" s="205">
        <f t="shared" si="188"/>
        <v>150</v>
      </c>
    </row>
    <row r="273" spans="1:9" ht="16.5" customHeight="1" x14ac:dyDescent="0.3">
      <c r="A273" s="173" t="b">
        <v>0</v>
      </c>
      <c r="B273" s="191" t="s">
        <v>330</v>
      </c>
      <c r="C273" s="192">
        <f t="shared" ref="C273:C275" si="195">C272+1</f>
        <v>268</v>
      </c>
      <c r="D273" s="173">
        <f>D272</f>
        <v>3</v>
      </c>
      <c r="E273" s="192">
        <f t="shared" si="184"/>
        <v>10</v>
      </c>
      <c r="F273" s="173">
        <f>F270+1</f>
        <v>155103006</v>
      </c>
      <c r="G273" s="192">
        <f t="shared" ref="G273:H275" si="196">G270</f>
        <v>1</v>
      </c>
      <c r="H273" s="192" t="str">
        <f t="shared" si="196"/>
        <v>Gem</v>
      </c>
      <c r="I273" s="206">
        <f t="shared" si="188"/>
        <v>50</v>
      </c>
    </row>
    <row r="274" spans="1:9" ht="16.5" customHeight="1" x14ac:dyDescent="0.3">
      <c r="A274" s="173" t="b">
        <v>0</v>
      </c>
      <c r="B274" s="191" t="s">
        <v>330</v>
      </c>
      <c r="C274" s="192">
        <f t="shared" si="195"/>
        <v>269</v>
      </c>
      <c r="D274" s="173">
        <f t="shared" ref="D274:D276" si="197">D273</f>
        <v>3</v>
      </c>
      <c r="E274" s="192">
        <f t="shared" si="184"/>
        <v>10</v>
      </c>
      <c r="F274" s="173">
        <f>F273</f>
        <v>155103006</v>
      </c>
      <c r="G274" s="192">
        <f t="shared" si="196"/>
        <v>2</v>
      </c>
      <c r="H274" s="192" t="str">
        <f t="shared" si="196"/>
        <v>Gem</v>
      </c>
      <c r="I274" s="206">
        <f t="shared" si="188"/>
        <v>100</v>
      </c>
    </row>
    <row r="275" spans="1:9" ht="16.5" customHeight="1" x14ac:dyDescent="0.3">
      <c r="A275" s="173" t="b">
        <v>0</v>
      </c>
      <c r="B275" s="191" t="s">
        <v>330</v>
      </c>
      <c r="C275" s="192">
        <f t="shared" si="195"/>
        <v>270</v>
      </c>
      <c r="D275" s="173">
        <f t="shared" si="197"/>
        <v>3</v>
      </c>
      <c r="E275" s="192">
        <f t="shared" si="184"/>
        <v>10</v>
      </c>
      <c r="F275" s="173">
        <f>F274</f>
        <v>155103006</v>
      </c>
      <c r="G275" s="192">
        <f t="shared" si="196"/>
        <v>3</v>
      </c>
      <c r="H275" s="192" t="str">
        <f t="shared" si="196"/>
        <v>Gem</v>
      </c>
      <c r="I275" s="206">
        <f t="shared" si="188"/>
        <v>150</v>
      </c>
    </row>
    <row r="276" spans="1:9" ht="16.5" customHeight="1" x14ac:dyDescent="0.3">
      <c r="A276" s="176" t="b">
        <v>0</v>
      </c>
      <c r="B276" s="189" t="s">
        <v>330</v>
      </c>
      <c r="C276" s="190">
        <f>C275+1</f>
        <v>271</v>
      </c>
      <c r="D276" s="176">
        <f t="shared" si="197"/>
        <v>3</v>
      </c>
      <c r="E276" s="190">
        <f t="shared" si="184"/>
        <v>10</v>
      </c>
      <c r="F276" s="190">
        <f>F273+1</f>
        <v>155103007</v>
      </c>
      <c r="G276" s="190">
        <v>1</v>
      </c>
      <c r="H276" s="190" t="s">
        <v>104</v>
      </c>
      <c r="I276" s="205">
        <f t="shared" si="188"/>
        <v>50</v>
      </c>
    </row>
    <row r="277" spans="1:9" ht="16.5" customHeight="1" x14ac:dyDescent="0.3">
      <c r="A277" s="176" t="b">
        <v>0</v>
      </c>
      <c r="B277" s="189" t="s">
        <v>330</v>
      </c>
      <c r="C277" s="190">
        <f>C276+1</f>
        <v>272</v>
      </c>
      <c r="D277" s="176">
        <f t="shared" ref="D277:D278" si="198">D276</f>
        <v>3</v>
      </c>
      <c r="E277" s="176">
        <f t="shared" si="184"/>
        <v>10</v>
      </c>
      <c r="F277" s="176">
        <f>F276</f>
        <v>155103007</v>
      </c>
      <c r="G277" s="176">
        <f>G276+1</f>
        <v>2</v>
      </c>
      <c r="H277" s="176" t="str">
        <f>H276</f>
        <v>Gem</v>
      </c>
      <c r="I277" s="205">
        <f t="shared" si="188"/>
        <v>100</v>
      </c>
    </row>
    <row r="278" spans="1:9" ht="16.5" customHeight="1" x14ac:dyDescent="0.3">
      <c r="A278" s="176" t="b">
        <v>0</v>
      </c>
      <c r="B278" s="189" t="s">
        <v>330</v>
      </c>
      <c r="C278" s="190">
        <f>C277+1</f>
        <v>273</v>
      </c>
      <c r="D278" s="176">
        <f t="shared" si="198"/>
        <v>3</v>
      </c>
      <c r="E278" s="176">
        <f t="shared" si="184"/>
        <v>10</v>
      </c>
      <c r="F278" s="176">
        <f>F277</f>
        <v>155103007</v>
      </c>
      <c r="G278" s="176">
        <f>G277+1</f>
        <v>3</v>
      </c>
      <c r="H278" s="176" t="str">
        <f>H277</f>
        <v>Gem</v>
      </c>
      <c r="I278" s="205">
        <f t="shared" si="188"/>
        <v>150</v>
      </c>
    </row>
    <row r="279" spans="1:9" ht="16.5" customHeight="1" x14ac:dyDescent="0.3">
      <c r="A279" s="173" t="b">
        <v>0</v>
      </c>
      <c r="B279" s="191" t="s">
        <v>330</v>
      </c>
      <c r="C279" s="192">
        <f t="shared" ref="C279" si="199">C278+1</f>
        <v>274</v>
      </c>
      <c r="D279" s="173">
        <f>D278</f>
        <v>3</v>
      </c>
      <c r="E279" s="192">
        <f t="shared" si="184"/>
        <v>10</v>
      </c>
      <c r="F279" s="173">
        <f>F276+1</f>
        <v>155103008</v>
      </c>
      <c r="G279" s="192">
        <f t="shared" ref="G279:H281" si="200">G276</f>
        <v>1</v>
      </c>
      <c r="H279" s="192" t="str">
        <f t="shared" si="200"/>
        <v>Gem</v>
      </c>
      <c r="I279" s="206">
        <f t="shared" si="188"/>
        <v>50</v>
      </c>
    </row>
    <row r="280" spans="1:9" ht="16.5" customHeight="1" x14ac:dyDescent="0.3">
      <c r="A280" s="173" t="b">
        <v>0</v>
      </c>
      <c r="B280" s="191" t="s">
        <v>330</v>
      </c>
      <c r="C280" s="192">
        <f t="shared" ref="C280:C281" si="201">C279+1</f>
        <v>275</v>
      </c>
      <c r="D280" s="173">
        <f t="shared" ref="D280:D282" si="202">D279</f>
        <v>3</v>
      </c>
      <c r="E280" s="192">
        <f t="shared" si="184"/>
        <v>10</v>
      </c>
      <c r="F280" s="173">
        <f>F279</f>
        <v>155103008</v>
      </c>
      <c r="G280" s="192">
        <f t="shared" si="200"/>
        <v>2</v>
      </c>
      <c r="H280" s="192" t="str">
        <f t="shared" si="200"/>
        <v>Gem</v>
      </c>
      <c r="I280" s="206">
        <f t="shared" si="188"/>
        <v>100</v>
      </c>
    </row>
    <row r="281" spans="1:9" ht="16.5" customHeight="1" x14ac:dyDescent="0.3">
      <c r="A281" s="173" t="b">
        <v>0</v>
      </c>
      <c r="B281" s="191" t="s">
        <v>330</v>
      </c>
      <c r="C281" s="192">
        <f t="shared" si="201"/>
        <v>276</v>
      </c>
      <c r="D281" s="173">
        <f t="shared" si="202"/>
        <v>3</v>
      </c>
      <c r="E281" s="192">
        <f t="shared" si="184"/>
        <v>10</v>
      </c>
      <c r="F281" s="173">
        <f>F280</f>
        <v>155103008</v>
      </c>
      <c r="G281" s="192">
        <f t="shared" si="200"/>
        <v>3</v>
      </c>
      <c r="H281" s="192" t="str">
        <f t="shared" si="200"/>
        <v>Gem</v>
      </c>
      <c r="I281" s="206">
        <f t="shared" si="188"/>
        <v>150</v>
      </c>
    </row>
    <row r="282" spans="1:9" ht="16.5" customHeight="1" x14ac:dyDescent="0.3">
      <c r="A282" s="176" t="b">
        <v>0</v>
      </c>
      <c r="B282" s="189" t="s">
        <v>330</v>
      </c>
      <c r="C282" s="190">
        <f>C281+1</f>
        <v>277</v>
      </c>
      <c r="D282" s="176">
        <f t="shared" si="202"/>
        <v>3</v>
      </c>
      <c r="E282" s="190">
        <f t="shared" si="184"/>
        <v>10</v>
      </c>
      <c r="F282" s="190">
        <f>F279+1</f>
        <v>155103009</v>
      </c>
      <c r="G282" s="190">
        <v>1</v>
      </c>
      <c r="H282" s="190" t="s">
        <v>104</v>
      </c>
      <c r="I282" s="205">
        <f t="shared" si="188"/>
        <v>50</v>
      </c>
    </row>
    <row r="283" spans="1:9" ht="16.5" customHeight="1" x14ac:dyDescent="0.3">
      <c r="A283" s="176" t="b">
        <v>0</v>
      </c>
      <c r="B283" s="189" t="s">
        <v>330</v>
      </c>
      <c r="C283" s="190">
        <f>C282+1</f>
        <v>278</v>
      </c>
      <c r="D283" s="176">
        <f t="shared" ref="D283:D284" si="203">D282</f>
        <v>3</v>
      </c>
      <c r="E283" s="176">
        <f t="shared" si="184"/>
        <v>10</v>
      </c>
      <c r="F283" s="176">
        <f>F282</f>
        <v>155103009</v>
      </c>
      <c r="G283" s="176">
        <f>G282+1</f>
        <v>2</v>
      </c>
      <c r="H283" s="176" t="str">
        <f>H282</f>
        <v>Gem</v>
      </c>
      <c r="I283" s="205">
        <f t="shared" si="188"/>
        <v>100</v>
      </c>
    </row>
    <row r="284" spans="1:9" ht="16.5" customHeight="1" x14ac:dyDescent="0.3">
      <c r="A284" s="176" t="b">
        <v>0</v>
      </c>
      <c r="B284" s="189" t="s">
        <v>330</v>
      </c>
      <c r="C284" s="190">
        <f>C283+1</f>
        <v>279</v>
      </c>
      <c r="D284" s="176">
        <f t="shared" si="203"/>
        <v>3</v>
      </c>
      <c r="E284" s="176">
        <f t="shared" si="184"/>
        <v>10</v>
      </c>
      <c r="F284" s="176">
        <f>F283</f>
        <v>155103009</v>
      </c>
      <c r="G284" s="176">
        <f>G283+1</f>
        <v>3</v>
      </c>
      <c r="H284" s="176" t="str">
        <f>H283</f>
        <v>Gem</v>
      </c>
      <c r="I284" s="205">
        <f t="shared" si="188"/>
        <v>150</v>
      </c>
    </row>
    <row r="285" spans="1:9" ht="16.5" customHeight="1" x14ac:dyDescent="0.3">
      <c r="A285" s="173" t="b">
        <v>0</v>
      </c>
      <c r="B285" s="191" t="s">
        <v>330</v>
      </c>
      <c r="C285" s="192">
        <f t="shared" ref="C285" si="204">C284+1</f>
        <v>280</v>
      </c>
      <c r="D285" s="173">
        <f>D284</f>
        <v>3</v>
      </c>
      <c r="E285" s="192">
        <f t="shared" si="184"/>
        <v>10</v>
      </c>
      <c r="F285" s="173">
        <f>F282+1</f>
        <v>155103010</v>
      </c>
      <c r="G285" s="192">
        <f t="shared" ref="G285:H287" si="205">G282</f>
        <v>1</v>
      </c>
      <c r="H285" s="192" t="str">
        <f t="shared" si="205"/>
        <v>Gem</v>
      </c>
      <c r="I285" s="206">
        <f t="shared" si="188"/>
        <v>50</v>
      </c>
    </row>
    <row r="286" spans="1:9" ht="16.5" customHeight="1" x14ac:dyDescent="0.3">
      <c r="A286" s="173" t="b">
        <v>0</v>
      </c>
      <c r="B286" s="191" t="s">
        <v>330</v>
      </c>
      <c r="C286" s="192">
        <f t="shared" ref="C286:C287" si="206">C285+1</f>
        <v>281</v>
      </c>
      <c r="D286" s="173">
        <f t="shared" ref="D286:D288" si="207">D285</f>
        <v>3</v>
      </c>
      <c r="E286" s="192">
        <f t="shared" si="184"/>
        <v>10</v>
      </c>
      <c r="F286" s="173">
        <f>F285</f>
        <v>155103010</v>
      </c>
      <c r="G286" s="192">
        <f t="shared" si="205"/>
        <v>2</v>
      </c>
      <c r="H286" s="192" t="str">
        <f t="shared" si="205"/>
        <v>Gem</v>
      </c>
      <c r="I286" s="206">
        <f t="shared" si="188"/>
        <v>100</v>
      </c>
    </row>
    <row r="287" spans="1:9" ht="16.5" customHeight="1" x14ac:dyDescent="0.3">
      <c r="A287" s="173" t="b">
        <v>0</v>
      </c>
      <c r="B287" s="191" t="s">
        <v>330</v>
      </c>
      <c r="C287" s="192">
        <f t="shared" si="206"/>
        <v>282</v>
      </c>
      <c r="D287" s="173">
        <f t="shared" si="207"/>
        <v>3</v>
      </c>
      <c r="E287" s="192">
        <f t="shared" si="184"/>
        <v>10</v>
      </c>
      <c r="F287" s="173">
        <f>F286</f>
        <v>155103010</v>
      </c>
      <c r="G287" s="192">
        <f t="shared" si="205"/>
        <v>3</v>
      </c>
      <c r="H287" s="192" t="str">
        <f t="shared" si="205"/>
        <v>Gem</v>
      </c>
      <c r="I287" s="206">
        <f t="shared" si="188"/>
        <v>150</v>
      </c>
    </row>
    <row r="288" spans="1:9" ht="16.5" customHeight="1" x14ac:dyDescent="0.3">
      <c r="A288" s="176" t="b">
        <v>0</v>
      </c>
      <c r="B288" s="189" t="s">
        <v>330</v>
      </c>
      <c r="C288" s="190">
        <f>C287+1</f>
        <v>283</v>
      </c>
      <c r="D288" s="176">
        <f t="shared" si="207"/>
        <v>3</v>
      </c>
      <c r="E288" s="190">
        <f t="shared" si="184"/>
        <v>10</v>
      </c>
      <c r="F288" s="190">
        <f>F285+1</f>
        <v>155103011</v>
      </c>
      <c r="G288" s="190">
        <v>1</v>
      </c>
      <c r="H288" s="190" t="s">
        <v>104</v>
      </c>
      <c r="I288" s="205">
        <f t="shared" si="188"/>
        <v>50</v>
      </c>
    </row>
    <row r="289" spans="1:9" ht="16.5" customHeight="1" x14ac:dyDescent="0.3">
      <c r="A289" s="176" t="b">
        <v>0</v>
      </c>
      <c r="B289" s="189" t="s">
        <v>330</v>
      </c>
      <c r="C289" s="190">
        <f>C288+1</f>
        <v>284</v>
      </c>
      <c r="D289" s="176">
        <f t="shared" ref="D289:D290" si="208">D288</f>
        <v>3</v>
      </c>
      <c r="E289" s="176">
        <f t="shared" si="184"/>
        <v>10</v>
      </c>
      <c r="F289" s="176">
        <f>F288</f>
        <v>155103011</v>
      </c>
      <c r="G289" s="176">
        <f>G288+1</f>
        <v>2</v>
      </c>
      <c r="H289" s="176" t="str">
        <f>H288</f>
        <v>Gem</v>
      </c>
      <c r="I289" s="205">
        <f t="shared" si="188"/>
        <v>100</v>
      </c>
    </row>
    <row r="290" spans="1:9" ht="16.5" customHeight="1" x14ac:dyDescent="0.3">
      <c r="A290" s="176" t="b">
        <v>0</v>
      </c>
      <c r="B290" s="189" t="s">
        <v>330</v>
      </c>
      <c r="C290" s="190">
        <f>C289+1</f>
        <v>285</v>
      </c>
      <c r="D290" s="176">
        <f t="shared" si="208"/>
        <v>3</v>
      </c>
      <c r="E290" s="176">
        <f t="shared" si="184"/>
        <v>10</v>
      </c>
      <c r="F290" s="176">
        <f>F289</f>
        <v>155103011</v>
      </c>
      <c r="G290" s="176">
        <f>G289+1</f>
        <v>3</v>
      </c>
      <c r="H290" s="176" t="str">
        <f>H289</f>
        <v>Gem</v>
      </c>
      <c r="I290" s="205">
        <f t="shared" si="188"/>
        <v>150</v>
      </c>
    </row>
    <row r="291" spans="1:9" ht="16.5" customHeight="1" x14ac:dyDescent="0.3">
      <c r="A291" s="173" t="b">
        <v>0</v>
      </c>
      <c r="B291" s="191" t="s">
        <v>330</v>
      </c>
      <c r="C291" s="192">
        <f t="shared" ref="C291" si="209">C290+1</f>
        <v>286</v>
      </c>
      <c r="D291" s="173">
        <f>D290</f>
        <v>3</v>
      </c>
      <c r="E291" s="192">
        <f t="shared" si="184"/>
        <v>10</v>
      </c>
      <c r="F291" s="173">
        <f>F288+1</f>
        <v>155103012</v>
      </c>
      <c r="G291" s="192">
        <f t="shared" ref="G291:H293" si="210">G288</f>
        <v>1</v>
      </c>
      <c r="H291" s="192" t="str">
        <f t="shared" si="210"/>
        <v>Gem</v>
      </c>
      <c r="I291" s="206">
        <f t="shared" si="188"/>
        <v>50</v>
      </c>
    </row>
    <row r="292" spans="1:9" ht="16.5" customHeight="1" x14ac:dyDescent="0.3">
      <c r="A292" s="173" t="b">
        <v>0</v>
      </c>
      <c r="B292" s="191" t="s">
        <v>330</v>
      </c>
      <c r="C292" s="192">
        <f t="shared" ref="C292:C293" si="211">C291+1</f>
        <v>287</v>
      </c>
      <c r="D292" s="173">
        <f t="shared" ref="D292:D293" si="212">D291</f>
        <v>3</v>
      </c>
      <c r="E292" s="192">
        <f t="shared" si="184"/>
        <v>10</v>
      </c>
      <c r="F292" s="173">
        <f>F291</f>
        <v>155103012</v>
      </c>
      <c r="G292" s="192">
        <f t="shared" si="210"/>
        <v>2</v>
      </c>
      <c r="H292" s="192" t="str">
        <f t="shared" si="210"/>
        <v>Gem</v>
      </c>
      <c r="I292" s="206">
        <f t="shared" si="188"/>
        <v>100</v>
      </c>
    </row>
    <row r="293" spans="1:9" ht="16.5" customHeight="1" x14ac:dyDescent="0.3">
      <c r="A293" s="173" t="b">
        <v>0</v>
      </c>
      <c r="B293" s="191" t="s">
        <v>330</v>
      </c>
      <c r="C293" s="192">
        <f t="shared" si="211"/>
        <v>288</v>
      </c>
      <c r="D293" s="173">
        <f t="shared" si="212"/>
        <v>3</v>
      </c>
      <c r="E293" s="192">
        <f t="shared" si="184"/>
        <v>10</v>
      </c>
      <c r="F293" s="173">
        <f>F292</f>
        <v>155103012</v>
      </c>
      <c r="G293" s="192">
        <f t="shared" si="210"/>
        <v>3</v>
      </c>
      <c r="H293" s="192" t="str">
        <f t="shared" si="210"/>
        <v>Gem</v>
      </c>
      <c r="I293" s="206">
        <f t="shared" si="188"/>
        <v>150</v>
      </c>
    </row>
    <row r="294" spans="1:9" ht="16.5" customHeight="1" x14ac:dyDescent="0.3">
      <c r="A294" s="172" t="b">
        <v>1</v>
      </c>
      <c r="B294" s="196" t="s">
        <v>331</v>
      </c>
      <c r="C294" s="196">
        <f t="shared" ref="C294:C300" si="213">C293+1</f>
        <v>289</v>
      </c>
      <c r="D294" s="186">
        <v>4</v>
      </c>
      <c r="E294" s="185">
        <v>10</v>
      </c>
      <c r="F294" s="186">
        <v>155101001</v>
      </c>
      <c r="G294" s="185">
        <v>1</v>
      </c>
      <c r="H294" s="185" t="s">
        <v>104</v>
      </c>
      <c r="I294" s="207">
        <f t="shared" si="188"/>
        <v>50</v>
      </c>
    </row>
    <row r="295" spans="1:9" ht="16.5" customHeight="1" x14ac:dyDescent="0.3">
      <c r="A295" s="172" t="b">
        <v>1</v>
      </c>
      <c r="B295" s="197" t="s">
        <v>331</v>
      </c>
      <c r="C295" s="196">
        <f t="shared" si="213"/>
        <v>290</v>
      </c>
      <c r="D295" s="196">
        <f t="shared" ref="D295:D299" si="214">D294</f>
        <v>4</v>
      </c>
      <c r="E295" s="185">
        <v>10</v>
      </c>
      <c r="F295" s="196">
        <f>F294</f>
        <v>155101001</v>
      </c>
      <c r="G295" s="196">
        <f>G294+1</f>
        <v>2</v>
      </c>
      <c r="H295" s="196" t="str">
        <f>H294</f>
        <v>Gem</v>
      </c>
      <c r="I295" s="207">
        <f t="shared" si="188"/>
        <v>100</v>
      </c>
    </row>
    <row r="296" spans="1:9" ht="16.5" customHeight="1" x14ac:dyDescent="0.3">
      <c r="A296" s="172" t="b">
        <v>1</v>
      </c>
      <c r="B296" s="197" t="s">
        <v>331</v>
      </c>
      <c r="C296" s="196">
        <f t="shared" si="213"/>
        <v>291</v>
      </c>
      <c r="D296" s="196">
        <f t="shared" si="214"/>
        <v>4</v>
      </c>
      <c r="E296" s="185">
        <v>10</v>
      </c>
      <c r="F296" s="196">
        <f>F295</f>
        <v>155101001</v>
      </c>
      <c r="G296" s="196">
        <f>G295+1</f>
        <v>3</v>
      </c>
      <c r="H296" s="196" t="str">
        <f>H295</f>
        <v>Gem</v>
      </c>
      <c r="I296" s="207">
        <f t="shared" si="188"/>
        <v>150</v>
      </c>
    </row>
    <row r="297" spans="1:9" ht="16.5" customHeight="1" x14ac:dyDescent="0.3">
      <c r="A297" s="172" t="b">
        <v>1</v>
      </c>
      <c r="B297" s="197" t="s">
        <v>331</v>
      </c>
      <c r="C297" s="196">
        <f t="shared" si="213"/>
        <v>292</v>
      </c>
      <c r="D297" s="196">
        <f t="shared" si="214"/>
        <v>4</v>
      </c>
      <c r="E297" s="185">
        <v>6</v>
      </c>
      <c r="F297" s="196">
        <f>F296</f>
        <v>155101001</v>
      </c>
      <c r="G297" s="185">
        <v>1</v>
      </c>
      <c r="H297" s="185" t="s">
        <v>335</v>
      </c>
      <c r="I297" s="207">
        <f t="shared" si="188"/>
        <v>10000</v>
      </c>
    </row>
    <row r="298" spans="1:9" ht="16.5" customHeight="1" x14ac:dyDescent="0.3">
      <c r="A298" s="172" t="b">
        <v>1</v>
      </c>
      <c r="B298" s="197" t="s">
        <v>331</v>
      </c>
      <c r="C298" s="196">
        <f t="shared" si="213"/>
        <v>293</v>
      </c>
      <c r="D298" s="196">
        <f t="shared" si="214"/>
        <v>4</v>
      </c>
      <c r="E298" s="185">
        <v>6</v>
      </c>
      <c r="F298" s="196">
        <f>F297</f>
        <v>155101001</v>
      </c>
      <c r="G298" s="196">
        <f>G297+1</f>
        <v>2</v>
      </c>
      <c r="H298" s="196" t="str">
        <f t="shared" ref="H298:H299" si="215">H297</f>
        <v>Gold</v>
      </c>
      <c r="I298" s="207">
        <f t="shared" si="188"/>
        <v>20000</v>
      </c>
    </row>
    <row r="299" spans="1:9" ht="16.5" customHeight="1" x14ac:dyDescent="0.3">
      <c r="A299" s="172" t="b">
        <v>1</v>
      </c>
      <c r="B299" s="197" t="s">
        <v>331</v>
      </c>
      <c r="C299" s="196">
        <f t="shared" si="213"/>
        <v>294</v>
      </c>
      <c r="D299" s="196">
        <f t="shared" si="214"/>
        <v>4</v>
      </c>
      <c r="E299" s="185">
        <v>6</v>
      </c>
      <c r="F299" s="196">
        <f>F298</f>
        <v>155101001</v>
      </c>
      <c r="G299" s="196">
        <f>G298+1</f>
        <v>3</v>
      </c>
      <c r="H299" s="196" t="str">
        <f t="shared" si="215"/>
        <v>Gold</v>
      </c>
      <c r="I299" s="207">
        <f t="shared" si="188"/>
        <v>30000</v>
      </c>
    </row>
    <row r="300" spans="1:9" ht="16.5" customHeight="1" x14ac:dyDescent="0.3">
      <c r="A300" s="193" t="b">
        <v>1</v>
      </c>
      <c r="B300" s="195" t="s">
        <v>331</v>
      </c>
      <c r="C300" s="194">
        <f t="shared" si="213"/>
        <v>295</v>
      </c>
      <c r="D300" s="193">
        <f>D296</f>
        <v>4</v>
      </c>
      <c r="E300" s="194">
        <f>E294</f>
        <v>10</v>
      </c>
      <c r="F300" s="193">
        <f>F294+1</f>
        <v>155101002</v>
      </c>
      <c r="G300" s="194">
        <f>G294</f>
        <v>1</v>
      </c>
      <c r="H300" s="194" t="str">
        <f>H294</f>
        <v>Gem</v>
      </c>
      <c r="I300" s="208">
        <f t="shared" si="188"/>
        <v>50</v>
      </c>
    </row>
    <row r="301" spans="1:9" ht="16.5" customHeight="1" x14ac:dyDescent="0.3">
      <c r="A301" s="193" t="b">
        <v>1</v>
      </c>
      <c r="B301" s="195" t="s">
        <v>331</v>
      </c>
      <c r="C301" s="194">
        <f t="shared" ref="C301:C306" si="216">C300+1</f>
        <v>296</v>
      </c>
      <c r="D301" s="193">
        <f t="shared" ref="D301:D311" si="217">D300</f>
        <v>4</v>
      </c>
      <c r="E301" s="194">
        <f t="shared" ref="E301:E305" si="218">E295</f>
        <v>10</v>
      </c>
      <c r="F301" s="193">
        <f>F300</f>
        <v>155101002</v>
      </c>
      <c r="G301" s="194">
        <f t="shared" ref="G301:H301" si="219">G295</f>
        <v>2</v>
      </c>
      <c r="H301" s="194" t="str">
        <f t="shared" si="219"/>
        <v>Gem</v>
      </c>
      <c r="I301" s="208">
        <f t="shared" si="188"/>
        <v>100</v>
      </c>
    </row>
    <row r="302" spans="1:9" ht="16.5" customHeight="1" x14ac:dyDescent="0.3">
      <c r="A302" s="193" t="b">
        <v>1</v>
      </c>
      <c r="B302" s="195" t="s">
        <v>331</v>
      </c>
      <c r="C302" s="194">
        <f t="shared" si="216"/>
        <v>297</v>
      </c>
      <c r="D302" s="193">
        <f t="shared" si="217"/>
        <v>4</v>
      </c>
      <c r="E302" s="194">
        <f t="shared" si="218"/>
        <v>10</v>
      </c>
      <c r="F302" s="193">
        <f>F301</f>
        <v>155101002</v>
      </c>
      <c r="G302" s="194">
        <f t="shared" ref="G302:H302" si="220">G296</f>
        <v>3</v>
      </c>
      <c r="H302" s="194" t="str">
        <f t="shared" si="220"/>
        <v>Gem</v>
      </c>
      <c r="I302" s="208">
        <f t="shared" si="188"/>
        <v>150</v>
      </c>
    </row>
    <row r="303" spans="1:9" ht="16.5" customHeight="1" x14ac:dyDescent="0.3">
      <c r="A303" s="193" t="b">
        <v>1</v>
      </c>
      <c r="B303" s="195" t="s">
        <v>331</v>
      </c>
      <c r="C303" s="194">
        <f t="shared" si="216"/>
        <v>298</v>
      </c>
      <c r="D303" s="193">
        <f t="shared" si="217"/>
        <v>4</v>
      </c>
      <c r="E303" s="194">
        <f t="shared" si="218"/>
        <v>6</v>
      </c>
      <c r="F303" s="193">
        <f>F302</f>
        <v>155101002</v>
      </c>
      <c r="G303" s="194">
        <f t="shared" ref="G303:H303" si="221">G297</f>
        <v>1</v>
      </c>
      <c r="H303" s="194" t="str">
        <f t="shared" si="221"/>
        <v>Gold</v>
      </c>
      <c r="I303" s="208">
        <f t="shared" si="188"/>
        <v>10000</v>
      </c>
    </row>
    <row r="304" spans="1:9" ht="16.5" customHeight="1" x14ac:dyDescent="0.3">
      <c r="A304" s="193" t="b">
        <v>1</v>
      </c>
      <c r="B304" s="195" t="s">
        <v>331</v>
      </c>
      <c r="C304" s="194">
        <f t="shared" si="216"/>
        <v>299</v>
      </c>
      <c r="D304" s="193">
        <f t="shared" si="217"/>
        <v>4</v>
      </c>
      <c r="E304" s="194">
        <f t="shared" si="218"/>
        <v>6</v>
      </c>
      <c r="F304" s="193">
        <f>F303</f>
        <v>155101002</v>
      </c>
      <c r="G304" s="194">
        <f t="shared" ref="G304:H304" si="222">G298</f>
        <v>2</v>
      </c>
      <c r="H304" s="194" t="str">
        <f t="shared" si="222"/>
        <v>Gold</v>
      </c>
      <c r="I304" s="208">
        <f t="shared" si="188"/>
        <v>20000</v>
      </c>
    </row>
    <row r="305" spans="1:9" ht="16.5" customHeight="1" x14ac:dyDescent="0.3">
      <c r="A305" s="193" t="b">
        <v>1</v>
      </c>
      <c r="B305" s="195" t="s">
        <v>331</v>
      </c>
      <c r="C305" s="194">
        <f t="shared" si="216"/>
        <v>300</v>
      </c>
      <c r="D305" s="193">
        <f t="shared" si="217"/>
        <v>4</v>
      </c>
      <c r="E305" s="194">
        <f t="shared" si="218"/>
        <v>6</v>
      </c>
      <c r="F305" s="193">
        <f>F304</f>
        <v>155101002</v>
      </c>
      <c r="G305" s="194">
        <f t="shared" ref="G305:H305" si="223">G299</f>
        <v>3</v>
      </c>
      <c r="H305" s="194" t="str">
        <f t="shared" si="223"/>
        <v>Gold</v>
      </c>
      <c r="I305" s="208">
        <f t="shared" si="188"/>
        <v>30000</v>
      </c>
    </row>
    <row r="306" spans="1:9" ht="16.5" customHeight="1" x14ac:dyDescent="0.3">
      <c r="A306" s="172" t="b">
        <v>1</v>
      </c>
      <c r="B306" s="196" t="s">
        <v>331</v>
      </c>
      <c r="C306" s="196">
        <f t="shared" si="216"/>
        <v>301</v>
      </c>
      <c r="D306" s="172">
        <f t="shared" si="217"/>
        <v>4</v>
      </c>
      <c r="E306" s="196">
        <f>E300</f>
        <v>10</v>
      </c>
      <c r="F306" s="172">
        <f>F300+1</f>
        <v>155101003</v>
      </c>
      <c r="G306" s="196">
        <v>1</v>
      </c>
      <c r="H306" s="196" t="s">
        <v>104</v>
      </c>
      <c r="I306" s="207">
        <f t="shared" si="188"/>
        <v>50</v>
      </c>
    </row>
    <row r="307" spans="1:9" ht="16.5" customHeight="1" x14ac:dyDescent="0.3">
      <c r="A307" s="172" t="b">
        <v>1</v>
      </c>
      <c r="B307" s="197" t="s">
        <v>331</v>
      </c>
      <c r="C307" s="196">
        <f t="shared" ref="C307:C312" si="224">C306+1</f>
        <v>302</v>
      </c>
      <c r="D307" s="172">
        <f t="shared" si="217"/>
        <v>4</v>
      </c>
      <c r="E307" s="196">
        <f t="shared" ref="E307:E311" si="225">E301</f>
        <v>10</v>
      </c>
      <c r="F307" s="172">
        <f>F306</f>
        <v>155101003</v>
      </c>
      <c r="G307" s="196">
        <f>G306+1</f>
        <v>2</v>
      </c>
      <c r="H307" s="196" t="str">
        <f>H306</f>
        <v>Gem</v>
      </c>
      <c r="I307" s="207">
        <f t="shared" si="188"/>
        <v>100</v>
      </c>
    </row>
    <row r="308" spans="1:9" ht="16.5" customHeight="1" x14ac:dyDescent="0.3">
      <c r="A308" s="172" t="b">
        <v>1</v>
      </c>
      <c r="B308" s="197" t="s">
        <v>331</v>
      </c>
      <c r="C308" s="196">
        <f t="shared" si="224"/>
        <v>303</v>
      </c>
      <c r="D308" s="172">
        <f t="shared" si="217"/>
        <v>4</v>
      </c>
      <c r="E308" s="196">
        <f t="shared" si="225"/>
        <v>10</v>
      </c>
      <c r="F308" s="172">
        <f>F307</f>
        <v>155101003</v>
      </c>
      <c r="G308" s="196">
        <f>G307+1</f>
        <v>3</v>
      </c>
      <c r="H308" s="196" t="str">
        <f>H307</f>
        <v>Gem</v>
      </c>
      <c r="I308" s="207">
        <f t="shared" si="188"/>
        <v>150</v>
      </c>
    </row>
    <row r="309" spans="1:9" ht="16.5" customHeight="1" x14ac:dyDescent="0.3">
      <c r="A309" s="172" t="b">
        <v>1</v>
      </c>
      <c r="B309" s="196" t="s">
        <v>331</v>
      </c>
      <c r="C309" s="196">
        <f t="shared" si="224"/>
        <v>304</v>
      </c>
      <c r="D309" s="172">
        <f t="shared" si="217"/>
        <v>4</v>
      </c>
      <c r="E309" s="196">
        <f t="shared" si="225"/>
        <v>6</v>
      </c>
      <c r="F309" s="172">
        <f>F308</f>
        <v>155101003</v>
      </c>
      <c r="G309" s="196">
        <v>1</v>
      </c>
      <c r="H309" s="196" t="s">
        <v>335</v>
      </c>
      <c r="I309" s="207">
        <f t="shared" si="188"/>
        <v>10000</v>
      </c>
    </row>
    <row r="310" spans="1:9" ht="16.5" customHeight="1" x14ac:dyDescent="0.3">
      <c r="A310" s="172" t="b">
        <v>1</v>
      </c>
      <c r="B310" s="196" t="s">
        <v>331</v>
      </c>
      <c r="C310" s="196">
        <f t="shared" si="224"/>
        <v>305</v>
      </c>
      <c r="D310" s="172">
        <f t="shared" si="217"/>
        <v>4</v>
      </c>
      <c r="E310" s="196">
        <f t="shared" si="225"/>
        <v>6</v>
      </c>
      <c r="F310" s="172">
        <f>F309</f>
        <v>155101003</v>
      </c>
      <c r="G310" s="196">
        <f>G309+1</f>
        <v>2</v>
      </c>
      <c r="H310" s="196" t="str">
        <f t="shared" ref="H310:H311" si="226">H309</f>
        <v>Gold</v>
      </c>
      <c r="I310" s="207">
        <f t="shared" si="188"/>
        <v>20000</v>
      </c>
    </row>
    <row r="311" spans="1:9" ht="16.5" customHeight="1" x14ac:dyDescent="0.3">
      <c r="A311" s="172" t="b">
        <v>1</v>
      </c>
      <c r="B311" s="196" t="s">
        <v>331</v>
      </c>
      <c r="C311" s="196">
        <f t="shared" si="224"/>
        <v>306</v>
      </c>
      <c r="D311" s="172">
        <f t="shared" si="217"/>
        <v>4</v>
      </c>
      <c r="E311" s="196">
        <f t="shared" si="225"/>
        <v>6</v>
      </c>
      <c r="F311" s="172">
        <f>F310</f>
        <v>155101003</v>
      </c>
      <c r="G311" s="196">
        <f>G310+1</f>
        <v>3</v>
      </c>
      <c r="H311" s="196" t="str">
        <f t="shared" si="226"/>
        <v>Gold</v>
      </c>
      <c r="I311" s="207">
        <f t="shared" si="188"/>
        <v>30000</v>
      </c>
    </row>
    <row r="312" spans="1:9" ht="16.5" customHeight="1" x14ac:dyDescent="0.3">
      <c r="A312" s="193" t="b">
        <v>1</v>
      </c>
      <c r="B312" s="195" t="s">
        <v>331</v>
      </c>
      <c r="C312" s="194">
        <f t="shared" si="224"/>
        <v>307</v>
      </c>
      <c r="D312" s="193">
        <f>D308</f>
        <v>4</v>
      </c>
      <c r="E312" s="194">
        <f>E306</f>
        <v>10</v>
      </c>
      <c r="F312" s="193">
        <f>F306+1</f>
        <v>155101004</v>
      </c>
      <c r="G312" s="194">
        <f>G306</f>
        <v>1</v>
      </c>
      <c r="H312" s="194" t="str">
        <f>H306</f>
        <v>Gem</v>
      </c>
      <c r="I312" s="208">
        <f t="shared" si="188"/>
        <v>50</v>
      </c>
    </row>
    <row r="313" spans="1:9" ht="16.5" customHeight="1" x14ac:dyDescent="0.3">
      <c r="A313" s="193" t="b">
        <v>1</v>
      </c>
      <c r="B313" s="195" t="s">
        <v>331</v>
      </c>
      <c r="C313" s="194">
        <f t="shared" ref="C313:C318" si="227">C312+1</f>
        <v>308</v>
      </c>
      <c r="D313" s="193">
        <f t="shared" ref="D313:D323" si="228">D312</f>
        <v>4</v>
      </c>
      <c r="E313" s="194">
        <f t="shared" ref="E313:E317" si="229">E307</f>
        <v>10</v>
      </c>
      <c r="F313" s="193">
        <f>F312</f>
        <v>155101004</v>
      </c>
      <c r="G313" s="194">
        <f t="shared" ref="G313:H313" si="230">G307</f>
        <v>2</v>
      </c>
      <c r="H313" s="194" t="str">
        <f t="shared" si="230"/>
        <v>Gem</v>
      </c>
      <c r="I313" s="208">
        <f t="shared" si="188"/>
        <v>100</v>
      </c>
    </row>
    <row r="314" spans="1:9" ht="16.5" customHeight="1" x14ac:dyDescent="0.3">
      <c r="A314" s="193" t="b">
        <v>1</v>
      </c>
      <c r="B314" s="195" t="s">
        <v>331</v>
      </c>
      <c r="C314" s="194">
        <f t="shared" si="227"/>
        <v>309</v>
      </c>
      <c r="D314" s="193">
        <f t="shared" si="228"/>
        <v>4</v>
      </c>
      <c r="E314" s="194">
        <f t="shared" si="229"/>
        <v>10</v>
      </c>
      <c r="F314" s="193">
        <f>F313</f>
        <v>155101004</v>
      </c>
      <c r="G314" s="194">
        <f t="shared" ref="G314:H314" si="231">G308</f>
        <v>3</v>
      </c>
      <c r="H314" s="194" t="str">
        <f t="shared" si="231"/>
        <v>Gem</v>
      </c>
      <c r="I314" s="208">
        <f t="shared" si="188"/>
        <v>150</v>
      </c>
    </row>
    <row r="315" spans="1:9" ht="16.5" customHeight="1" x14ac:dyDescent="0.3">
      <c r="A315" s="193" t="b">
        <v>1</v>
      </c>
      <c r="B315" s="195" t="s">
        <v>331</v>
      </c>
      <c r="C315" s="194">
        <f t="shared" si="227"/>
        <v>310</v>
      </c>
      <c r="D315" s="193">
        <f t="shared" si="228"/>
        <v>4</v>
      </c>
      <c r="E315" s="194">
        <f t="shared" si="229"/>
        <v>6</v>
      </c>
      <c r="F315" s="193">
        <f>F314</f>
        <v>155101004</v>
      </c>
      <c r="G315" s="194">
        <f t="shared" ref="G315:H315" si="232">G309</f>
        <v>1</v>
      </c>
      <c r="H315" s="194" t="str">
        <f t="shared" si="232"/>
        <v>Gold</v>
      </c>
      <c r="I315" s="208">
        <f t="shared" si="188"/>
        <v>10000</v>
      </c>
    </row>
    <row r="316" spans="1:9" ht="16.5" customHeight="1" x14ac:dyDescent="0.3">
      <c r="A316" s="193" t="b">
        <v>1</v>
      </c>
      <c r="B316" s="195" t="s">
        <v>331</v>
      </c>
      <c r="C316" s="194">
        <f t="shared" si="227"/>
        <v>311</v>
      </c>
      <c r="D316" s="193">
        <f t="shared" si="228"/>
        <v>4</v>
      </c>
      <c r="E316" s="194">
        <f t="shared" si="229"/>
        <v>6</v>
      </c>
      <c r="F316" s="193">
        <f>F315</f>
        <v>155101004</v>
      </c>
      <c r="G316" s="194">
        <f t="shared" ref="G316:H316" si="233">G310</f>
        <v>2</v>
      </c>
      <c r="H316" s="194" t="str">
        <f t="shared" si="233"/>
        <v>Gold</v>
      </c>
      <c r="I316" s="208">
        <f t="shared" si="188"/>
        <v>20000</v>
      </c>
    </row>
    <row r="317" spans="1:9" ht="16.5" customHeight="1" x14ac:dyDescent="0.3">
      <c r="A317" s="193" t="b">
        <v>1</v>
      </c>
      <c r="B317" s="195" t="s">
        <v>331</v>
      </c>
      <c r="C317" s="194">
        <f t="shared" si="227"/>
        <v>312</v>
      </c>
      <c r="D317" s="193">
        <f t="shared" si="228"/>
        <v>4</v>
      </c>
      <c r="E317" s="194">
        <f t="shared" si="229"/>
        <v>6</v>
      </c>
      <c r="F317" s="193">
        <f>F316</f>
        <v>155101004</v>
      </c>
      <c r="G317" s="194">
        <f t="shared" ref="G317:H317" si="234">G311</f>
        <v>3</v>
      </c>
      <c r="H317" s="194" t="str">
        <f t="shared" si="234"/>
        <v>Gold</v>
      </c>
      <c r="I317" s="208">
        <f t="shared" si="188"/>
        <v>30000</v>
      </c>
    </row>
    <row r="318" spans="1:9" ht="16.5" customHeight="1" x14ac:dyDescent="0.3">
      <c r="A318" s="172" t="b">
        <v>1</v>
      </c>
      <c r="B318" s="196" t="s">
        <v>331</v>
      </c>
      <c r="C318" s="196">
        <f t="shared" si="227"/>
        <v>313</v>
      </c>
      <c r="D318" s="172">
        <f t="shared" si="228"/>
        <v>4</v>
      </c>
      <c r="E318" s="196">
        <f>E312</f>
        <v>10</v>
      </c>
      <c r="F318" s="172">
        <f>F312+1</f>
        <v>155101005</v>
      </c>
      <c r="G318" s="196">
        <v>1</v>
      </c>
      <c r="H318" s="196" t="s">
        <v>104</v>
      </c>
      <c r="I318" s="207">
        <f t="shared" si="188"/>
        <v>50</v>
      </c>
    </row>
    <row r="319" spans="1:9" ht="16.5" customHeight="1" x14ac:dyDescent="0.3">
      <c r="A319" s="172" t="b">
        <v>1</v>
      </c>
      <c r="B319" s="197" t="s">
        <v>331</v>
      </c>
      <c r="C319" s="196">
        <f t="shared" ref="C319:C324" si="235">C318+1</f>
        <v>314</v>
      </c>
      <c r="D319" s="172">
        <f t="shared" si="228"/>
        <v>4</v>
      </c>
      <c r="E319" s="196">
        <f t="shared" ref="E319:E323" si="236">E313</f>
        <v>10</v>
      </c>
      <c r="F319" s="172">
        <f>F318</f>
        <v>155101005</v>
      </c>
      <c r="G319" s="196">
        <f>G318+1</f>
        <v>2</v>
      </c>
      <c r="H319" s="196" t="str">
        <f>H318</f>
        <v>Gem</v>
      </c>
      <c r="I319" s="207">
        <f t="shared" si="188"/>
        <v>100</v>
      </c>
    </row>
    <row r="320" spans="1:9" ht="16.5" customHeight="1" x14ac:dyDescent="0.3">
      <c r="A320" s="172" t="b">
        <v>1</v>
      </c>
      <c r="B320" s="197" t="s">
        <v>331</v>
      </c>
      <c r="C320" s="196">
        <f t="shared" si="235"/>
        <v>315</v>
      </c>
      <c r="D320" s="172">
        <f t="shared" si="228"/>
        <v>4</v>
      </c>
      <c r="E320" s="196">
        <f t="shared" si="236"/>
        <v>10</v>
      </c>
      <c r="F320" s="172">
        <f>F319</f>
        <v>155101005</v>
      </c>
      <c r="G320" s="196">
        <f>G319+1</f>
        <v>3</v>
      </c>
      <c r="H320" s="196" t="str">
        <f>H319</f>
        <v>Gem</v>
      </c>
      <c r="I320" s="207">
        <f t="shared" si="188"/>
        <v>150</v>
      </c>
    </row>
    <row r="321" spans="1:9" ht="16.5" customHeight="1" x14ac:dyDescent="0.3">
      <c r="A321" s="172" t="b">
        <v>1</v>
      </c>
      <c r="B321" s="196" t="s">
        <v>331</v>
      </c>
      <c r="C321" s="196">
        <f t="shared" si="235"/>
        <v>316</v>
      </c>
      <c r="D321" s="172">
        <f t="shared" si="228"/>
        <v>4</v>
      </c>
      <c r="E321" s="196">
        <f t="shared" si="236"/>
        <v>6</v>
      </c>
      <c r="F321" s="172">
        <f>F320</f>
        <v>155101005</v>
      </c>
      <c r="G321" s="196">
        <v>1</v>
      </c>
      <c r="H321" s="196" t="s">
        <v>334</v>
      </c>
      <c r="I321" s="207">
        <f t="shared" si="188"/>
        <v>10000</v>
      </c>
    </row>
    <row r="322" spans="1:9" ht="16.5" customHeight="1" x14ac:dyDescent="0.3">
      <c r="A322" s="172" t="b">
        <v>1</v>
      </c>
      <c r="B322" s="196" t="s">
        <v>331</v>
      </c>
      <c r="C322" s="196">
        <f t="shared" si="235"/>
        <v>317</v>
      </c>
      <c r="D322" s="172">
        <f t="shared" si="228"/>
        <v>4</v>
      </c>
      <c r="E322" s="196">
        <f t="shared" si="236"/>
        <v>6</v>
      </c>
      <c r="F322" s="172">
        <f>F321</f>
        <v>155101005</v>
      </c>
      <c r="G322" s="196">
        <f>G321+1</f>
        <v>2</v>
      </c>
      <c r="H322" s="196" t="str">
        <f t="shared" ref="H322:H323" si="237">H321</f>
        <v>Gold</v>
      </c>
      <c r="I322" s="207">
        <f t="shared" si="188"/>
        <v>20000</v>
      </c>
    </row>
    <row r="323" spans="1:9" ht="16.5" customHeight="1" x14ac:dyDescent="0.3">
      <c r="A323" s="172" t="b">
        <v>1</v>
      </c>
      <c r="B323" s="196" t="s">
        <v>331</v>
      </c>
      <c r="C323" s="196">
        <f t="shared" si="235"/>
        <v>318</v>
      </c>
      <c r="D323" s="172">
        <f t="shared" si="228"/>
        <v>4</v>
      </c>
      <c r="E323" s="196">
        <f t="shared" si="236"/>
        <v>6</v>
      </c>
      <c r="F323" s="172">
        <f>F322</f>
        <v>155101005</v>
      </c>
      <c r="G323" s="196">
        <f>G322+1</f>
        <v>3</v>
      </c>
      <c r="H323" s="196" t="str">
        <f t="shared" si="237"/>
        <v>Gold</v>
      </c>
      <c r="I323" s="207">
        <f t="shared" si="188"/>
        <v>30000</v>
      </c>
    </row>
    <row r="324" spans="1:9" ht="16.5" customHeight="1" x14ac:dyDescent="0.3">
      <c r="A324" s="193" t="b">
        <v>1</v>
      </c>
      <c r="B324" s="195" t="s">
        <v>331</v>
      </c>
      <c r="C324" s="194">
        <f t="shared" si="235"/>
        <v>319</v>
      </c>
      <c r="D324" s="193">
        <f>D320</f>
        <v>4</v>
      </c>
      <c r="E324" s="194">
        <f>E318</f>
        <v>10</v>
      </c>
      <c r="F324" s="193">
        <f>F318+1</f>
        <v>155101006</v>
      </c>
      <c r="G324" s="194">
        <f>G318</f>
        <v>1</v>
      </c>
      <c r="H324" s="194" t="str">
        <f>H318</f>
        <v>Gem</v>
      </c>
      <c r="I324" s="208">
        <f t="shared" si="188"/>
        <v>50</v>
      </c>
    </row>
    <row r="325" spans="1:9" ht="16.5" customHeight="1" x14ac:dyDescent="0.3">
      <c r="A325" s="193" t="b">
        <v>1</v>
      </c>
      <c r="B325" s="195" t="s">
        <v>331</v>
      </c>
      <c r="C325" s="194">
        <f t="shared" ref="C325:C330" si="238">C324+1</f>
        <v>320</v>
      </c>
      <c r="D325" s="193">
        <f t="shared" ref="D325:D335" si="239">D324</f>
        <v>4</v>
      </c>
      <c r="E325" s="194">
        <f t="shared" ref="E325:E329" si="240">E319</f>
        <v>10</v>
      </c>
      <c r="F325" s="193">
        <f>F324</f>
        <v>155101006</v>
      </c>
      <c r="G325" s="194">
        <f t="shared" ref="G325:H325" si="241">G319</f>
        <v>2</v>
      </c>
      <c r="H325" s="194" t="str">
        <f t="shared" si="241"/>
        <v>Gem</v>
      </c>
      <c r="I325" s="208">
        <f t="shared" si="188"/>
        <v>100</v>
      </c>
    </row>
    <row r="326" spans="1:9" ht="16.5" customHeight="1" x14ac:dyDescent="0.3">
      <c r="A326" s="193" t="b">
        <v>1</v>
      </c>
      <c r="B326" s="195" t="s">
        <v>331</v>
      </c>
      <c r="C326" s="194">
        <f t="shared" si="238"/>
        <v>321</v>
      </c>
      <c r="D326" s="193">
        <f t="shared" si="239"/>
        <v>4</v>
      </c>
      <c r="E326" s="194">
        <f t="shared" si="240"/>
        <v>10</v>
      </c>
      <c r="F326" s="193">
        <f>F325</f>
        <v>155101006</v>
      </c>
      <c r="G326" s="194">
        <f t="shared" ref="G326:H326" si="242">G320</f>
        <v>3</v>
      </c>
      <c r="H326" s="194" t="str">
        <f t="shared" si="242"/>
        <v>Gem</v>
      </c>
      <c r="I326" s="208">
        <f t="shared" ref="I326:I389" si="243">IF(H326="Gem",$H$1*G326,IF(H326="Gold",$I$1*G326))</f>
        <v>150</v>
      </c>
    </row>
    <row r="327" spans="1:9" ht="16.5" customHeight="1" x14ac:dyDescent="0.3">
      <c r="A327" s="193" t="b">
        <v>1</v>
      </c>
      <c r="B327" s="195" t="s">
        <v>331</v>
      </c>
      <c r="C327" s="194">
        <f t="shared" si="238"/>
        <v>322</v>
      </c>
      <c r="D327" s="193">
        <f t="shared" si="239"/>
        <v>4</v>
      </c>
      <c r="E327" s="194">
        <f t="shared" si="240"/>
        <v>6</v>
      </c>
      <c r="F327" s="193">
        <f>F326</f>
        <v>155101006</v>
      </c>
      <c r="G327" s="194">
        <f t="shared" ref="G327:H327" si="244">G321</f>
        <v>1</v>
      </c>
      <c r="H327" s="194" t="str">
        <f t="shared" si="244"/>
        <v>Gold</v>
      </c>
      <c r="I327" s="208">
        <f t="shared" si="243"/>
        <v>10000</v>
      </c>
    </row>
    <row r="328" spans="1:9" ht="16.5" customHeight="1" x14ac:dyDescent="0.3">
      <c r="A328" s="193" t="b">
        <v>1</v>
      </c>
      <c r="B328" s="195" t="s">
        <v>331</v>
      </c>
      <c r="C328" s="194">
        <f t="shared" si="238"/>
        <v>323</v>
      </c>
      <c r="D328" s="193">
        <f t="shared" si="239"/>
        <v>4</v>
      </c>
      <c r="E328" s="194">
        <f t="shared" si="240"/>
        <v>6</v>
      </c>
      <c r="F328" s="193">
        <f>F327</f>
        <v>155101006</v>
      </c>
      <c r="G328" s="194">
        <f t="shared" ref="G328:H328" si="245">G322</f>
        <v>2</v>
      </c>
      <c r="H328" s="194" t="str">
        <f t="shared" si="245"/>
        <v>Gold</v>
      </c>
      <c r="I328" s="208">
        <f t="shared" si="243"/>
        <v>20000</v>
      </c>
    </row>
    <row r="329" spans="1:9" ht="16.5" customHeight="1" x14ac:dyDescent="0.3">
      <c r="A329" s="193" t="b">
        <v>1</v>
      </c>
      <c r="B329" s="195" t="s">
        <v>331</v>
      </c>
      <c r="C329" s="194">
        <f t="shared" si="238"/>
        <v>324</v>
      </c>
      <c r="D329" s="193">
        <f t="shared" si="239"/>
        <v>4</v>
      </c>
      <c r="E329" s="194">
        <f t="shared" si="240"/>
        <v>6</v>
      </c>
      <c r="F329" s="193">
        <f>F328</f>
        <v>155101006</v>
      </c>
      <c r="G329" s="194">
        <f t="shared" ref="G329:H329" si="246">G323</f>
        <v>3</v>
      </c>
      <c r="H329" s="194" t="str">
        <f t="shared" si="246"/>
        <v>Gold</v>
      </c>
      <c r="I329" s="208">
        <f t="shared" si="243"/>
        <v>30000</v>
      </c>
    </row>
    <row r="330" spans="1:9" ht="16.5" customHeight="1" x14ac:dyDescent="0.3">
      <c r="A330" s="172" t="b">
        <v>1</v>
      </c>
      <c r="B330" s="196" t="s">
        <v>331</v>
      </c>
      <c r="C330" s="196">
        <f t="shared" si="238"/>
        <v>325</v>
      </c>
      <c r="D330" s="172">
        <f t="shared" si="239"/>
        <v>4</v>
      </c>
      <c r="E330" s="185">
        <v>10</v>
      </c>
      <c r="F330" s="186">
        <v>155102001</v>
      </c>
      <c r="G330" s="185">
        <v>1</v>
      </c>
      <c r="H330" s="185" t="s">
        <v>104</v>
      </c>
      <c r="I330" s="207">
        <f t="shared" si="243"/>
        <v>50</v>
      </c>
    </row>
    <row r="331" spans="1:9" ht="16.5" customHeight="1" x14ac:dyDescent="0.3">
      <c r="A331" s="172" t="b">
        <v>1</v>
      </c>
      <c r="B331" s="197" t="s">
        <v>331</v>
      </c>
      <c r="C331" s="196">
        <f t="shared" ref="C331:C336" si="247">C330+1</f>
        <v>326</v>
      </c>
      <c r="D331" s="172">
        <f t="shared" si="239"/>
        <v>4</v>
      </c>
      <c r="E331" s="185">
        <v>10</v>
      </c>
      <c r="F331" s="172">
        <f>F330</f>
        <v>155102001</v>
      </c>
      <c r="G331" s="172">
        <f>G330+1</f>
        <v>2</v>
      </c>
      <c r="H331" s="172" t="str">
        <f>H330</f>
        <v>Gem</v>
      </c>
      <c r="I331" s="207">
        <f t="shared" si="243"/>
        <v>100</v>
      </c>
    </row>
    <row r="332" spans="1:9" ht="16.5" customHeight="1" x14ac:dyDescent="0.3">
      <c r="A332" s="172" t="b">
        <v>1</v>
      </c>
      <c r="B332" s="197" t="s">
        <v>331</v>
      </c>
      <c r="C332" s="196">
        <f t="shared" si="247"/>
        <v>327</v>
      </c>
      <c r="D332" s="172">
        <f t="shared" si="239"/>
        <v>4</v>
      </c>
      <c r="E332" s="185">
        <v>10</v>
      </c>
      <c r="F332" s="172">
        <f>F331</f>
        <v>155102001</v>
      </c>
      <c r="G332" s="172">
        <f>G331+1</f>
        <v>3</v>
      </c>
      <c r="H332" s="172" t="str">
        <f>H331</f>
        <v>Gem</v>
      </c>
      <c r="I332" s="207">
        <f t="shared" si="243"/>
        <v>150</v>
      </c>
    </row>
    <row r="333" spans="1:9" ht="16.5" customHeight="1" x14ac:dyDescent="0.3">
      <c r="A333" s="172" t="b">
        <v>1</v>
      </c>
      <c r="B333" s="197" t="s">
        <v>331</v>
      </c>
      <c r="C333" s="196">
        <f t="shared" si="247"/>
        <v>328</v>
      </c>
      <c r="D333" s="172">
        <f t="shared" si="239"/>
        <v>4</v>
      </c>
      <c r="E333" s="185">
        <v>6</v>
      </c>
      <c r="F333" s="172">
        <f>F332</f>
        <v>155102001</v>
      </c>
      <c r="G333" s="185">
        <v>1</v>
      </c>
      <c r="H333" s="185" t="s">
        <v>335</v>
      </c>
      <c r="I333" s="207">
        <f t="shared" si="243"/>
        <v>10000</v>
      </c>
    </row>
    <row r="334" spans="1:9" ht="16.5" customHeight="1" x14ac:dyDescent="0.3">
      <c r="A334" s="172" t="b">
        <v>1</v>
      </c>
      <c r="B334" s="197" t="s">
        <v>331</v>
      </c>
      <c r="C334" s="196">
        <f t="shared" si="247"/>
        <v>329</v>
      </c>
      <c r="D334" s="172">
        <f t="shared" si="239"/>
        <v>4</v>
      </c>
      <c r="E334" s="185">
        <v>6</v>
      </c>
      <c r="F334" s="172">
        <f>F333</f>
        <v>155102001</v>
      </c>
      <c r="G334" s="172">
        <f>G333+1</f>
        <v>2</v>
      </c>
      <c r="H334" s="172" t="str">
        <f t="shared" ref="H334:H335" si="248">H333</f>
        <v>Gold</v>
      </c>
      <c r="I334" s="207">
        <f t="shared" si="243"/>
        <v>20000</v>
      </c>
    </row>
    <row r="335" spans="1:9" ht="16.5" customHeight="1" x14ac:dyDescent="0.3">
      <c r="A335" s="172" t="b">
        <v>1</v>
      </c>
      <c r="B335" s="197" t="s">
        <v>331</v>
      </c>
      <c r="C335" s="196">
        <f t="shared" si="247"/>
        <v>330</v>
      </c>
      <c r="D335" s="172">
        <f t="shared" si="239"/>
        <v>4</v>
      </c>
      <c r="E335" s="185">
        <v>6</v>
      </c>
      <c r="F335" s="172">
        <f>F334</f>
        <v>155102001</v>
      </c>
      <c r="G335" s="172">
        <f>G334+1</f>
        <v>3</v>
      </c>
      <c r="H335" s="172" t="str">
        <f t="shared" si="248"/>
        <v>Gold</v>
      </c>
      <c r="I335" s="207">
        <f t="shared" si="243"/>
        <v>30000</v>
      </c>
    </row>
    <row r="336" spans="1:9" ht="16.5" customHeight="1" x14ac:dyDescent="0.3">
      <c r="A336" s="193" t="b">
        <v>1</v>
      </c>
      <c r="B336" s="195" t="s">
        <v>331</v>
      </c>
      <c r="C336" s="194">
        <f t="shared" si="247"/>
        <v>331</v>
      </c>
      <c r="D336" s="193">
        <f>D332</f>
        <v>4</v>
      </c>
      <c r="E336" s="194">
        <f t="shared" ref="E336:E365" si="249">E330</f>
        <v>10</v>
      </c>
      <c r="F336" s="193">
        <f>F330+1</f>
        <v>155102002</v>
      </c>
      <c r="G336" s="194">
        <f t="shared" ref="G336:H341" si="250">G330</f>
        <v>1</v>
      </c>
      <c r="H336" s="194" t="str">
        <f t="shared" si="250"/>
        <v>Gem</v>
      </c>
      <c r="I336" s="208">
        <f t="shared" si="243"/>
        <v>50</v>
      </c>
    </row>
    <row r="337" spans="1:9" ht="16.5" customHeight="1" x14ac:dyDescent="0.3">
      <c r="A337" s="193" t="b">
        <v>1</v>
      </c>
      <c r="B337" s="195" t="s">
        <v>331</v>
      </c>
      <c r="C337" s="194">
        <f t="shared" ref="C337:C341" si="251">C336+1</f>
        <v>332</v>
      </c>
      <c r="D337" s="193">
        <f t="shared" ref="D337:D347" si="252">D336</f>
        <v>4</v>
      </c>
      <c r="E337" s="194">
        <f t="shared" si="249"/>
        <v>10</v>
      </c>
      <c r="F337" s="193">
        <f>F336</f>
        <v>155102002</v>
      </c>
      <c r="G337" s="194">
        <f t="shared" si="250"/>
        <v>2</v>
      </c>
      <c r="H337" s="194" t="str">
        <f t="shared" si="250"/>
        <v>Gem</v>
      </c>
      <c r="I337" s="208">
        <f t="shared" si="243"/>
        <v>100</v>
      </c>
    </row>
    <row r="338" spans="1:9" ht="16.5" customHeight="1" x14ac:dyDescent="0.3">
      <c r="A338" s="193" t="b">
        <v>1</v>
      </c>
      <c r="B338" s="195" t="s">
        <v>331</v>
      </c>
      <c r="C338" s="194">
        <f t="shared" si="251"/>
        <v>333</v>
      </c>
      <c r="D338" s="193">
        <f t="shared" si="252"/>
        <v>4</v>
      </c>
      <c r="E338" s="194">
        <f t="shared" si="249"/>
        <v>10</v>
      </c>
      <c r="F338" s="193">
        <f>F337</f>
        <v>155102002</v>
      </c>
      <c r="G338" s="194">
        <f t="shared" si="250"/>
        <v>3</v>
      </c>
      <c r="H338" s="194" t="str">
        <f t="shared" si="250"/>
        <v>Gem</v>
      </c>
      <c r="I338" s="208">
        <f t="shared" si="243"/>
        <v>150</v>
      </c>
    </row>
    <row r="339" spans="1:9" ht="16.5" customHeight="1" x14ac:dyDescent="0.3">
      <c r="A339" s="193" t="b">
        <v>1</v>
      </c>
      <c r="B339" s="195" t="s">
        <v>331</v>
      </c>
      <c r="C339" s="194">
        <f t="shared" si="251"/>
        <v>334</v>
      </c>
      <c r="D339" s="193">
        <f t="shared" si="252"/>
        <v>4</v>
      </c>
      <c r="E339" s="194">
        <f t="shared" si="249"/>
        <v>6</v>
      </c>
      <c r="F339" s="193">
        <f>F338</f>
        <v>155102002</v>
      </c>
      <c r="G339" s="194">
        <f t="shared" si="250"/>
        <v>1</v>
      </c>
      <c r="H339" s="194" t="str">
        <f t="shared" si="250"/>
        <v>Gold</v>
      </c>
      <c r="I339" s="208">
        <f t="shared" si="243"/>
        <v>10000</v>
      </c>
    </row>
    <row r="340" spans="1:9" ht="16.5" customHeight="1" x14ac:dyDescent="0.3">
      <c r="A340" s="193" t="b">
        <v>1</v>
      </c>
      <c r="B340" s="195" t="s">
        <v>331</v>
      </c>
      <c r="C340" s="194">
        <f t="shared" si="251"/>
        <v>335</v>
      </c>
      <c r="D340" s="193">
        <f t="shared" si="252"/>
        <v>4</v>
      </c>
      <c r="E340" s="194">
        <f t="shared" si="249"/>
        <v>6</v>
      </c>
      <c r="F340" s="193">
        <f>F339</f>
        <v>155102002</v>
      </c>
      <c r="G340" s="194">
        <f t="shared" si="250"/>
        <v>2</v>
      </c>
      <c r="H340" s="194" t="str">
        <f t="shared" si="250"/>
        <v>Gold</v>
      </c>
      <c r="I340" s="208">
        <f t="shared" si="243"/>
        <v>20000</v>
      </c>
    </row>
    <row r="341" spans="1:9" ht="16.5" customHeight="1" x14ac:dyDescent="0.3">
      <c r="A341" s="193" t="b">
        <v>1</v>
      </c>
      <c r="B341" s="195" t="s">
        <v>331</v>
      </c>
      <c r="C341" s="194">
        <f t="shared" si="251"/>
        <v>336</v>
      </c>
      <c r="D341" s="193">
        <f t="shared" si="252"/>
        <v>4</v>
      </c>
      <c r="E341" s="194">
        <f t="shared" si="249"/>
        <v>6</v>
      </c>
      <c r="F341" s="193">
        <f>F340</f>
        <v>155102002</v>
      </c>
      <c r="G341" s="194">
        <f t="shared" si="250"/>
        <v>3</v>
      </c>
      <c r="H341" s="194" t="str">
        <f t="shared" si="250"/>
        <v>Gold</v>
      </c>
      <c r="I341" s="208">
        <f t="shared" si="243"/>
        <v>30000</v>
      </c>
    </row>
    <row r="342" spans="1:9" ht="16.5" customHeight="1" x14ac:dyDescent="0.3">
      <c r="A342" s="172" t="b">
        <v>1</v>
      </c>
      <c r="B342" s="196" t="s">
        <v>331</v>
      </c>
      <c r="C342" s="196">
        <f t="shared" ref="C342:C348" si="253">C341+1</f>
        <v>337</v>
      </c>
      <c r="D342" s="172">
        <f t="shared" si="252"/>
        <v>4</v>
      </c>
      <c r="E342" s="196">
        <f t="shared" si="249"/>
        <v>10</v>
      </c>
      <c r="F342" s="172">
        <f>F336+1</f>
        <v>155102003</v>
      </c>
      <c r="G342" s="196">
        <v>1</v>
      </c>
      <c r="H342" s="196" t="s">
        <v>104</v>
      </c>
      <c r="I342" s="207">
        <f t="shared" si="243"/>
        <v>50</v>
      </c>
    </row>
    <row r="343" spans="1:9" ht="16.5" customHeight="1" x14ac:dyDescent="0.3">
      <c r="A343" s="172" t="b">
        <v>1</v>
      </c>
      <c r="B343" s="197" t="s">
        <v>331</v>
      </c>
      <c r="C343" s="196">
        <f t="shared" si="253"/>
        <v>338</v>
      </c>
      <c r="D343" s="172">
        <f t="shared" si="252"/>
        <v>4</v>
      </c>
      <c r="E343" s="196">
        <f t="shared" si="249"/>
        <v>10</v>
      </c>
      <c r="F343" s="172">
        <f>F342</f>
        <v>155102003</v>
      </c>
      <c r="G343" s="196">
        <f>G342+1</f>
        <v>2</v>
      </c>
      <c r="H343" s="196" t="str">
        <f>H342</f>
        <v>Gem</v>
      </c>
      <c r="I343" s="207">
        <f t="shared" si="243"/>
        <v>100</v>
      </c>
    </row>
    <row r="344" spans="1:9" ht="16.5" customHeight="1" x14ac:dyDescent="0.3">
      <c r="A344" s="172" t="b">
        <v>1</v>
      </c>
      <c r="B344" s="197" t="s">
        <v>331</v>
      </c>
      <c r="C344" s="196">
        <f t="shared" si="253"/>
        <v>339</v>
      </c>
      <c r="D344" s="172">
        <f t="shared" si="252"/>
        <v>4</v>
      </c>
      <c r="E344" s="196">
        <f t="shared" si="249"/>
        <v>10</v>
      </c>
      <c r="F344" s="172">
        <f>F343</f>
        <v>155102003</v>
      </c>
      <c r="G344" s="196">
        <f>G343+1</f>
        <v>3</v>
      </c>
      <c r="H344" s="196" t="str">
        <f>H343</f>
        <v>Gem</v>
      </c>
      <c r="I344" s="207">
        <f t="shared" si="243"/>
        <v>150</v>
      </c>
    </row>
    <row r="345" spans="1:9" ht="16.5" customHeight="1" x14ac:dyDescent="0.3">
      <c r="A345" s="172" t="b">
        <v>1</v>
      </c>
      <c r="B345" s="196" t="s">
        <v>331</v>
      </c>
      <c r="C345" s="196">
        <f t="shared" si="253"/>
        <v>340</v>
      </c>
      <c r="D345" s="172">
        <f t="shared" si="252"/>
        <v>4</v>
      </c>
      <c r="E345" s="196">
        <f t="shared" si="249"/>
        <v>6</v>
      </c>
      <c r="F345" s="172">
        <f>F344</f>
        <v>155102003</v>
      </c>
      <c r="G345" s="196">
        <v>1</v>
      </c>
      <c r="H345" s="196" t="s">
        <v>341</v>
      </c>
      <c r="I345" s="207">
        <f t="shared" si="243"/>
        <v>10000</v>
      </c>
    </row>
    <row r="346" spans="1:9" ht="16.5" customHeight="1" x14ac:dyDescent="0.3">
      <c r="A346" s="172" t="b">
        <v>1</v>
      </c>
      <c r="B346" s="196" t="s">
        <v>331</v>
      </c>
      <c r="C346" s="196">
        <f t="shared" si="253"/>
        <v>341</v>
      </c>
      <c r="D346" s="172">
        <f t="shared" si="252"/>
        <v>4</v>
      </c>
      <c r="E346" s="196">
        <f t="shared" si="249"/>
        <v>6</v>
      </c>
      <c r="F346" s="172">
        <f>F345</f>
        <v>155102003</v>
      </c>
      <c r="G346" s="196">
        <f>G345+1</f>
        <v>2</v>
      </c>
      <c r="H346" s="196" t="str">
        <f t="shared" ref="H346:H347" si="254">H345</f>
        <v>Gold</v>
      </c>
      <c r="I346" s="207">
        <f t="shared" si="243"/>
        <v>20000</v>
      </c>
    </row>
    <row r="347" spans="1:9" ht="16.5" customHeight="1" x14ac:dyDescent="0.3">
      <c r="A347" s="172" t="b">
        <v>1</v>
      </c>
      <c r="B347" s="196" t="s">
        <v>331</v>
      </c>
      <c r="C347" s="196">
        <f t="shared" si="253"/>
        <v>342</v>
      </c>
      <c r="D347" s="172">
        <f t="shared" si="252"/>
        <v>4</v>
      </c>
      <c r="E347" s="196">
        <f t="shared" si="249"/>
        <v>6</v>
      </c>
      <c r="F347" s="172">
        <f>F346</f>
        <v>155102003</v>
      </c>
      <c r="G347" s="196">
        <f>G346+1</f>
        <v>3</v>
      </c>
      <c r="H347" s="196" t="str">
        <f t="shared" si="254"/>
        <v>Gold</v>
      </c>
      <c r="I347" s="207">
        <f t="shared" si="243"/>
        <v>30000</v>
      </c>
    </row>
    <row r="348" spans="1:9" ht="16.5" customHeight="1" x14ac:dyDescent="0.3">
      <c r="A348" s="193" t="b">
        <v>1</v>
      </c>
      <c r="B348" s="195" t="s">
        <v>331</v>
      </c>
      <c r="C348" s="194">
        <f t="shared" si="253"/>
        <v>343</v>
      </c>
      <c r="D348" s="193">
        <f>D344</f>
        <v>4</v>
      </c>
      <c r="E348" s="194">
        <f t="shared" si="249"/>
        <v>10</v>
      </c>
      <c r="F348" s="193">
        <f>F342+1</f>
        <v>155102004</v>
      </c>
      <c r="G348" s="194">
        <f t="shared" ref="G348:H353" si="255">G342</f>
        <v>1</v>
      </c>
      <c r="H348" s="194" t="str">
        <f t="shared" si="255"/>
        <v>Gem</v>
      </c>
      <c r="I348" s="208">
        <f t="shared" si="243"/>
        <v>50</v>
      </c>
    </row>
    <row r="349" spans="1:9" ht="16.5" customHeight="1" x14ac:dyDescent="0.3">
      <c r="A349" s="193" t="b">
        <v>1</v>
      </c>
      <c r="B349" s="195" t="s">
        <v>331</v>
      </c>
      <c r="C349" s="194">
        <f t="shared" ref="C349:C353" si="256">C348+1</f>
        <v>344</v>
      </c>
      <c r="D349" s="193">
        <f t="shared" ref="D349:D359" si="257">D348</f>
        <v>4</v>
      </c>
      <c r="E349" s="194">
        <f t="shared" si="249"/>
        <v>10</v>
      </c>
      <c r="F349" s="193">
        <f>F348</f>
        <v>155102004</v>
      </c>
      <c r="G349" s="194">
        <f t="shared" si="255"/>
        <v>2</v>
      </c>
      <c r="H349" s="194" t="str">
        <f t="shared" si="255"/>
        <v>Gem</v>
      </c>
      <c r="I349" s="208">
        <f t="shared" si="243"/>
        <v>100</v>
      </c>
    </row>
    <row r="350" spans="1:9" ht="16.5" customHeight="1" x14ac:dyDescent="0.3">
      <c r="A350" s="193" t="b">
        <v>1</v>
      </c>
      <c r="B350" s="195" t="s">
        <v>331</v>
      </c>
      <c r="C350" s="194">
        <f t="shared" si="256"/>
        <v>345</v>
      </c>
      <c r="D350" s="193">
        <f t="shared" si="257"/>
        <v>4</v>
      </c>
      <c r="E350" s="194">
        <f t="shared" si="249"/>
        <v>10</v>
      </c>
      <c r="F350" s="193">
        <f>F349</f>
        <v>155102004</v>
      </c>
      <c r="G350" s="194">
        <f t="shared" si="255"/>
        <v>3</v>
      </c>
      <c r="H350" s="194" t="str">
        <f t="shared" si="255"/>
        <v>Gem</v>
      </c>
      <c r="I350" s="208">
        <f t="shared" si="243"/>
        <v>150</v>
      </c>
    </row>
    <row r="351" spans="1:9" ht="16.5" customHeight="1" x14ac:dyDescent="0.3">
      <c r="A351" s="193" t="b">
        <v>1</v>
      </c>
      <c r="B351" s="195" t="s">
        <v>331</v>
      </c>
      <c r="C351" s="194">
        <f t="shared" si="256"/>
        <v>346</v>
      </c>
      <c r="D351" s="193">
        <f t="shared" si="257"/>
        <v>4</v>
      </c>
      <c r="E351" s="194">
        <f t="shared" si="249"/>
        <v>6</v>
      </c>
      <c r="F351" s="193">
        <f>F350</f>
        <v>155102004</v>
      </c>
      <c r="G351" s="194">
        <f t="shared" si="255"/>
        <v>1</v>
      </c>
      <c r="H351" s="194" t="str">
        <f t="shared" si="255"/>
        <v>Gold</v>
      </c>
      <c r="I351" s="208">
        <f t="shared" si="243"/>
        <v>10000</v>
      </c>
    </row>
    <row r="352" spans="1:9" ht="16.5" customHeight="1" x14ac:dyDescent="0.3">
      <c r="A352" s="193" t="b">
        <v>1</v>
      </c>
      <c r="B352" s="195" t="s">
        <v>331</v>
      </c>
      <c r="C352" s="194">
        <f t="shared" si="256"/>
        <v>347</v>
      </c>
      <c r="D352" s="193">
        <f t="shared" si="257"/>
        <v>4</v>
      </c>
      <c r="E352" s="194">
        <f t="shared" si="249"/>
        <v>6</v>
      </c>
      <c r="F352" s="193">
        <f>F351</f>
        <v>155102004</v>
      </c>
      <c r="G352" s="194">
        <f t="shared" si="255"/>
        <v>2</v>
      </c>
      <c r="H352" s="194" t="str">
        <f t="shared" si="255"/>
        <v>Gold</v>
      </c>
      <c r="I352" s="208">
        <f t="shared" si="243"/>
        <v>20000</v>
      </c>
    </row>
    <row r="353" spans="1:9" ht="16.5" customHeight="1" x14ac:dyDescent="0.3">
      <c r="A353" s="193" t="b">
        <v>1</v>
      </c>
      <c r="B353" s="195" t="s">
        <v>331</v>
      </c>
      <c r="C353" s="194">
        <f t="shared" si="256"/>
        <v>348</v>
      </c>
      <c r="D353" s="193">
        <f t="shared" si="257"/>
        <v>4</v>
      </c>
      <c r="E353" s="194">
        <f t="shared" si="249"/>
        <v>6</v>
      </c>
      <c r="F353" s="193">
        <f>F352</f>
        <v>155102004</v>
      </c>
      <c r="G353" s="194">
        <f t="shared" si="255"/>
        <v>3</v>
      </c>
      <c r="H353" s="194" t="str">
        <f t="shared" si="255"/>
        <v>Gold</v>
      </c>
      <c r="I353" s="208">
        <f t="shared" si="243"/>
        <v>30000</v>
      </c>
    </row>
    <row r="354" spans="1:9" ht="16.5" customHeight="1" x14ac:dyDescent="0.3">
      <c r="A354" s="172" t="b">
        <v>1</v>
      </c>
      <c r="B354" s="196" t="s">
        <v>331</v>
      </c>
      <c r="C354" s="196">
        <f t="shared" ref="C354:C360" si="258">C353+1</f>
        <v>349</v>
      </c>
      <c r="D354" s="172">
        <f t="shared" si="257"/>
        <v>4</v>
      </c>
      <c r="E354" s="196">
        <f t="shared" si="249"/>
        <v>10</v>
      </c>
      <c r="F354" s="172">
        <f>F348+1</f>
        <v>155102005</v>
      </c>
      <c r="G354" s="196">
        <v>1</v>
      </c>
      <c r="H354" s="196" t="s">
        <v>104</v>
      </c>
      <c r="I354" s="207">
        <f t="shared" si="243"/>
        <v>50</v>
      </c>
    </row>
    <row r="355" spans="1:9" ht="16.5" customHeight="1" x14ac:dyDescent="0.3">
      <c r="A355" s="172" t="b">
        <v>1</v>
      </c>
      <c r="B355" s="197" t="s">
        <v>331</v>
      </c>
      <c r="C355" s="196">
        <f t="shared" si="258"/>
        <v>350</v>
      </c>
      <c r="D355" s="172">
        <f t="shared" si="257"/>
        <v>4</v>
      </c>
      <c r="E355" s="196">
        <f t="shared" si="249"/>
        <v>10</v>
      </c>
      <c r="F355" s="172">
        <f>F354</f>
        <v>155102005</v>
      </c>
      <c r="G355" s="196">
        <f>G354+1</f>
        <v>2</v>
      </c>
      <c r="H355" s="196" t="str">
        <f>H354</f>
        <v>Gem</v>
      </c>
      <c r="I355" s="207">
        <f t="shared" si="243"/>
        <v>100</v>
      </c>
    </row>
    <row r="356" spans="1:9" ht="16.5" customHeight="1" x14ac:dyDescent="0.3">
      <c r="A356" s="172" t="b">
        <v>1</v>
      </c>
      <c r="B356" s="197" t="s">
        <v>331</v>
      </c>
      <c r="C356" s="196">
        <f t="shared" si="258"/>
        <v>351</v>
      </c>
      <c r="D356" s="172">
        <f t="shared" si="257"/>
        <v>4</v>
      </c>
      <c r="E356" s="196">
        <f t="shared" si="249"/>
        <v>10</v>
      </c>
      <c r="F356" s="172">
        <f>F355</f>
        <v>155102005</v>
      </c>
      <c r="G356" s="196">
        <f>G355+1</f>
        <v>3</v>
      </c>
      <c r="H356" s="196" t="str">
        <f>H355</f>
        <v>Gem</v>
      </c>
      <c r="I356" s="207">
        <f t="shared" si="243"/>
        <v>150</v>
      </c>
    </row>
    <row r="357" spans="1:9" ht="16.5" customHeight="1" x14ac:dyDescent="0.3">
      <c r="A357" s="172" t="b">
        <v>1</v>
      </c>
      <c r="B357" s="196" t="s">
        <v>331</v>
      </c>
      <c r="C357" s="196">
        <f t="shared" si="258"/>
        <v>352</v>
      </c>
      <c r="D357" s="172">
        <f t="shared" si="257"/>
        <v>4</v>
      </c>
      <c r="E357" s="196">
        <f t="shared" si="249"/>
        <v>6</v>
      </c>
      <c r="F357" s="172">
        <f>F356</f>
        <v>155102005</v>
      </c>
      <c r="G357" s="196">
        <v>1</v>
      </c>
      <c r="H357" s="196" t="s">
        <v>334</v>
      </c>
      <c r="I357" s="207">
        <f t="shared" si="243"/>
        <v>10000</v>
      </c>
    </row>
    <row r="358" spans="1:9" ht="16.5" customHeight="1" x14ac:dyDescent="0.3">
      <c r="A358" s="172" t="b">
        <v>1</v>
      </c>
      <c r="B358" s="196" t="s">
        <v>331</v>
      </c>
      <c r="C358" s="196">
        <f t="shared" si="258"/>
        <v>353</v>
      </c>
      <c r="D358" s="172">
        <f t="shared" si="257"/>
        <v>4</v>
      </c>
      <c r="E358" s="196">
        <f t="shared" si="249"/>
        <v>6</v>
      </c>
      <c r="F358" s="172">
        <f>F357</f>
        <v>155102005</v>
      </c>
      <c r="G358" s="196">
        <f>G357+1</f>
        <v>2</v>
      </c>
      <c r="H358" s="196" t="str">
        <f t="shared" ref="H358:H359" si="259">H357</f>
        <v>Gold</v>
      </c>
      <c r="I358" s="207">
        <f t="shared" si="243"/>
        <v>20000</v>
      </c>
    </row>
    <row r="359" spans="1:9" ht="16.5" customHeight="1" x14ac:dyDescent="0.3">
      <c r="A359" s="172" t="b">
        <v>1</v>
      </c>
      <c r="B359" s="196" t="s">
        <v>331</v>
      </c>
      <c r="C359" s="196">
        <f t="shared" si="258"/>
        <v>354</v>
      </c>
      <c r="D359" s="172">
        <f t="shared" si="257"/>
        <v>4</v>
      </c>
      <c r="E359" s="196">
        <f t="shared" si="249"/>
        <v>6</v>
      </c>
      <c r="F359" s="172">
        <f>F358</f>
        <v>155102005</v>
      </c>
      <c r="G359" s="196">
        <f>G358+1</f>
        <v>3</v>
      </c>
      <c r="H359" s="196" t="str">
        <f t="shared" si="259"/>
        <v>Gold</v>
      </c>
      <c r="I359" s="207">
        <f t="shared" si="243"/>
        <v>30000</v>
      </c>
    </row>
    <row r="360" spans="1:9" ht="16.5" customHeight="1" x14ac:dyDescent="0.3">
      <c r="A360" s="193" t="b">
        <v>1</v>
      </c>
      <c r="B360" s="195" t="s">
        <v>331</v>
      </c>
      <c r="C360" s="194">
        <f t="shared" si="258"/>
        <v>355</v>
      </c>
      <c r="D360" s="193">
        <f>D356</f>
        <v>4</v>
      </c>
      <c r="E360" s="194">
        <f t="shared" si="249"/>
        <v>10</v>
      </c>
      <c r="F360" s="193">
        <f>F354+1</f>
        <v>155102006</v>
      </c>
      <c r="G360" s="194">
        <f t="shared" ref="G360:H365" si="260">G354</f>
        <v>1</v>
      </c>
      <c r="H360" s="194" t="str">
        <f t="shared" si="260"/>
        <v>Gem</v>
      </c>
      <c r="I360" s="208">
        <f t="shared" si="243"/>
        <v>50</v>
      </c>
    </row>
    <row r="361" spans="1:9" ht="16.5" customHeight="1" x14ac:dyDescent="0.3">
      <c r="A361" s="193" t="b">
        <v>1</v>
      </c>
      <c r="B361" s="195" t="s">
        <v>331</v>
      </c>
      <c r="C361" s="194">
        <f t="shared" ref="C361:C365" si="261">C360+1</f>
        <v>356</v>
      </c>
      <c r="D361" s="193">
        <f t="shared" ref="D361:D368" si="262">D360</f>
        <v>4</v>
      </c>
      <c r="E361" s="194">
        <f t="shared" si="249"/>
        <v>10</v>
      </c>
      <c r="F361" s="193">
        <f>F360</f>
        <v>155102006</v>
      </c>
      <c r="G361" s="194">
        <f t="shared" si="260"/>
        <v>2</v>
      </c>
      <c r="H361" s="194" t="str">
        <f t="shared" si="260"/>
        <v>Gem</v>
      </c>
      <c r="I361" s="208">
        <f t="shared" si="243"/>
        <v>100</v>
      </c>
    </row>
    <row r="362" spans="1:9" ht="16.5" customHeight="1" x14ac:dyDescent="0.3">
      <c r="A362" s="193" t="b">
        <v>1</v>
      </c>
      <c r="B362" s="195" t="s">
        <v>331</v>
      </c>
      <c r="C362" s="194">
        <f t="shared" si="261"/>
        <v>357</v>
      </c>
      <c r="D362" s="193">
        <f t="shared" si="262"/>
        <v>4</v>
      </c>
      <c r="E362" s="194">
        <f t="shared" si="249"/>
        <v>10</v>
      </c>
      <c r="F362" s="193">
        <f>F361</f>
        <v>155102006</v>
      </c>
      <c r="G362" s="194">
        <f t="shared" si="260"/>
        <v>3</v>
      </c>
      <c r="H362" s="194" t="str">
        <f t="shared" si="260"/>
        <v>Gem</v>
      </c>
      <c r="I362" s="208">
        <f t="shared" si="243"/>
        <v>150</v>
      </c>
    </row>
    <row r="363" spans="1:9" ht="16.5" customHeight="1" x14ac:dyDescent="0.3">
      <c r="A363" s="193" t="b">
        <v>1</v>
      </c>
      <c r="B363" s="195" t="s">
        <v>331</v>
      </c>
      <c r="C363" s="194">
        <f t="shared" si="261"/>
        <v>358</v>
      </c>
      <c r="D363" s="193">
        <f t="shared" si="262"/>
        <v>4</v>
      </c>
      <c r="E363" s="194">
        <f t="shared" si="249"/>
        <v>6</v>
      </c>
      <c r="F363" s="193">
        <f>F362</f>
        <v>155102006</v>
      </c>
      <c r="G363" s="194">
        <f t="shared" si="260"/>
        <v>1</v>
      </c>
      <c r="H363" s="194" t="str">
        <f t="shared" si="260"/>
        <v>Gold</v>
      </c>
      <c r="I363" s="208">
        <f t="shared" si="243"/>
        <v>10000</v>
      </c>
    </row>
    <row r="364" spans="1:9" ht="16.5" customHeight="1" x14ac:dyDescent="0.3">
      <c r="A364" s="193" t="b">
        <v>1</v>
      </c>
      <c r="B364" s="195" t="s">
        <v>331</v>
      </c>
      <c r="C364" s="194">
        <f t="shared" si="261"/>
        <v>359</v>
      </c>
      <c r="D364" s="193">
        <f t="shared" si="262"/>
        <v>4</v>
      </c>
      <c r="E364" s="194">
        <f t="shared" si="249"/>
        <v>6</v>
      </c>
      <c r="F364" s="193">
        <f>F363</f>
        <v>155102006</v>
      </c>
      <c r="G364" s="194">
        <f t="shared" si="260"/>
        <v>2</v>
      </c>
      <c r="H364" s="194" t="str">
        <f t="shared" si="260"/>
        <v>Gold</v>
      </c>
      <c r="I364" s="208">
        <f t="shared" si="243"/>
        <v>20000</v>
      </c>
    </row>
    <row r="365" spans="1:9" ht="16.5" customHeight="1" x14ac:dyDescent="0.3">
      <c r="A365" s="193" t="b">
        <v>1</v>
      </c>
      <c r="B365" s="195" t="s">
        <v>331</v>
      </c>
      <c r="C365" s="194">
        <f t="shared" si="261"/>
        <v>360</v>
      </c>
      <c r="D365" s="193">
        <f t="shared" si="262"/>
        <v>4</v>
      </c>
      <c r="E365" s="194">
        <f t="shared" si="249"/>
        <v>6</v>
      </c>
      <c r="F365" s="193">
        <f>F364</f>
        <v>155102006</v>
      </c>
      <c r="G365" s="194">
        <f t="shared" si="260"/>
        <v>3</v>
      </c>
      <c r="H365" s="194" t="str">
        <f t="shared" si="260"/>
        <v>Gold</v>
      </c>
      <c r="I365" s="208">
        <f t="shared" si="243"/>
        <v>30000</v>
      </c>
    </row>
    <row r="366" spans="1:9" ht="16.5" customHeight="1" x14ac:dyDescent="0.3">
      <c r="A366" s="172" t="b">
        <v>1</v>
      </c>
      <c r="B366" s="197" t="s">
        <v>331</v>
      </c>
      <c r="C366" s="196">
        <f>C365+1</f>
        <v>361</v>
      </c>
      <c r="D366" s="172">
        <f t="shared" si="262"/>
        <v>4</v>
      </c>
      <c r="E366" s="185">
        <v>10</v>
      </c>
      <c r="F366" s="185">
        <v>155103001</v>
      </c>
      <c r="G366" s="185">
        <v>1</v>
      </c>
      <c r="H366" s="196" t="s">
        <v>104</v>
      </c>
      <c r="I366" s="207">
        <f t="shared" si="243"/>
        <v>50</v>
      </c>
    </row>
    <row r="367" spans="1:9" ht="16.5" customHeight="1" x14ac:dyDescent="0.3">
      <c r="A367" s="172" t="b">
        <v>1</v>
      </c>
      <c r="B367" s="197" t="s">
        <v>331</v>
      </c>
      <c r="C367" s="196">
        <f>C366+1</f>
        <v>362</v>
      </c>
      <c r="D367" s="172">
        <f t="shared" si="262"/>
        <v>4</v>
      </c>
      <c r="E367" s="185">
        <v>10</v>
      </c>
      <c r="F367" s="172">
        <f>F366</f>
        <v>155103001</v>
      </c>
      <c r="G367" s="196">
        <f>G366+1</f>
        <v>2</v>
      </c>
      <c r="H367" s="196" t="str">
        <f>H366</f>
        <v>Gem</v>
      </c>
      <c r="I367" s="207">
        <f t="shared" si="243"/>
        <v>100</v>
      </c>
    </row>
    <row r="368" spans="1:9" ht="16.5" customHeight="1" x14ac:dyDescent="0.3">
      <c r="A368" s="172" t="b">
        <v>1</v>
      </c>
      <c r="B368" s="197" t="s">
        <v>331</v>
      </c>
      <c r="C368" s="196">
        <f>C367+1</f>
        <v>363</v>
      </c>
      <c r="D368" s="172">
        <f t="shared" si="262"/>
        <v>4</v>
      </c>
      <c r="E368" s="185">
        <v>10</v>
      </c>
      <c r="F368" s="172">
        <f>F367</f>
        <v>155103001</v>
      </c>
      <c r="G368" s="196">
        <f>G367+1</f>
        <v>3</v>
      </c>
      <c r="H368" s="196" t="str">
        <f>H367</f>
        <v>Gem</v>
      </c>
      <c r="I368" s="207">
        <f t="shared" si="243"/>
        <v>150</v>
      </c>
    </row>
    <row r="369" spans="1:9" ht="16.5" customHeight="1" x14ac:dyDescent="0.3">
      <c r="A369" s="193" t="b">
        <v>1</v>
      </c>
      <c r="B369" s="195" t="s">
        <v>331</v>
      </c>
      <c r="C369" s="194">
        <f t="shared" ref="C369:C371" si="263">C368+1</f>
        <v>364</v>
      </c>
      <c r="D369" s="193">
        <f>D368</f>
        <v>4</v>
      </c>
      <c r="E369" s="194">
        <f t="shared" ref="E369:E401" si="264">E366</f>
        <v>10</v>
      </c>
      <c r="F369" s="193">
        <f>F366+1</f>
        <v>155103002</v>
      </c>
      <c r="G369" s="194">
        <f t="shared" ref="G369:H371" si="265">G366</f>
        <v>1</v>
      </c>
      <c r="H369" s="194" t="str">
        <f t="shared" si="265"/>
        <v>Gem</v>
      </c>
      <c r="I369" s="208">
        <f t="shared" si="243"/>
        <v>50</v>
      </c>
    </row>
    <row r="370" spans="1:9" ht="16.5" customHeight="1" x14ac:dyDescent="0.3">
      <c r="A370" s="193" t="b">
        <v>1</v>
      </c>
      <c r="B370" s="195" t="s">
        <v>331</v>
      </c>
      <c r="C370" s="194">
        <f t="shared" si="263"/>
        <v>365</v>
      </c>
      <c r="D370" s="193">
        <f t="shared" ref="D370:D374" si="266">D369</f>
        <v>4</v>
      </c>
      <c r="E370" s="194">
        <f t="shared" si="264"/>
        <v>10</v>
      </c>
      <c r="F370" s="193">
        <f>F369</f>
        <v>155103002</v>
      </c>
      <c r="G370" s="194">
        <f t="shared" si="265"/>
        <v>2</v>
      </c>
      <c r="H370" s="194" t="str">
        <f t="shared" si="265"/>
        <v>Gem</v>
      </c>
      <c r="I370" s="208">
        <f t="shared" si="243"/>
        <v>100</v>
      </c>
    </row>
    <row r="371" spans="1:9" ht="16.5" customHeight="1" x14ac:dyDescent="0.3">
      <c r="A371" s="193" t="b">
        <v>1</v>
      </c>
      <c r="B371" s="195" t="s">
        <v>331</v>
      </c>
      <c r="C371" s="194">
        <f t="shared" si="263"/>
        <v>366</v>
      </c>
      <c r="D371" s="193">
        <f t="shared" si="266"/>
        <v>4</v>
      </c>
      <c r="E371" s="194">
        <f t="shared" si="264"/>
        <v>10</v>
      </c>
      <c r="F371" s="193">
        <f>F370</f>
        <v>155103002</v>
      </c>
      <c r="G371" s="194">
        <f t="shared" si="265"/>
        <v>3</v>
      </c>
      <c r="H371" s="194" t="str">
        <f t="shared" si="265"/>
        <v>Gem</v>
      </c>
      <c r="I371" s="208">
        <f t="shared" si="243"/>
        <v>150</v>
      </c>
    </row>
    <row r="372" spans="1:9" ht="16.5" customHeight="1" x14ac:dyDescent="0.3">
      <c r="A372" s="172" t="b">
        <v>1</v>
      </c>
      <c r="B372" s="197" t="s">
        <v>331</v>
      </c>
      <c r="C372" s="196">
        <f>C371+1</f>
        <v>367</v>
      </c>
      <c r="D372" s="172">
        <f t="shared" si="266"/>
        <v>4</v>
      </c>
      <c r="E372" s="196">
        <f t="shared" si="264"/>
        <v>10</v>
      </c>
      <c r="F372" s="196">
        <f>F369+1</f>
        <v>155103003</v>
      </c>
      <c r="G372" s="196">
        <v>1</v>
      </c>
      <c r="H372" s="196" t="s">
        <v>104</v>
      </c>
      <c r="I372" s="207">
        <f t="shared" si="243"/>
        <v>50</v>
      </c>
    </row>
    <row r="373" spans="1:9" ht="16.5" customHeight="1" x14ac:dyDescent="0.3">
      <c r="A373" s="172" t="b">
        <v>1</v>
      </c>
      <c r="B373" s="197" t="s">
        <v>331</v>
      </c>
      <c r="C373" s="196">
        <f>C372+1</f>
        <v>368</v>
      </c>
      <c r="D373" s="172">
        <f t="shared" si="266"/>
        <v>4</v>
      </c>
      <c r="E373" s="172">
        <f t="shared" si="264"/>
        <v>10</v>
      </c>
      <c r="F373" s="172">
        <f>F372</f>
        <v>155103003</v>
      </c>
      <c r="G373" s="172">
        <f>G372+1</f>
        <v>2</v>
      </c>
      <c r="H373" s="172" t="str">
        <f>H372</f>
        <v>Gem</v>
      </c>
      <c r="I373" s="207">
        <f t="shared" si="243"/>
        <v>100</v>
      </c>
    </row>
    <row r="374" spans="1:9" ht="16.5" customHeight="1" x14ac:dyDescent="0.3">
      <c r="A374" s="172" t="b">
        <v>1</v>
      </c>
      <c r="B374" s="197" t="s">
        <v>331</v>
      </c>
      <c r="C374" s="196">
        <f>C373+1</f>
        <v>369</v>
      </c>
      <c r="D374" s="172">
        <f t="shared" si="266"/>
        <v>4</v>
      </c>
      <c r="E374" s="172">
        <f t="shared" si="264"/>
        <v>10</v>
      </c>
      <c r="F374" s="172">
        <f>F373</f>
        <v>155103003</v>
      </c>
      <c r="G374" s="172">
        <f>G373+1</f>
        <v>3</v>
      </c>
      <c r="H374" s="172" t="str">
        <f>H373</f>
        <v>Gem</v>
      </c>
      <c r="I374" s="207">
        <f t="shared" si="243"/>
        <v>150</v>
      </c>
    </row>
    <row r="375" spans="1:9" ht="16.5" customHeight="1" x14ac:dyDescent="0.3">
      <c r="A375" s="193" t="b">
        <v>1</v>
      </c>
      <c r="B375" s="195" t="s">
        <v>331</v>
      </c>
      <c r="C375" s="194">
        <f t="shared" ref="C375:C377" si="267">C374+1</f>
        <v>370</v>
      </c>
      <c r="D375" s="193">
        <f>D374</f>
        <v>4</v>
      </c>
      <c r="E375" s="194">
        <f t="shared" si="264"/>
        <v>10</v>
      </c>
      <c r="F375" s="193">
        <f>F372+1</f>
        <v>155103004</v>
      </c>
      <c r="G375" s="194">
        <f t="shared" ref="G375:H377" si="268">G372</f>
        <v>1</v>
      </c>
      <c r="H375" s="194" t="str">
        <f t="shared" si="268"/>
        <v>Gem</v>
      </c>
      <c r="I375" s="208">
        <f t="shared" si="243"/>
        <v>50</v>
      </c>
    </row>
    <row r="376" spans="1:9" ht="16.5" customHeight="1" x14ac:dyDescent="0.3">
      <c r="A376" s="193" t="b">
        <v>1</v>
      </c>
      <c r="B376" s="195" t="s">
        <v>331</v>
      </c>
      <c r="C376" s="194">
        <f t="shared" si="267"/>
        <v>371</v>
      </c>
      <c r="D376" s="193">
        <f t="shared" ref="D376:D380" si="269">D375</f>
        <v>4</v>
      </c>
      <c r="E376" s="194">
        <f t="shared" si="264"/>
        <v>10</v>
      </c>
      <c r="F376" s="193">
        <f>F375</f>
        <v>155103004</v>
      </c>
      <c r="G376" s="194">
        <f t="shared" si="268"/>
        <v>2</v>
      </c>
      <c r="H376" s="194" t="str">
        <f t="shared" si="268"/>
        <v>Gem</v>
      </c>
      <c r="I376" s="208">
        <f t="shared" si="243"/>
        <v>100</v>
      </c>
    </row>
    <row r="377" spans="1:9" ht="16.5" customHeight="1" x14ac:dyDescent="0.3">
      <c r="A377" s="193" t="b">
        <v>1</v>
      </c>
      <c r="B377" s="195" t="s">
        <v>331</v>
      </c>
      <c r="C377" s="194">
        <f t="shared" si="267"/>
        <v>372</v>
      </c>
      <c r="D377" s="193">
        <f t="shared" si="269"/>
        <v>4</v>
      </c>
      <c r="E377" s="194">
        <f t="shared" si="264"/>
        <v>10</v>
      </c>
      <c r="F377" s="193">
        <f>F376</f>
        <v>155103004</v>
      </c>
      <c r="G377" s="194">
        <f t="shared" si="268"/>
        <v>3</v>
      </c>
      <c r="H377" s="194" t="str">
        <f t="shared" si="268"/>
        <v>Gem</v>
      </c>
      <c r="I377" s="208">
        <f t="shared" si="243"/>
        <v>150</v>
      </c>
    </row>
    <row r="378" spans="1:9" ht="16.5" customHeight="1" x14ac:dyDescent="0.3">
      <c r="A378" s="176" t="b">
        <v>0</v>
      </c>
      <c r="B378" s="189" t="s">
        <v>331</v>
      </c>
      <c r="C378" s="190">
        <f>C377+1</f>
        <v>373</v>
      </c>
      <c r="D378" s="176">
        <f t="shared" si="269"/>
        <v>4</v>
      </c>
      <c r="E378" s="190">
        <f t="shared" si="264"/>
        <v>10</v>
      </c>
      <c r="F378" s="190">
        <f>F375+1</f>
        <v>155103005</v>
      </c>
      <c r="G378" s="190">
        <v>1</v>
      </c>
      <c r="H378" s="190" t="s">
        <v>104</v>
      </c>
      <c r="I378" s="205">
        <f t="shared" si="243"/>
        <v>50</v>
      </c>
    </row>
    <row r="379" spans="1:9" ht="16.5" customHeight="1" x14ac:dyDescent="0.3">
      <c r="A379" s="176" t="b">
        <v>0</v>
      </c>
      <c r="B379" s="189" t="s">
        <v>331</v>
      </c>
      <c r="C379" s="190">
        <f>C378+1</f>
        <v>374</v>
      </c>
      <c r="D379" s="176">
        <f t="shared" si="269"/>
        <v>4</v>
      </c>
      <c r="E379" s="176">
        <f t="shared" si="264"/>
        <v>10</v>
      </c>
      <c r="F379" s="176">
        <f>F378</f>
        <v>155103005</v>
      </c>
      <c r="G379" s="176">
        <f>G378+1</f>
        <v>2</v>
      </c>
      <c r="H379" s="176" t="str">
        <f>H378</f>
        <v>Gem</v>
      </c>
      <c r="I379" s="205">
        <f t="shared" si="243"/>
        <v>100</v>
      </c>
    </row>
    <row r="380" spans="1:9" ht="16.5" customHeight="1" x14ac:dyDescent="0.3">
      <c r="A380" s="176" t="b">
        <v>0</v>
      </c>
      <c r="B380" s="189" t="s">
        <v>331</v>
      </c>
      <c r="C380" s="190">
        <f>C379+1</f>
        <v>375</v>
      </c>
      <c r="D380" s="176">
        <f t="shared" si="269"/>
        <v>4</v>
      </c>
      <c r="E380" s="176">
        <f t="shared" si="264"/>
        <v>10</v>
      </c>
      <c r="F380" s="176">
        <f>F379</f>
        <v>155103005</v>
      </c>
      <c r="G380" s="176">
        <f>G379+1</f>
        <v>3</v>
      </c>
      <c r="H380" s="176" t="str">
        <f>H379</f>
        <v>Gem</v>
      </c>
      <c r="I380" s="205">
        <f t="shared" si="243"/>
        <v>150</v>
      </c>
    </row>
    <row r="381" spans="1:9" ht="16.5" customHeight="1" x14ac:dyDescent="0.3">
      <c r="A381" s="173" t="b">
        <v>0</v>
      </c>
      <c r="B381" s="191" t="s">
        <v>331</v>
      </c>
      <c r="C381" s="192">
        <f t="shared" ref="C381:C383" si="270">C380+1</f>
        <v>376</v>
      </c>
      <c r="D381" s="173">
        <f>D380</f>
        <v>4</v>
      </c>
      <c r="E381" s="192">
        <f t="shared" si="264"/>
        <v>10</v>
      </c>
      <c r="F381" s="173">
        <f>F378+1</f>
        <v>155103006</v>
      </c>
      <c r="G381" s="192">
        <f t="shared" ref="G381:H383" si="271">G378</f>
        <v>1</v>
      </c>
      <c r="H381" s="192" t="str">
        <f t="shared" si="271"/>
        <v>Gem</v>
      </c>
      <c r="I381" s="206">
        <f t="shared" si="243"/>
        <v>50</v>
      </c>
    </row>
    <row r="382" spans="1:9" ht="16.5" customHeight="1" x14ac:dyDescent="0.3">
      <c r="A382" s="173" t="b">
        <v>0</v>
      </c>
      <c r="B382" s="191" t="s">
        <v>331</v>
      </c>
      <c r="C382" s="192">
        <f t="shared" si="270"/>
        <v>377</v>
      </c>
      <c r="D382" s="173">
        <f t="shared" ref="D382:D386" si="272">D381</f>
        <v>4</v>
      </c>
      <c r="E382" s="192">
        <f t="shared" si="264"/>
        <v>10</v>
      </c>
      <c r="F382" s="173">
        <f>F381</f>
        <v>155103006</v>
      </c>
      <c r="G382" s="192">
        <f t="shared" si="271"/>
        <v>2</v>
      </c>
      <c r="H382" s="192" t="str">
        <f t="shared" si="271"/>
        <v>Gem</v>
      </c>
      <c r="I382" s="206">
        <f t="shared" si="243"/>
        <v>100</v>
      </c>
    </row>
    <row r="383" spans="1:9" ht="16.5" customHeight="1" x14ac:dyDescent="0.3">
      <c r="A383" s="173" t="b">
        <v>0</v>
      </c>
      <c r="B383" s="191" t="s">
        <v>331</v>
      </c>
      <c r="C383" s="192">
        <f t="shared" si="270"/>
        <v>378</v>
      </c>
      <c r="D383" s="173">
        <f t="shared" si="272"/>
        <v>4</v>
      </c>
      <c r="E383" s="192">
        <f t="shared" si="264"/>
        <v>10</v>
      </c>
      <c r="F383" s="173">
        <f>F382</f>
        <v>155103006</v>
      </c>
      <c r="G383" s="192">
        <f t="shared" si="271"/>
        <v>3</v>
      </c>
      <c r="H383" s="192" t="str">
        <f t="shared" si="271"/>
        <v>Gem</v>
      </c>
      <c r="I383" s="206">
        <f t="shared" si="243"/>
        <v>150</v>
      </c>
    </row>
    <row r="384" spans="1:9" ht="16.5" customHeight="1" x14ac:dyDescent="0.3">
      <c r="A384" s="176" t="b">
        <v>0</v>
      </c>
      <c r="B384" s="189" t="s">
        <v>331</v>
      </c>
      <c r="C384" s="190">
        <f>C383+1</f>
        <v>379</v>
      </c>
      <c r="D384" s="176">
        <f t="shared" si="272"/>
        <v>4</v>
      </c>
      <c r="E384" s="190">
        <f t="shared" si="264"/>
        <v>10</v>
      </c>
      <c r="F384" s="190">
        <f>F381+1</f>
        <v>155103007</v>
      </c>
      <c r="G384" s="190">
        <v>1</v>
      </c>
      <c r="H384" s="190" t="s">
        <v>104</v>
      </c>
      <c r="I384" s="205">
        <f t="shared" si="243"/>
        <v>50</v>
      </c>
    </row>
    <row r="385" spans="1:9" ht="16.5" customHeight="1" x14ac:dyDescent="0.3">
      <c r="A385" s="176" t="b">
        <v>0</v>
      </c>
      <c r="B385" s="189" t="s">
        <v>331</v>
      </c>
      <c r="C385" s="190">
        <f>C384+1</f>
        <v>380</v>
      </c>
      <c r="D385" s="176">
        <f t="shared" si="272"/>
        <v>4</v>
      </c>
      <c r="E385" s="176">
        <f t="shared" si="264"/>
        <v>10</v>
      </c>
      <c r="F385" s="176">
        <f>F384</f>
        <v>155103007</v>
      </c>
      <c r="G385" s="176">
        <f>G384+1</f>
        <v>2</v>
      </c>
      <c r="H385" s="176" t="str">
        <f>H384</f>
        <v>Gem</v>
      </c>
      <c r="I385" s="205">
        <f t="shared" si="243"/>
        <v>100</v>
      </c>
    </row>
    <row r="386" spans="1:9" ht="16.5" customHeight="1" x14ac:dyDescent="0.3">
      <c r="A386" s="176" t="b">
        <v>0</v>
      </c>
      <c r="B386" s="189" t="s">
        <v>331</v>
      </c>
      <c r="C386" s="190">
        <f>C385+1</f>
        <v>381</v>
      </c>
      <c r="D386" s="176">
        <f t="shared" si="272"/>
        <v>4</v>
      </c>
      <c r="E386" s="176">
        <f t="shared" si="264"/>
        <v>10</v>
      </c>
      <c r="F386" s="176">
        <f>F385</f>
        <v>155103007</v>
      </c>
      <c r="G386" s="176">
        <f>G385+1</f>
        <v>3</v>
      </c>
      <c r="H386" s="176" t="str">
        <f>H385</f>
        <v>Gem</v>
      </c>
      <c r="I386" s="205">
        <f t="shared" si="243"/>
        <v>150</v>
      </c>
    </row>
    <row r="387" spans="1:9" ht="16.5" customHeight="1" x14ac:dyDescent="0.3">
      <c r="A387" s="173" t="b">
        <v>0</v>
      </c>
      <c r="B387" s="191" t="s">
        <v>331</v>
      </c>
      <c r="C387" s="192">
        <f t="shared" ref="C387:C389" si="273">C386+1</f>
        <v>382</v>
      </c>
      <c r="D387" s="173">
        <f>D386</f>
        <v>4</v>
      </c>
      <c r="E387" s="192">
        <f t="shared" si="264"/>
        <v>10</v>
      </c>
      <c r="F387" s="173">
        <f>F384+1</f>
        <v>155103008</v>
      </c>
      <c r="G387" s="192">
        <f t="shared" ref="G387:H389" si="274">G384</f>
        <v>1</v>
      </c>
      <c r="H387" s="192" t="str">
        <f t="shared" si="274"/>
        <v>Gem</v>
      </c>
      <c r="I387" s="206">
        <f t="shared" si="243"/>
        <v>50</v>
      </c>
    </row>
    <row r="388" spans="1:9" ht="16.5" customHeight="1" x14ac:dyDescent="0.3">
      <c r="A388" s="173" t="b">
        <v>0</v>
      </c>
      <c r="B388" s="191" t="s">
        <v>331</v>
      </c>
      <c r="C388" s="192">
        <f t="shared" si="273"/>
        <v>383</v>
      </c>
      <c r="D388" s="173">
        <f t="shared" ref="D388:D392" si="275">D387</f>
        <v>4</v>
      </c>
      <c r="E388" s="192">
        <f t="shared" si="264"/>
        <v>10</v>
      </c>
      <c r="F388" s="173">
        <f>F387</f>
        <v>155103008</v>
      </c>
      <c r="G388" s="192">
        <f t="shared" si="274"/>
        <v>2</v>
      </c>
      <c r="H388" s="192" t="str">
        <f t="shared" si="274"/>
        <v>Gem</v>
      </c>
      <c r="I388" s="206">
        <f t="shared" si="243"/>
        <v>100</v>
      </c>
    </row>
    <row r="389" spans="1:9" ht="16.5" customHeight="1" x14ac:dyDescent="0.3">
      <c r="A389" s="173" t="b">
        <v>0</v>
      </c>
      <c r="B389" s="191" t="s">
        <v>331</v>
      </c>
      <c r="C389" s="192">
        <f t="shared" si="273"/>
        <v>384</v>
      </c>
      <c r="D389" s="173">
        <f t="shared" si="275"/>
        <v>4</v>
      </c>
      <c r="E389" s="192">
        <f t="shared" si="264"/>
        <v>10</v>
      </c>
      <c r="F389" s="173">
        <f>F388</f>
        <v>155103008</v>
      </c>
      <c r="G389" s="192">
        <f t="shared" si="274"/>
        <v>3</v>
      </c>
      <c r="H389" s="192" t="str">
        <f t="shared" si="274"/>
        <v>Gem</v>
      </c>
      <c r="I389" s="206">
        <f t="shared" si="243"/>
        <v>150</v>
      </c>
    </row>
    <row r="390" spans="1:9" ht="16.5" customHeight="1" x14ac:dyDescent="0.3">
      <c r="A390" s="176" t="b">
        <v>0</v>
      </c>
      <c r="B390" s="189" t="s">
        <v>331</v>
      </c>
      <c r="C390" s="190">
        <f>C389+1</f>
        <v>385</v>
      </c>
      <c r="D390" s="176">
        <f t="shared" si="275"/>
        <v>4</v>
      </c>
      <c r="E390" s="190">
        <f t="shared" si="264"/>
        <v>10</v>
      </c>
      <c r="F390" s="190">
        <f>F387+1</f>
        <v>155103009</v>
      </c>
      <c r="G390" s="190">
        <v>1</v>
      </c>
      <c r="H390" s="190" t="s">
        <v>104</v>
      </c>
      <c r="I390" s="205">
        <f t="shared" ref="I390:I453" si="276">IF(H390="Gem",$H$1*G390,IF(H390="Gold",$I$1*G390))</f>
        <v>50</v>
      </c>
    </row>
    <row r="391" spans="1:9" ht="16.5" customHeight="1" x14ac:dyDescent="0.3">
      <c r="A391" s="176" t="b">
        <v>0</v>
      </c>
      <c r="B391" s="189" t="s">
        <v>331</v>
      </c>
      <c r="C391" s="190">
        <f>C390+1</f>
        <v>386</v>
      </c>
      <c r="D391" s="176">
        <f t="shared" si="275"/>
        <v>4</v>
      </c>
      <c r="E391" s="176">
        <f t="shared" si="264"/>
        <v>10</v>
      </c>
      <c r="F391" s="176">
        <f>F390</f>
        <v>155103009</v>
      </c>
      <c r="G391" s="176">
        <f>G390+1</f>
        <v>2</v>
      </c>
      <c r="H391" s="176" t="str">
        <f>H390</f>
        <v>Gem</v>
      </c>
      <c r="I391" s="205">
        <f t="shared" si="276"/>
        <v>100</v>
      </c>
    </row>
    <row r="392" spans="1:9" ht="16.5" customHeight="1" x14ac:dyDescent="0.3">
      <c r="A392" s="176" t="b">
        <v>0</v>
      </c>
      <c r="B392" s="189" t="s">
        <v>331</v>
      </c>
      <c r="C392" s="190">
        <f>C391+1</f>
        <v>387</v>
      </c>
      <c r="D392" s="176">
        <f t="shared" si="275"/>
        <v>4</v>
      </c>
      <c r="E392" s="176">
        <f t="shared" si="264"/>
        <v>10</v>
      </c>
      <c r="F392" s="176">
        <f>F391</f>
        <v>155103009</v>
      </c>
      <c r="G392" s="176">
        <f>G391+1</f>
        <v>3</v>
      </c>
      <c r="H392" s="176" t="str">
        <f>H391</f>
        <v>Gem</v>
      </c>
      <c r="I392" s="205">
        <f t="shared" si="276"/>
        <v>150</v>
      </c>
    </row>
    <row r="393" spans="1:9" ht="16.5" customHeight="1" x14ac:dyDescent="0.3">
      <c r="A393" s="173" t="b">
        <v>0</v>
      </c>
      <c r="B393" s="191" t="s">
        <v>331</v>
      </c>
      <c r="C393" s="192">
        <f t="shared" ref="C393:C395" si="277">C392+1</f>
        <v>388</v>
      </c>
      <c r="D393" s="173">
        <f>D392</f>
        <v>4</v>
      </c>
      <c r="E393" s="192">
        <f t="shared" si="264"/>
        <v>10</v>
      </c>
      <c r="F393" s="173">
        <f>F390+1</f>
        <v>155103010</v>
      </c>
      <c r="G393" s="192">
        <f t="shared" ref="G393:H395" si="278">G390</f>
        <v>1</v>
      </c>
      <c r="H393" s="192" t="str">
        <f t="shared" si="278"/>
        <v>Gem</v>
      </c>
      <c r="I393" s="206">
        <f t="shared" si="276"/>
        <v>50</v>
      </c>
    </row>
    <row r="394" spans="1:9" ht="16.5" customHeight="1" x14ac:dyDescent="0.3">
      <c r="A394" s="173" t="b">
        <v>0</v>
      </c>
      <c r="B394" s="191" t="s">
        <v>331</v>
      </c>
      <c r="C394" s="192">
        <f t="shared" si="277"/>
        <v>389</v>
      </c>
      <c r="D394" s="173">
        <f t="shared" ref="D394:D398" si="279">D393</f>
        <v>4</v>
      </c>
      <c r="E394" s="192">
        <f t="shared" si="264"/>
        <v>10</v>
      </c>
      <c r="F394" s="173">
        <f>F393</f>
        <v>155103010</v>
      </c>
      <c r="G394" s="192">
        <f t="shared" si="278"/>
        <v>2</v>
      </c>
      <c r="H394" s="192" t="str">
        <f t="shared" si="278"/>
        <v>Gem</v>
      </c>
      <c r="I394" s="206">
        <f t="shared" si="276"/>
        <v>100</v>
      </c>
    </row>
    <row r="395" spans="1:9" ht="16.5" customHeight="1" x14ac:dyDescent="0.3">
      <c r="A395" s="173" t="b">
        <v>0</v>
      </c>
      <c r="B395" s="191" t="s">
        <v>331</v>
      </c>
      <c r="C395" s="192">
        <f t="shared" si="277"/>
        <v>390</v>
      </c>
      <c r="D395" s="173">
        <f t="shared" si="279"/>
        <v>4</v>
      </c>
      <c r="E395" s="192">
        <f t="shared" si="264"/>
        <v>10</v>
      </c>
      <c r="F395" s="173">
        <f>F394</f>
        <v>155103010</v>
      </c>
      <c r="G395" s="192">
        <f t="shared" si="278"/>
        <v>3</v>
      </c>
      <c r="H395" s="192" t="str">
        <f t="shared" si="278"/>
        <v>Gem</v>
      </c>
      <c r="I395" s="206">
        <f t="shared" si="276"/>
        <v>150</v>
      </c>
    </row>
    <row r="396" spans="1:9" ht="16.5" customHeight="1" x14ac:dyDescent="0.3">
      <c r="A396" s="176" t="b">
        <v>0</v>
      </c>
      <c r="B396" s="189" t="s">
        <v>331</v>
      </c>
      <c r="C396" s="190">
        <f>C395+1</f>
        <v>391</v>
      </c>
      <c r="D396" s="176">
        <f t="shared" si="279"/>
        <v>4</v>
      </c>
      <c r="E396" s="190">
        <f t="shared" si="264"/>
        <v>10</v>
      </c>
      <c r="F396" s="190">
        <f>F393+1</f>
        <v>155103011</v>
      </c>
      <c r="G396" s="190">
        <v>1</v>
      </c>
      <c r="H396" s="190" t="s">
        <v>104</v>
      </c>
      <c r="I396" s="205">
        <f t="shared" si="276"/>
        <v>50</v>
      </c>
    </row>
    <row r="397" spans="1:9" ht="16.5" customHeight="1" x14ac:dyDescent="0.3">
      <c r="A397" s="176" t="b">
        <v>0</v>
      </c>
      <c r="B397" s="189" t="s">
        <v>331</v>
      </c>
      <c r="C397" s="190">
        <f>C396+1</f>
        <v>392</v>
      </c>
      <c r="D397" s="176">
        <f t="shared" si="279"/>
        <v>4</v>
      </c>
      <c r="E397" s="176">
        <f t="shared" si="264"/>
        <v>10</v>
      </c>
      <c r="F397" s="176">
        <f>F396</f>
        <v>155103011</v>
      </c>
      <c r="G397" s="176">
        <f>G396+1</f>
        <v>2</v>
      </c>
      <c r="H397" s="176" t="str">
        <f>H396</f>
        <v>Gem</v>
      </c>
      <c r="I397" s="205">
        <f t="shared" si="276"/>
        <v>100</v>
      </c>
    </row>
    <row r="398" spans="1:9" ht="16.5" customHeight="1" x14ac:dyDescent="0.3">
      <c r="A398" s="176" t="b">
        <v>0</v>
      </c>
      <c r="B398" s="189" t="s">
        <v>331</v>
      </c>
      <c r="C398" s="190">
        <f>C397+1</f>
        <v>393</v>
      </c>
      <c r="D398" s="176">
        <f t="shared" si="279"/>
        <v>4</v>
      </c>
      <c r="E398" s="176">
        <f t="shared" si="264"/>
        <v>10</v>
      </c>
      <c r="F398" s="176">
        <f>F397</f>
        <v>155103011</v>
      </c>
      <c r="G398" s="176">
        <f>G397+1</f>
        <v>3</v>
      </c>
      <c r="H398" s="176" t="str">
        <f>H397</f>
        <v>Gem</v>
      </c>
      <c r="I398" s="205">
        <f t="shared" si="276"/>
        <v>150</v>
      </c>
    </row>
    <row r="399" spans="1:9" ht="16.5" customHeight="1" x14ac:dyDescent="0.3">
      <c r="A399" s="173" t="b">
        <v>0</v>
      </c>
      <c r="B399" s="191" t="s">
        <v>331</v>
      </c>
      <c r="C399" s="192">
        <f t="shared" ref="C399:C462" si="280">C398+1</f>
        <v>394</v>
      </c>
      <c r="D399" s="173">
        <f>D398</f>
        <v>4</v>
      </c>
      <c r="E399" s="192">
        <f t="shared" si="264"/>
        <v>10</v>
      </c>
      <c r="F399" s="173">
        <f>F396+1</f>
        <v>155103012</v>
      </c>
      <c r="G399" s="192">
        <f t="shared" ref="G399:H401" si="281">G396</f>
        <v>1</v>
      </c>
      <c r="H399" s="192" t="str">
        <f t="shared" si="281"/>
        <v>Gem</v>
      </c>
      <c r="I399" s="206">
        <f t="shared" si="276"/>
        <v>50</v>
      </c>
    </row>
    <row r="400" spans="1:9" ht="16.5" customHeight="1" x14ac:dyDescent="0.3">
      <c r="A400" s="173" t="b">
        <v>0</v>
      </c>
      <c r="B400" s="191" t="s">
        <v>331</v>
      </c>
      <c r="C400" s="192">
        <f t="shared" si="280"/>
        <v>395</v>
      </c>
      <c r="D400" s="173">
        <f t="shared" ref="D400:D401" si="282">D399</f>
        <v>4</v>
      </c>
      <c r="E400" s="192">
        <f t="shared" si="264"/>
        <v>10</v>
      </c>
      <c r="F400" s="173">
        <f>F399</f>
        <v>155103012</v>
      </c>
      <c r="G400" s="192">
        <f t="shared" si="281"/>
        <v>2</v>
      </c>
      <c r="H400" s="192" t="str">
        <f t="shared" si="281"/>
        <v>Gem</v>
      </c>
      <c r="I400" s="206">
        <f t="shared" si="276"/>
        <v>100</v>
      </c>
    </row>
    <row r="401" spans="1:9" ht="16.5" customHeight="1" x14ac:dyDescent="0.3">
      <c r="A401" s="173" t="b">
        <v>0</v>
      </c>
      <c r="B401" s="191" t="s">
        <v>331</v>
      </c>
      <c r="C401" s="192">
        <f t="shared" si="280"/>
        <v>396</v>
      </c>
      <c r="D401" s="173">
        <f t="shared" si="282"/>
        <v>4</v>
      </c>
      <c r="E401" s="192">
        <f t="shared" si="264"/>
        <v>10</v>
      </c>
      <c r="F401" s="173">
        <f>F400</f>
        <v>155103012</v>
      </c>
      <c r="G401" s="192">
        <f t="shared" si="281"/>
        <v>3</v>
      </c>
      <c r="H401" s="192" t="str">
        <f t="shared" si="281"/>
        <v>Gem</v>
      </c>
      <c r="I401" s="206">
        <f t="shared" si="276"/>
        <v>150</v>
      </c>
    </row>
    <row r="402" spans="1:9" ht="16.5" customHeight="1" x14ac:dyDescent="0.3">
      <c r="A402" s="168" t="b">
        <v>1</v>
      </c>
      <c r="B402" s="184" t="s">
        <v>416</v>
      </c>
      <c r="C402" s="184">
        <f t="shared" si="280"/>
        <v>397</v>
      </c>
      <c r="D402" s="186">
        <v>5</v>
      </c>
      <c r="E402" s="185">
        <v>10</v>
      </c>
      <c r="F402" s="186">
        <v>155101001</v>
      </c>
      <c r="G402" s="185">
        <v>1</v>
      </c>
      <c r="H402" s="185" t="s">
        <v>104</v>
      </c>
      <c r="I402" s="203">
        <f t="shared" si="276"/>
        <v>50</v>
      </c>
    </row>
    <row r="403" spans="1:9" ht="16.5" customHeight="1" x14ac:dyDescent="0.3">
      <c r="A403" s="168" t="b">
        <v>1</v>
      </c>
      <c r="B403" s="183" t="s">
        <v>332</v>
      </c>
      <c r="C403" s="184">
        <f t="shared" si="280"/>
        <v>398</v>
      </c>
      <c r="D403" s="168">
        <f t="shared" ref="D403:D419" si="283">D402</f>
        <v>5</v>
      </c>
      <c r="E403" s="185">
        <v>10</v>
      </c>
      <c r="F403" s="168">
        <f>F402</f>
        <v>155101001</v>
      </c>
      <c r="G403" s="184">
        <f>G402+1</f>
        <v>2</v>
      </c>
      <c r="H403" s="184" t="str">
        <f>H402</f>
        <v>Gem</v>
      </c>
      <c r="I403" s="203">
        <f t="shared" si="276"/>
        <v>100</v>
      </c>
    </row>
    <row r="404" spans="1:9" ht="16.5" customHeight="1" x14ac:dyDescent="0.3">
      <c r="A404" s="168" t="b">
        <v>1</v>
      </c>
      <c r="B404" s="183" t="s">
        <v>332</v>
      </c>
      <c r="C404" s="184">
        <f t="shared" si="280"/>
        <v>399</v>
      </c>
      <c r="D404" s="168">
        <f t="shared" si="283"/>
        <v>5</v>
      </c>
      <c r="E404" s="185">
        <v>10</v>
      </c>
      <c r="F404" s="168">
        <f>F403</f>
        <v>155101001</v>
      </c>
      <c r="G404" s="184">
        <f>G403+1</f>
        <v>3</v>
      </c>
      <c r="H404" s="184" t="str">
        <f>H403</f>
        <v>Gem</v>
      </c>
      <c r="I404" s="203">
        <f t="shared" si="276"/>
        <v>150</v>
      </c>
    </row>
    <row r="405" spans="1:9" ht="16.5" customHeight="1" x14ac:dyDescent="0.3">
      <c r="A405" s="168" t="b">
        <v>1</v>
      </c>
      <c r="B405" s="183" t="s">
        <v>332</v>
      </c>
      <c r="C405" s="184">
        <f t="shared" si="280"/>
        <v>400</v>
      </c>
      <c r="D405" s="168">
        <f t="shared" si="283"/>
        <v>5</v>
      </c>
      <c r="E405" s="185">
        <v>6</v>
      </c>
      <c r="F405" s="168">
        <f>F404</f>
        <v>155101001</v>
      </c>
      <c r="G405" s="185">
        <v>1</v>
      </c>
      <c r="H405" s="185" t="s">
        <v>334</v>
      </c>
      <c r="I405" s="203">
        <f t="shared" si="276"/>
        <v>10000</v>
      </c>
    </row>
    <row r="406" spans="1:9" ht="16.5" customHeight="1" x14ac:dyDescent="0.3">
      <c r="A406" s="168" t="b">
        <v>1</v>
      </c>
      <c r="B406" s="183" t="s">
        <v>332</v>
      </c>
      <c r="C406" s="184">
        <f t="shared" si="280"/>
        <v>401</v>
      </c>
      <c r="D406" s="168">
        <f t="shared" si="283"/>
        <v>5</v>
      </c>
      <c r="E406" s="185">
        <v>6</v>
      </c>
      <c r="F406" s="168">
        <f>F405</f>
        <v>155101001</v>
      </c>
      <c r="G406" s="184">
        <f>G405+1</f>
        <v>2</v>
      </c>
      <c r="H406" s="184" t="str">
        <f t="shared" ref="H406:H407" si="284">H405</f>
        <v>Gold</v>
      </c>
      <c r="I406" s="203">
        <f t="shared" si="276"/>
        <v>20000</v>
      </c>
    </row>
    <row r="407" spans="1:9" ht="16.5" customHeight="1" x14ac:dyDescent="0.3">
      <c r="A407" s="168" t="b">
        <v>1</v>
      </c>
      <c r="B407" s="183" t="s">
        <v>332</v>
      </c>
      <c r="C407" s="184">
        <f t="shared" si="280"/>
        <v>402</v>
      </c>
      <c r="D407" s="168">
        <f t="shared" si="283"/>
        <v>5</v>
      </c>
      <c r="E407" s="185">
        <v>6</v>
      </c>
      <c r="F407" s="168">
        <f>F406</f>
        <v>155101001</v>
      </c>
      <c r="G407" s="184">
        <f>G406+1</f>
        <v>3</v>
      </c>
      <c r="H407" s="184" t="str">
        <f t="shared" si="284"/>
        <v>Gold</v>
      </c>
      <c r="I407" s="203">
        <f t="shared" si="276"/>
        <v>30000</v>
      </c>
    </row>
    <row r="408" spans="1:9" ht="16.5" customHeight="1" x14ac:dyDescent="0.3">
      <c r="A408" s="164" t="b">
        <v>1</v>
      </c>
      <c r="B408" s="187" t="s">
        <v>332</v>
      </c>
      <c r="C408" s="164">
        <f t="shared" si="280"/>
        <v>403</v>
      </c>
      <c r="D408" s="164">
        <f>D404</f>
        <v>5</v>
      </c>
      <c r="E408" s="188">
        <f>E402</f>
        <v>10</v>
      </c>
      <c r="F408" s="164">
        <f>F402+1</f>
        <v>155101002</v>
      </c>
      <c r="G408" s="188">
        <f>G402</f>
        <v>1</v>
      </c>
      <c r="H408" s="188" t="str">
        <f>H402</f>
        <v>Gem</v>
      </c>
      <c r="I408" s="204">
        <f t="shared" si="276"/>
        <v>50</v>
      </c>
    </row>
    <row r="409" spans="1:9" ht="16.5" customHeight="1" x14ac:dyDescent="0.3">
      <c r="A409" s="164" t="b">
        <v>1</v>
      </c>
      <c r="B409" s="187" t="s">
        <v>332</v>
      </c>
      <c r="C409" s="188">
        <f t="shared" si="280"/>
        <v>404</v>
      </c>
      <c r="D409" s="164">
        <f t="shared" si="283"/>
        <v>5</v>
      </c>
      <c r="E409" s="188">
        <f t="shared" ref="E409:E413" si="285">E403</f>
        <v>10</v>
      </c>
      <c r="F409" s="164">
        <f>F408</f>
        <v>155101002</v>
      </c>
      <c r="G409" s="188">
        <f t="shared" ref="G409:H409" si="286">G403</f>
        <v>2</v>
      </c>
      <c r="H409" s="188" t="str">
        <f t="shared" si="286"/>
        <v>Gem</v>
      </c>
      <c r="I409" s="204">
        <f t="shared" si="276"/>
        <v>100</v>
      </c>
    </row>
    <row r="410" spans="1:9" ht="16.5" customHeight="1" x14ac:dyDescent="0.3">
      <c r="A410" s="164" t="b">
        <v>1</v>
      </c>
      <c r="B410" s="187" t="s">
        <v>332</v>
      </c>
      <c r="C410" s="188">
        <f t="shared" si="280"/>
        <v>405</v>
      </c>
      <c r="D410" s="164">
        <f t="shared" si="283"/>
        <v>5</v>
      </c>
      <c r="E410" s="188">
        <f t="shared" si="285"/>
        <v>10</v>
      </c>
      <c r="F410" s="164">
        <f>F409</f>
        <v>155101002</v>
      </c>
      <c r="G410" s="188">
        <f t="shared" ref="G410:H410" si="287">G404</f>
        <v>3</v>
      </c>
      <c r="H410" s="188" t="str">
        <f t="shared" si="287"/>
        <v>Gem</v>
      </c>
      <c r="I410" s="204">
        <f t="shared" si="276"/>
        <v>150</v>
      </c>
    </row>
    <row r="411" spans="1:9" ht="16.5" customHeight="1" x14ac:dyDescent="0.3">
      <c r="A411" s="164" t="b">
        <v>1</v>
      </c>
      <c r="B411" s="187" t="s">
        <v>332</v>
      </c>
      <c r="C411" s="188">
        <f t="shared" si="280"/>
        <v>406</v>
      </c>
      <c r="D411" s="164">
        <f t="shared" si="283"/>
        <v>5</v>
      </c>
      <c r="E411" s="188">
        <f t="shared" si="285"/>
        <v>6</v>
      </c>
      <c r="F411" s="164">
        <f>F410</f>
        <v>155101002</v>
      </c>
      <c r="G411" s="188">
        <f t="shared" ref="G411:H411" si="288">G405</f>
        <v>1</v>
      </c>
      <c r="H411" s="188" t="str">
        <f t="shared" si="288"/>
        <v>Gold</v>
      </c>
      <c r="I411" s="204">
        <f t="shared" si="276"/>
        <v>10000</v>
      </c>
    </row>
    <row r="412" spans="1:9" ht="16.5" customHeight="1" x14ac:dyDescent="0.3">
      <c r="A412" s="164" t="b">
        <v>1</v>
      </c>
      <c r="B412" s="187" t="s">
        <v>332</v>
      </c>
      <c r="C412" s="188">
        <f t="shared" si="280"/>
        <v>407</v>
      </c>
      <c r="D412" s="164">
        <f t="shared" si="283"/>
        <v>5</v>
      </c>
      <c r="E412" s="188">
        <f t="shared" si="285"/>
        <v>6</v>
      </c>
      <c r="F412" s="164">
        <f>F411</f>
        <v>155101002</v>
      </c>
      <c r="G412" s="188">
        <f t="shared" ref="G412:H412" si="289">G406</f>
        <v>2</v>
      </c>
      <c r="H412" s="188" t="str">
        <f t="shared" si="289"/>
        <v>Gold</v>
      </c>
      <c r="I412" s="204">
        <f t="shared" si="276"/>
        <v>20000</v>
      </c>
    </row>
    <row r="413" spans="1:9" ht="16.5" customHeight="1" x14ac:dyDescent="0.3">
      <c r="A413" s="164" t="b">
        <v>1</v>
      </c>
      <c r="B413" s="187" t="s">
        <v>332</v>
      </c>
      <c r="C413" s="188">
        <f t="shared" si="280"/>
        <v>408</v>
      </c>
      <c r="D413" s="164">
        <f t="shared" si="283"/>
        <v>5</v>
      </c>
      <c r="E413" s="188">
        <f t="shared" si="285"/>
        <v>6</v>
      </c>
      <c r="F413" s="164">
        <f>F412</f>
        <v>155101002</v>
      </c>
      <c r="G413" s="188">
        <f t="shared" ref="G413:H413" si="290">G407</f>
        <v>3</v>
      </c>
      <c r="H413" s="188" t="str">
        <f t="shared" si="290"/>
        <v>Gold</v>
      </c>
      <c r="I413" s="204">
        <f t="shared" si="276"/>
        <v>30000</v>
      </c>
    </row>
    <row r="414" spans="1:9" ht="16.5" customHeight="1" x14ac:dyDescent="0.3">
      <c r="A414" s="168" t="b">
        <v>1</v>
      </c>
      <c r="B414" s="183" t="s">
        <v>332</v>
      </c>
      <c r="C414" s="184">
        <f t="shared" si="280"/>
        <v>409</v>
      </c>
      <c r="D414" s="168">
        <f t="shared" si="283"/>
        <v>5</v>
      </c>
      <c r="E414" s="184">
        <f>E408</f>
        <v>10</v>
      </c>
      <c r="F414" s="184">
        <f>F408+1</f>
        <v>155101003</v>
      </c>
      <c r="G414" s="184">
        <v>1</v>
      </c>
      <c r="H414" s="184" t="s">
        <v>104</v>
      </c>
      <c r="I414" s="203">
        <f t="shared" si="276"/>
        <v>50</v>
      </c>
    </row>
    <row r="415" spans="1:9" ht="16.5" customHeight="1" x14ac:dyDescent="0.3">
      <c r="A415" s="168" t="b">
        <v>1</v>
      </c>
      <c r="B415" s="183" t="s">
        <v>332</v>
      </c>
      <c r="C415" s="184">
        <f t="shared" si="280"/>
        <v>410</v>
      </c>
      <c r="D415" s="168">
        <f t="shared" si="283"/>
        <v>5</v>
      </c>
      <c r="E415" s="168">
        <f t="shared" ref="E415:E419" si="291">E409</f>
        <v>10</v>
      </c>
      <c r="F415" s="168">
        <f>F414</f>
        <v>155101003</v>
      </c>
      <c r="G415" s="168">
        <f>G414+1</f>
        <v>2</v>
      </c>
      <c r="H415" s="168" t="str">
        <f>H414</f>
        <v>Gem</v>
      </c>
      <c r="I415" s="203">
        <f t="shared" si="276"/>
        <v>100</v>
      </c>
    </row>
    <row r="416" spans="1:9" ht="16.5" customHeight="1" x14ac:dyDescent="0.3">
      <c r="A416" s="168" t="b">
        <v>1</v>
      </c>
      <c r="B416" s="183" t="s">
        <v>332</v>
      </c>
      <c r="C416" s="184">
        <f t="shared" si="280"/>
        <v>411</v>
      </c>
      <c r="D416" s="168">
        <f t="shared" si="283"/>
        <v>5</v>
      </c>
      <c r="E416" s="168">
        <f t="shared" si="291"/>
        <v>10</v>
      </c>
      <c r="F416" s="168">
        <f>F415</f>
        <v>155101003</v>
      </c>
      <c r="G416" s="168">
        <f>G415+1</f>
        <v>3</v>
      </c>
      <c r="H416" s="168" t="str">
        <f>H415</f>
        <v>Gem</v>
      </c>
      <c r="I416" s="203">
        <f t="shared" si="276"/>
        <v>150</v>
      </c>
    </row>
    <row r="417" spans="1:9" ht="16.5" customHeight="1" x14ac:dyDescent="0.3">
      <c r="A417" s="168" t="b">
        <v>1</v>
      </c>
      <c r="B417" s="183" t="s">
        <v>332</v>
      </c>
      <c r="C417" s="184">
        <f t="shared" si="280"/>
        <v>412</v>
      </c>
      <c r="D417" s="168">
        <f t="shared" si="283"/>
        <v>5</v>
      </c>
      <c r="E417" s="168">
        <f t="shared" si="291"/>
        <v>6</v>
      </c>
      <c r="F417" s="168">
        <f>F416</f>
        <v>155101003</v>
      </c>
      <c r="G417" s="168">
        <v>1</v>
      </c>
      <c r="H417" s="168" t="s">
        <v>334</v>
      </c>
      <c r="I417" s="203">
        <f t="shared" si="276"/>
        <v>10000</v>
      </c>
    </row>
    <row r="418" spans="1:9" ht="16.5" customHeight="1" x14ac:dyDescent="0.3">
      <c r="A418" s="168" t="b">
        <v>1</v>
      </c>
      <c r="B418" s="183" t="s">
        <v>332</v>
      </c>
      <c r="C418" s="184">
        <f t="shared" si="280"/>
        <v>413</v>
      </c>
      <c r="D418" s="168">
        <f t="shared" si="283"/>
        <v>5</v>
      </c>
      <c r="E418" s="168">
        <f t="shared" si="291"/>
        <v>6</v>
      </c>
      <c r="F418" s="168">
        <f>F417</f>
        <v>155101003</v>
      </c>
      <c r="G418" s="168">
        <f>G417+1</f>
        <v>2</v>
      </c>
      <c r="H418" s="168" t="str">
        <f t="shared" ref="H418:H419" si="292">H417</f>
        <v>Gold</v>
      </c>
      <c r="I418" s="203">
        <f t="shared" si="276"/>
        <v>20000</v>
      </c>
    </row>
    <row r="419" spans="1:9" ht="16.5" customHeight="1" x14ac:dyDescent="0.3">
      <c r="A419" s="168" t="b">
        <v>1</v>
      </c>
      <c r="B419" s="183" t="s">
        <v>332</v>
      </c>
      <c r="C419" s="184">
        <f t="shared" si="280"/>
        <v>414</v>
      </c>
      <c r="D419" s="168">
        <f t="shared" si="283"/>
        <v>5</v>
      </c>
      <c r="E419" s="168">
        <f t="shared" si="291"/>
        <v>6</v>
      </c>
      <c r="F419" s="168">
        <f>F418</f>
        <v>155101003</v>
      </c>
      <c r="G419" s="168">
        <f>G418+1</f>
        <v>3</v>
      </c>
      <c r="H419" s="168" t="str">
        <f t="shared" si="292"/>
        <v>Gold</v>
      </c>
      <c r="I419" s="203">
        <f t="shared" si="276"/>
        <v>30000</v>
      </c>
    </row>
    <row r="420" spans="1:9" ht="16.5" customHeight="1" x14ac:dyDescent="0.3">
      <c r="A420" s="164" t="b">
        <v>1</v>
      </c>
      <c r="B420" s="187" t="s">
        <v>332</v>
      </c>
      <c r="C420" s="164">
        <f t="shared" si="280"/>
        <v>415</v>
      </c>
      <c r="D420" s="164">
        <f>D416</f>
        <v>5</v>
      </c>
      <c r="E420" s="188">
        <f>E414</f>
        <v>10</v>
      </c>
      <c r="F420" s="164">
        <f>F414+1</f>
        <v>155101004</v>
      </c>
      <c r="G420" s="188">
        <f>G414</f>
        <v>1</v>
      </c>
      <c r="H420" s="188" t="str">
        <f>H414</f>
        <v>Gem</v>
      </c>
      <c r="I420" s="204">
        <f t="shared" si="276"/>
        <v>50</v>
      </c>
    </row>
    <row r="421" spans="1:9" ht="16.5" customHeight="1" x14ac:dyDescent="0.3">
      <c r="A421" s="164" t="b">
        <v>1</v>
      </c>
      <c r="B421" s="187" t="s">
        <v>332</v>
      </c>
      <c r="C421" s="188">
        <f t="shared" si="280"/>
        <v>416</v>
      </c>
      <c r="D421" s="164">
        <f t="shared" ref="D421:D431" si="293">D420</f>
        <v>5</v>
      </c>
      <c r="E421" s="188">
        <f t="shared" ref="E421:E425" si="294">E415</f>
        <v>10</v>
      </c>
      <c r="F421" s="164">
        <f>F420</f>
        <v>155101004</v>
      </c>
      <c r="G421" s="188">
        <f t="shared" ref="G421:H421" si="295">G415</f>
        <v>2</v>
      </c>
      <c r="H421" s="188" t="str">
        <f t="shared" si="295"/>
        <v>Gem</v>
      </c>
      <c r="I421" s="204">
        <f t="shared" si="276"/>
        <v>100</v>
      </c>
    </row>
    <row r="422" spans="1:9" ht="16.5" customHeight="1" x14ac:dyDescent="0.3">
      <c r="A422" s="164" t="b">
        <v>1</v>
      </c>
      <c r="B422" s="187" t="s">
        <v>332</v>
      </c>
      <c r="C422" s="188">
        <f t="shared" si="280"/>
        <v>417</v>
      </c>
      <c r="D422" s="164">
        <f t="shared" si="293"/>
        <v>5</v>
      </c>
      <c r="E422" s="188">
        <f t="shared" si="294"/>
        <v>10</v>
      </c>
      <c r="F422" s="164">
        <f>F421</f>
        <v>155101004</v>
      </c>
      <c r="G422" s="188">
        <f t="shared" ref="G422:H422" si="296">G416</f>
        <v>3</v>
      </c>
      <c r="H422" s="188" t="str">
        <f t="shared" si="296"/>
        <v>Gem</v>
      </c>
      <c r="I422" s="204">
        <f t="shared" si="276"/>
        <v>150</v>
      </c>
    </row>
    <row r="423" spans="1:9" ht="16.5" customHeight="1" x14ac:dyDescent="0.3">
      <c r="A423" s="164" t="b">
        <v>1</v>
      </c>
      <c r="B423" s="187" t="s">
        <v>332</v>
      </c>
      <c r="C423" s="188">
        <f t="shared" si="280"/>
        <v>418</v>
      </c>
      <c r="D423" s="164">
        <f t="shared" si="293"/>
        <v>5</v>
      </c>
      <c r="E423" s="188">
        <f t="shared" si="294"/>
        <v>6</v>
      </c>
      <c r="F423" s="164">
        <f>F422</f>
        <v>155101004</v>
      </c>
      <c r="G423" s="188">
        <f t="shared" ref="G423:H423" si="297">G417</f>
        <v>1</v>
      </c>
      <c r="H423" s="188" t="str">
        <f t="shared" si="297"/>
        <v>Gold</v>
      </c>
      <c r="I423" s="204">
        <f t="shared" si="276"/>
        <v>10000</v>
      </c>
    </row>
    <row r="424" spans="1:9" ht="16.5" customHeight="1" x14ac:dyDescent="0.3">
      <c r="A424" s="164" t="b">
        <v>1</v>
      </c>
      <c r="B424" s="187" t="s">
        <v>332</v>
      </c>
      <c r="C424" s="188">
        <f t="shared" si="280"/>
        <v>419</v>
      </c>
      <c r="D424" s="164">
        <f t="shared" si="293"/>
        <v>5</v>
      </c>
      <c r="E424" s="188">
        <f t="shared" si="294"/>
        <v>6</v>
      </c>
      <c r="F424" s="164">
        <f>F423</f>
        <v>155101004</v>
      </c>
      <c r="G424" s="188">
        <f t="shared" ref="G424:H424" si="298">G418</f>
        <v>2</v>
      </c>
      <c r="H424" s="188" t="str">
        <f t="shared" si="298"/>
        <v>Gold</v>
      </c>
      <c r="I424" s="204">
        <f t="shared" si="276"/>
        <v>20000</v>
      </c>
    </row>
    <row r="425" spans="1:9" ht="16.5" customHeight="1" x14ac:dyDescent="0.3">
      <c r="A425" s="164" t="b">
        <v>1</v>
      </c>
      <c r="B425" s="187" t="s">
        <v>332</v>
      </c>
      <c r="C425" s="188">
        <f t="shared" si="280"/>
        <v>420</v>
      </c>
      <c r="D425" s="164">
        <f t="shared" si="293"/>
        <v>5</v>
      </c>
      <c r="E425" s="188">
        <f t="shared" si="294"/>
        <v>6</v>
      </c>
      <c r="F425" s="164">
        <f>F424</f>
        <v>155101004</v>
      </c>
      <c r="G425" s="188">
        <f t="shared" ref="G425:H425" si="299">G419</f>
        <v>3</v>
      </c>
      <c r="H425" s="188" t="str">
        <f t="shared" si="299"/>
        <v>Gold</v>
      </c>
      <c r="I425" s="204">
        <f t="shared" si="276"/>
        <v>30000</v>
      </c>
    </row>
    <row r="426" spans="1:9" ht="16.5" customHeight="1" x14ac:dyDescent="0.3">
      <c r="A426" s="168" t="b">
        <v>1</v>
      </c>
      <c r="B426" s="183" t="s">
        <v>332</v>
      </c>
      <c r="C426" s="184">
        <f t="shared" si="280"/>
        <v>421</v>
      </c>
      <c r="D426" s="168">
        <f t="shared" si="293"/>
        <v>5</v>
      </c>
      <c r="E426" s="184">
        <f>E420</f>
        <v>10</v>
      </c>
      <c r="F426" s="184">
        <f>F420+1</f>
        <v>155101005</v>
      </c>
      <c r="G426" s="184">
        <v>1</v>
      </c>
      <c r="H426" s="184" t="s">
        <v>104</v>
      </c>
      <c r="I426" s="203">
        <f t="shared" si="276"/>
        <v>50</v>
      </c>
    </row>
    <row r="427" spans="1:9" ht="16.5" customHeight="1" x14ac:dyDescent="0.3">
      <c r="A427" s="168" t="b">
        <v>1</v>
      </c>
      <c r="B427" s="183" t="s">
        <v>332</v>
      </c>
      <c r="C427" s="184">
        <f t="shared" si="280"/>
        <v>422</v>
      </c>
      <c r="D427" s="168">
        <f t="shared" si="293"/>
        <v>5</v>
      </c>
      <c r="E427" s="168">
        <f t="shared" ref="E427:E431" si="300">E421</f>
        <v>10</v>
      </c>
      <c r="F427" s="168">
        <f>F426</f>
        <v>155101005</v>
      </c>
      <c r="G427" s="168">
        <f>G426+1</f>
        <v>2</v>
      </c>
      <c r="H427" s="168" t="str">
        <f>H426</f>
        <v>Gem</v>
      </c>
      <c r="I427" s="203">
        <f t="shared" si="276"/>
        <v>100</v>
      </c>
    </row>
    <row r="428" spans="1:9" ht="16.5" customHeight="1" x14ac:dyDescent="0.3">
      <c r="A428" s="168" t="b">
        <v>1</v>
      </c>
      <c r="B428" s="183" t="s">
        <v>332</v>
      </c>
      <c r="C428" s="184">
        <f t="shared" si="280"/>
        <v>423</v>
      </c>
      <c r="D428" s="168">
        <f t="shared" si="293"/>
        <v>5</v>
      </c>
      <c r="E428" s="168">
        <f t="shared" si="300"/>
        <v>10</v>
      </c>
      <c r="F428" s="168">
        <f>F427</f>
        <v>155101005</v>
      </c>
      <c r="G428" s="168">
        <f>G427+1</f>
        <v>3</v>
      </c>
      <c r="H428" s="168" t="str">
        <f>H427</f>
        <v>Gem</v>
      </c>
      <c r="I428" s="203">
        <f t="shared" si="276"/>
        <v>150</v>
      </c>
    </row>
    <row r="429" spans="1:9" ht="16.5" customHeight="1" x14ac:dyDescent="0.3">
      <c r="A429" s="168" t="b">
        <v>1</v>
      </c>
      <c r="B429" s="183" t="s">
        <v>332</v>
      </c>
      <c r="C429" s="184">
        <f t="shared" si="280"/>
        <v>424</v>
      </c>
      <c r="D429" s="168">
        <f t="shared" si="293"/>
        <v>5</v>
      </c>
      <c r="E429" s="168">
        <f t="shared" si="300"/>
        <v>6</v>
      </c>
      <c r="F429" s="168">
        <f>F428</f>
        <v>155101005</v>
      </c>
      <c r="G429" s="168">
        <v>1</v>
      </c>
      <c r="H429" s="168" t="s">
        <v>334</v>
      </c>
      <c r="I429" s="203">
        <f t="shared" si="276"/>
        <v>10000</v>
      </c>
    </row>
    <row r="430" spans="1:9" ht="16.5" customHeight="1" x14ac:dyDescent="0.3">
      <c r="A430" s="168" t="b">
        <v>1</v>
      </c>
      <c r="B430" s="183" t="s">
        <v>332</v>
      </c>
      <c r="C430" s="184">
        <f t="shared" si="280"/>
        <v>425</v>
      </c>
      <c r="D430" s="168">
        <f t="shared" si="293"/>
        <v>5</v>
      </c>
      <c r="E430" s="168">
        <f t="shared" si="300"/>
        <v>6</v>
      </c>
      <c r="F430" s="168">
        <f>F429</f>
        <v>155101005</v>
      </c>
      <c r="G430" s="168">
        <f>G429+1</f>
        <v>2</v>
      </c>
      <c r="H430" s="168" t="str">
        <f t="shared" ref="H430:H431" si="301">H429</f>
        <v>Gold</v>
      </c>
      <c r="I430" s="203">
        <f t="shared" si="276"/>
        <v>20000</v>
      </c>
    </row>
    <row r="431" spans="1:9" ht="16.5" customHeight="1" x14ac:dyDescent="0.3">
      <c r="A431" s="168" t="b">
        <v>1</v>
      </c>
      <c r="B431" s="183" t="s">
        <v>332</v>
      </c>
      <c r="C431" s="184">
        <f t="shared" si="280"/>
        <v>426</v>
      </c>
      <c r="D431" s="168">
        <f t="shared" si="293"/>
        <v>5</v>
      </c>
      <c r="E431" s="168">
        <f t="shared" si="300"/>
        <v>6</v>
      </c>
      <c r="F431" s="168">
        <f>F430</f>
        <v>155101005</v>
      </c>
      <c r="G431" s="168">
        <f>G430+1</f>
        <v>3</v>
      </c>
      <c r="H431" s="168" t="str">
        <f t="shared" si="301"/>
        <v>Gold</v>
      </c>
      <c r="I431" s="203">
        <f t="shared" si="276"/>
        <v>30000</v>
      </c>
    </row>
    <row r="432" spans="1:9" ht="16.5" customHeight="1" x14ac:dyDescent="0.3">
      <c r="A432" s="164" t="b">
        <v>1</v>
      </c>
      <c r="B432" s="187" t="s">
        <v>332</v>
      </c>
      <c r="C432" s="164">
        <f t="shared" si="280"/>
        <v>427</v>
      </c>
      <c r="D432" s="164">
        <f>D428</f>
        <v>5</v>
      </c>
      <c r="E432" s="188">
        <f>E426</f>
        <v>10</v>
      </c>
      <c r="F432" s="164">
        <f>F426+1</f>
        <v>155101006</v>
      </c>
      <c r="G432" s="188">
        <f>G426</f>
        <v>1</v>
      </c>
      <c r="H432" s="188" t="str">
        <f>H426</f>
        <v>Gem</v>
      </c>
      <c r="I432" s="204">
        <f t="shared" si="276"/>
        <v>50</v>
      </c>
    </row>
    <row r="433" spans="1:9" ht="16.5" customHeight="1" x14ac:dyDescent="0.3">
      <c r="A433" s="164" t="b">
        <v>1</v>
      </c>
      <c r="B433" s="187" t="s">
        <v>332</v>
      </c>
      <c r="C433" s="188">
        <f t="shared" si="280"/>
        <v>428</v>
      </c>
      <c r="D433" s="164">
        <f t="shared" ref="D433:D443" si="302">D432</f>
        <v>5</v>
      </c>
      <c r="E433" s="188">
        <f t="shared" ref="E433:E437" si="303">E427</f>
        <v>10</v>
      </c>
      <c r="F433" s="164">
        <f>F432</f>
        <v>155101006</v>
      </c>
      <c r="G433" s="188">
        <f t="shared" ref="G433:H433" si="304">G427</f>
        <v>2</v>
      </c>
      <c r="H433" s="188" t="str">
        <f t="shared" si="304"/>
        <v>Gem</v>
      </c>
      <c r="I433" s="204">
        <f t="shared" si="276"/>
        <v>100</v>
      </c>
    </row>
    <row r="434" spans="1:9" ht="16.5" customHeight="1" x14ac:dyDescent="0.3">
      <c r="A434" s="164" t="b">
        <v>1</v>
      </c>
      <c r="B434" s="187" t="s">
        <v>332</v>
      </c>
      <c r="C434" s="188">
        <f t="shared" si="280"/>
        <v>429</v>
      </c>
      <c r="D434" s="164">
        <f t="shared" si="302"/>
        <v>5</v>
      </c>
      <c r="E434" s="188">
        <f t="shared" si="303"/>
        <v>10</v>
      </c>
      <c r="F434" s="164">
        <f>F433</f>
        <v>155101006</v>
      </c>
      <c r="G434" s="188">
        <f t="shared" ref="G434:H434" si="305">G428</f>
        <v>3</v>
      </c>
      <c r="H434" s="188" t="str">
        <f t="shared" si="305"/>
        <v>Gem</v>
      </c>
      <c r="I434" s="204">
        <f t="shared" si="276"/>
        <v>150</v>
      </c>
    </row>
    <row r="435" spans="1:9" ht="16.5" customHeight="1" x14ac:dyDescent="0.3">
      <c r="A435" s="164" t="b">
        <v>1</v>
      </c>
      <c r="B435" s="187" t="s">
        <v>332</v>
      </c>
      <c r="C435" s="188">
        <f t="shared" si="280"/>
        <v>430</v>
      </c>
      <c r="D435" s="164">
        <f t="shared" si="302"/>
        <v>5</v>
      </c>
      <c r="E435" s="188">
        <f t="shared" si="303"/>
        <v>6</v>
      </c>
      <c r="F435" s="164">
        <f>F434</f>
        <v>155101006</v>
      </c>
      <c r="G435" s="188">
        <f t="shared" ref="G435:H435" si="306">G429</f>
        <v>1</v>
      </c>
      <c r="H435" s="188" t="str">
        <f t="shared" si="306"/>
        <v>Gold</v>
      </c>
      <c r="I435" s="204">
        <f t="shared" si="276"/>
        <v>10000</v>
      </c>
    </row>
    <row r="436" spans="1:9" ht="16.5" customHeight="1" x14ac:dyDescent="0.3">
      <c r="A436" s="164" t="b">
        <v>1</v>
      </c>
      <c r="B436" s="187" t="s">
        <v>332</v>
      </c>
      <c r="C436" s="188">
        <f t="shared" si="280"/>
        <v>431</v>
      </c>
      <c r="D436" s="164">
        <f t="shared" si="302"/>
        <v>5</v>
      </c>
      <c r="E436" s="188">
        <f t="shared" si="303"/>
        <v>6</v>
      </c>
      <c r="F436" s="164">
        <f>F435</f>
        <v>155101006</v>
      </c>
      <c r="G436" s="188">
        <f t="shared" ref="G436:H436" si="307">G430</f>
        <v>2</v>
      </c>
      <c r="H436" s="188" t="str">
        <f t="shared" si="307"/>
        <v>Gold</v>
      </c>
      <c r="I436" s="204">
        <f t="shared" si="276"/>
        <v>20000</v>
      </c>
    </row>
    <row r="437" spans="1:9" ht="16.5" customHeight="1" x14ac:dyDescent="0.3">
      <c r="A437" s="164" t="b">
        <v>1</v>
      </c>
      <c r="B437" s="187" t="s">
        <v>332</v>
      </c>
      <c r="C437" s="188">
        <f t="shared" si="280"/>
        <v>432</v>
      </c>
      <c r="D437" s="164">
        <f t="shared" si="302"/>
        <v>5</v>
      </c>
      <c r="E437" s="188">
        <f t="shared" si="303"/>
        <v>6</v>
      </c>
      <c r="F437" s="164">
        <f>F436</f>
        <v>155101006</v>
      </c>
      <c r="G437" s="188">
        <f t="shared" ref="G437:H437" si="308">G431</f>
        <v>3</v>
      </c>
      <c r="H437" s="188" t="str">
        <f t="shared" si="308"/>
        <v>Gold</v>
      </c>
      <c r="I437" s="204">
        <f t="shared" si="276"/>
        <v>30000</v>
      </c>
    </row>
    <row r="438" spans="1:9" ht="16.5" customHeight="1" x14ac:dyDescent="0.3">
      <c r="A438" s="168" t="b">
        <v>1</v>
      </c>
      <c r="B438" s="183" t="s">
        <v>332</v>
      </c>
      <c r="C438" s="184">
        <f t="shared" si="280"/>
        <v>433</v>
      </c>
      <c r="D438" s="168">
        <f t="shared" si="302"/>
        <v>5</v>
      </c>
      <c r="E438" s="185">
        <v>10</v>
      </c>
      <c r="F438" s="186">
        <v>155102001</v>
      </c>
      <c r="G438" s="185">
        <v>1</v>
      </c>
      <c r="H438" s="185" t="s">
        <v>104</v>
      </c>
      <c r="I438" s="203">
        <f t="shared" si="276"/>
        <v>50</v>
      </c>
    </row>
    <row r="439" spans="1:9" ht="16.5" customHeight="1" x14ac:dyDescent="0.3">
      <c r="A439" s="168" t="b">
        <v>1</v>
      </c>
      <c r="B439" s="183" t="s">
        <v>332</v>
      </c>
      <c r="C439" s="184">
        <f t="shared" si="280"/>
        <v>434</v>
      </c>
      <c r="D439" s="168">
        <f t="shared" si="302"/>
        <v>5</v>
      </c>
      <c r="E439" s="185">
        <v>10</v>
      </c>
      <c r="F439" s="168">
        <f>F438</f>
        <v>155102001</v>
      </c>
      <c r="G439" s="184">
        <f>G438+1</f>
        <v>2</v>
      </c>
      <c r="H439" s="184" t="str">
        <f>H438</f>
        <v>Gem</v>
      </c>
      <c r="I439" s="203">
        <f t="shared" si="276"/>
        <v>100</v>
      </c>
    </row>
    <row r="440" spans="1:9" ht="16.5" customHeight="1" x14ac:dyDescent="0.3">
      <c r="A440" s="168" t="b">
        <v>1</v>
      </c>
      <c r="B440" s="183" t="s">
        <v>332</v>
      </c>
      <c r="C440" s="184">
        <f t="shared" si="280"/>
        <v>435</v>
      </c>
      <c r="D440" s="168">
        <f t="shared" si="302"/>
        <v>5</v>
      </c>
      <c r="E440" s="185">
        <v>10</v>
      </c>
      <c r="F440" s="168">
        <f>F439</f>
        <v>155102001</v>
      </c>
      <c r="G440" s="184">
        <f>G439+1</f>
        <v>3</v>
      </c>
      <c r="H440" s="184" t="str">
        <f>H439</f>
        <v>Gem</v>
      </c>
      <c r="I440" s="203">
        <f t="shared" si="276"/>
        <v>150</v>
      </c>
    </row>
    <row r="441" spans="1:9" ht="16.5" customHeight="1" x14ac:dyDescent="0.3">
      <c r="A441" s="168" t="b">
        <v>1</v>
      </c>
      <c r="B441" s="183" t="s">
        <v>332</v>
      </c>
      <c r="C441" s="184">
        <f t="shared" si="280"/>
        <v>436</v>
      </c>
      <c r="D441" s="168">
        <f t="shared" si="302"/>
        <v>5</v>
      </c>
      <c r="E441" s="185">
        <v>6</v>
      </c>
      <c r="F441" s="168">
        <f>F440</f>
        <v>155102001</v>
      </c>
      <c r="G441" s="185">
        <v>1</v>
      </c>
      <c r="H441" s="185" t="s">
        <v>334</v>
      </c>
      <c r="I441" s="203">
        <f t="shared" si="276"/>
        <v>10000</v>
      </c>
    </row>
    <row r="442" spans="1:9" ht="16.5" customHeight="1" x14ac:dyDescent="0.3">
      <c r="A442" s="168" t="b">
        <v>1</v>
      </c>
      <c r="B442" s="183" t="s">
        <v>332</v>
      </c>
      <c r="C442" s="184">
        <f t="shared" si="280"/>
        <v>437</v>
      </c>
      <c r="D442" s="168">
        <f t="shared" si="302"/>
        <v>5</v>
      </c>
      <c r="E442" s="185">
        <v>6</v>
      </c>
      <c r="F442" s="168">
        <f>F441</f>
        <v>155102001</v>
      </c>
      <c r="G442" s="184">
        <f>G441+1</f>
        <v>2</v>
      </c>
      <c r="H442" s="184" t="str">
        <f t="shared" ref="H442:H443" si="309">H441</f>
        <v>Gold</v>
      </c>
      <c r="I442" s="203">
        <f t="shared" si="276"/>
        <v>20000</v>
      </c>
    </row>
    <row r="443" spans="1:9" ht="16.5" customHeight="1" x14ac:dyDescent="0.3">
      <c r="A443" s="168" t="b">
        <v>1</v>
      </c>
      <c r="B443" s="183" t="s">
        <v>332</v>
      </c>
      <c r="C443" s="184">
        <f t="shared" si="280"/>
        <v>438</v>
      </c>
      <c r="D443" s="168">
        <f t="shared" si="302"/>
        <v>5</v>
      </c>
      <c r="E443" s="185">
        <v>6</v>
      </c>
      <c r="F443" s="168">
        <f>F442</f>
        <v>155102001</v>
      </c>
      <c r="G443" s="184">
        <f>G442+1</f>
        <v>3</v>
      </c>
      <c r="H443" s="184" t="str">
        <f t="shared" si="309"/>
        <v>Gold</v>
      </c>
      <c r="I443" s="203">
        <f t="shared" si="276"/>
        <v>30000</v>
      </c>
    </row>
    <row r="444" spans="1:9" ht="16.5" customHeight="1" x14ac:dyDescent="0.3">
      <c r="A444" s="164" t="b">
        <v>1</v>
      </c>
      <c r="B444" s="187" t="s">
        <v>332</v>
      </c>
      <c r="C444" s="164">
        <f t="shared" si="280"/>
        <v>439</v>
      </c>
      <c r="D444" s="164">
        <f>D440</f>
        <v>5</v>
      </c>
      <c r="E444" s="188">
        <f t="shared" ref="E444:E473" si="310">E438</f>
        <v>10</v>
      </c>
      <c r="F444" s="164">
        <f>F438+1</f>
        <v>155102002</v>
      </c>
      <c r="G444" s="188">
        <f t="shared" ref="G444:H444" si="311">G438</f>
        <v>1</v>
      </c>
      <c r="H444" s="188" t="str">
        <f t="shared" si="311"/>
        <v>Gem</v>
      </c>
      <c r="I444" s="204">
        <f t="shared" si="276"/>
        <v>50</v>
      </c>
    </row>
    <row r="445" spans="1:9" ht="16.5" customHeight="1" x14ac:dyDescent="0.3">
      <c r="A445" s="164" t="b">
        <v>1</v>
      </c>
      <c r="B445" s="187" t="s">
        <v>332</v>
      </c>
      <c r="C445" s="188">
        <f t="shared" si="280"/>
        <v>440</v>
      </c>
      <c r="D445" s="164">
        <f t="shared" ref="D445:D455" si="312">D444</f>
        <v>5</v>
      </c>
      <c r="E445" s="188">
        <f t="shared" si="310"/>
        <v>10</v>
      </c>
      <c r="F445" s="164">
        <f>F444</f>
        <v>155102002</v>
      </c>
      <c r="G445" s="188">
        <f t="shared" ref="G445:H445" si="313">G439</f>
        <v>2</v>
      </c>
      <c r="H445" s="188" t="str">
        <f t="shared" si="313"/>
        <v>Gem</v>
      </c>
      <c r="I445" s="204">
        <f t="shared" si="276"/>
        <v>100</v>
      </c>
    </row>
    <row r="446" spans="1:9" ht="16.5" customHeight="1" x14ac:dyDescent="0.3">
      <c r="A446" s="164" t="b">
        <v>1</v>
      </c>
      <c r="B446" s="187" t="s">
        <v>332</v>
      </c>
      <c r="C446" s="188">
        <f t="shared" si="280"/>
        <v>441</v>
      </c>
      <c r="D446" s="164">
        <f t="shared" si="312"/>
        <v>5</v>
      </c>
      <c r="E446" s="188">
        <f t="shared" si="310"/>
        <v>10</v>
      </c>
      <c r="F446" s="164">
        <f>F445</f>
        <v>155102002</v>
      </c>
      <c r="G446" s="188">
        <f t="shared" ref="G446:H446" si="314">G440</f>
        <v>3</v>
      </c>
      <c r="H446" s="188" t="str">
        <f t="shared" si="314"/>
        <v>Gem</v>
      </c>
      <c r="I446" s="204">
        <f t="shared" si="276"/>
        <v>150</v>
      </c>
    </row>
    <row r="447" spans="1:9" ht="16.5" customHeight="1" x14ac:dyDescent="0.3">
      <c r="A447" s="164" t="b">
        <v>1</v>
      </c>
      <c r="B447" s="187" t="s">
        <v>332</v>
      </c>
      <c r="C447" s="188">
        <f t="shared" si="280"/>
        <v>442</v>
      </c>
      <c r="D447" s="164">
        <f t="shared" si="312"/>
        <v>5</v>
      </c>
      <c r="E447" s="188">
        <f t="shared" si="310"/>
        <v>6</v>
      </c>
      <c r="F447" s="164">
        <f>F446</f>
        <v>155102002</v>
      </c>
      <c r="G447" s="188">
        <f t="shared" ref="G447:H447" si="315">G441</f>
        <v>1</v>
      </c>
      <c r="H447" s="188" t="str">
        <f t="shared" si="315"/>
        <v>Gold</v>
      </c>
      <c r="I447" s="204">
        <f t="shared" si="276"/>
        <v>10000</v>
      </c>
    </row>
    <row r="448" spans="1:9" ht="16.5" customHeight="1" x14ac:dyDescent="0.3">
      <c r="A448" s="164" t="b">
        <v>1</v>
      </c>
      <c r="B448" s="187" t="s">
        <v>332</v>
      </c>
      <c r="C448" s="188">
        <f t="shared" si="280"/>
        <v>443</v>
      </c>
      <c r="D448" s="164">
        <f t="shared" si="312"/>
        <v>5</v>
      </c>
      <c r="E448" s="188">
        <f t="shared" si="310"/>
        <v>6</v>
      </c>
      <c r="F448" s="164">
        <f>F447</f>
        <v>155102002</v>
      </c>
      <c r="G448" s="188">
        <f t="shared" ref="G448:H448" si="316">G442</f>
        <v>2</v>
      </c>
      <c r="H448" s="188" t="str">
        <f t="shared" si="316"/>
        <v>Gold</v>
      </c>
      <c r="I448" s="204">
        <f t="shared" si="276"/>
        <v>20000</v>
      </c>
    </row>
    <row r="449" spans="1:9" ht="16.5" customHeight="1" x14ac:dyDescent="0.3">
      <c r="A449" s="164" t="b">
        <v>1</v>
      </c>
      <c r="B449" s="187" t="s">
        <v>332</v>
      </c>
      <c r="C449" s="188">
        <f t="shared" si="280"/>
        <v>444</v>
      </c>
      <c r="D449" s="164">
        <f t="shared" si="312"/>
        <v>5</v>
      </c>
      <c r="E449" s="188">
        <f t="shared" si="310"/>
        <v>6</v>
      </c>
      <c r="F449" s="164">
        <f>F448</f>
        <v>155102002</v>
      </c>
      <c r="G449" s="188">
        <f t="shared" ref="G449:H449" si="317">G443</f>
        <v>3</v>
      </c>
      <c r="H449" s="188" t="str">
        <f t="shared" si="317"/>
        <v>Gold</v>
      </c>
      <c r="I449" s="204">
        <f t="shared" si="276"/>
        <v>30000</v>
      </c>
    </row>
    <row r="450" spans="1:9" ht="16.5" customHeight="1" x14ac:dyDescent="0.3">
      <c r="A450" s="168" t="b">
        <v>1</v>
      </c>
      <c r="B450" s="183" t="s">
        <v>332</v>
      </c>
      <c r="C450" s="184">
        <f t="shared" si="280"/>
        <v>445</v>
      </c>
      <c r="D450" s="168">
        <f t="shared" si="312"/>
        <v>5</v>
      </c>
      <c r="E450" s="184">
        <f t="shared" si="310"/>
        <v>10</v>
      </c>
      <c r="F450" s="184">
        <f>F444+1</f>
        <v>155102003</v>
      </c>
      <c r="G450" s="184">
        <v>1</v>
      </c>
      <c r="H450" s="184" t="s">
        <v>104</v>
      </c>
      <c r="I450" s="203">
        <f t="shared" si="276"/>
        <v>50</v>
      </c>
    </row>
    <row r="451" spans="1:9" ht="16.5" customHeight="1" x14ac:dyDescent="0.3">
      <c r="A451" s="168" t="b">
        <v>1</v>
      </c>
      <c r="B451" s="183" t="s">
        <v>332</v>
      </c>
      <c r="C451" s="184">
        <f t="shared" si="280"/>
        <v>446</v>
      </c>
      <c r="D451" s="168">
        <f t="shared" si="312"/>
        <v>5</v>
      </c>
      <c r="E451" s="168">
        <f t="shared" si="310"/>
        <v>10</v>
      </c>
      <c r="F451" s="168">
        <f>F450</f>
        <v>155102003</v>
      </c>
      <c r="G451" s="168">
        <f>G450+1</f>
        <v>2</v>
      </c>
      <c r="H451" s="168" t="str">
        <f>H450</f>
        <v>Gem</v>
      </c>
      <c r="I451" s="203">
        <f t="shared" si="276"/>
        <v>100</v>
      </c>
    </row>
    <row r="452" spans="1:9" ht="16.5" customHeight="1" x14ac:dyDescent="0.3">
      <c r="A452" s="168" t="b">
        <v>1</v>
      </c>
      <c r="B452" s="183" t="s">
        <v>332</v>
      </c>
      <c r="C452" s="184">
        <f t="shared" si="280"/>
        <v>447</v>
      </c>
      <c r="D452" s="168">
        <f t="shared" si="312"/>
        <v>5</v>
      </c>
      <c r="E452" s="168">
        <f t="shared" si="310"/>
        <v>10</v>
      </c>
      <c r="F452" s="168">
        <f>F451</f>
        <v>155102003</v>
      </c>
      <c r="G452" s="168">
        <f>G451+1</f>
        <v>3</v>
      </c>
      <c r="H452" s="168" t="str">
        <f>H451</f>
        <v>Gem</v>
      </c>
      <c r="I452" s="203">
        <f t="shared" si="276"/>
        <v>150</v>
      </c>
    </row>
    <row r="453" spans="1:9" ht="16.5" customHeight="1" x14ac:dyDescent="0.3">
      <c r="A453" s="168" t="b">
        <v>1</v>
      </c>
      <c r="B453" s="183" t="s">
        <v>332</v>
      </c>
      <c r="C453" s="184">
        <f t="shared" si="280"/>
        <v>448</v>
      </c>
      <c r="D453" s="168">
        <f t="shared" si="312"/>
        <v>5</v>
      </c>
      <c r="E453" s="168">
        <f t="shared" si="310"/>
        <v>6</v>
      </c>
      <c r="F453" s="168">
        <f>F452</f>
        <v>155102003</v>
      </c>
      <c r="G453" s="168">
        <v>1</v>
      </c>
      <c r="H453" s="168" t="s">
        <v>334</v>
      </c>
      <c r="I453" s="203">
        <f t="shared" si="276"/>
        <v>10000</v>
      </c>
    </row>
    <row r="454" spans="1:9" ht="16.5" customHeight="1" x14ac:dyDescent="0.3">
      <c r="A454" s="168" t="b">
        <v>1</v>
      </c>
      <c r="B454" s="183" t="s">
        <v>332</v>
      </c>
      <c r="C454" s="184">
        <f t="shared" si="280"/>
        <v>449</v>
      </c>
      <c r="D454" s="168">
        <f t="shared" si="312"/>
        <v>5</v>
      </c>
      <c r="E454" s="168">
        <f t="shared" si="310"/>
        <v>6</v>
      </c>
      <c r="F454" s="168">
        <f>F453</f>
        <v>155102003</v>
      </c>
      <c r="G454" s="168">
        <f>G453+1</f>
        <v>2</v>
      </c>
      <c r="H454" s="168" t="str">
        <f t="shared" ref="H454:H455" si="318">H453</f>
        <v>Gold</v>
      </c>
      <c r="I454" s="203">
        <f t="shared" ref="I454:I517" si="319">IF(H454="Gem",$H$1*G454,IF(H454="Gold",$I$1*G454))</f>
        <v>20000</v>
      </c>
    </row>
    <row r="455" spans="1:9" ht="16.5" customHeight="1" x14ac:dyDescent="0.3">
      <c r="A455" s="168" t="b">
        <v>1</v>
      </c>
      <c r="B455" s="183" t="s">
        <v>332</v>
      </c>
      <c r="C455" s="184">
        <f t="shared" si="280"/>
        <v>450</v>
      </c>
      <c r="D455" s="168">
        <f t="shared" si="312"/>
        <v>5</v>
      </c>
      <c r="E455" s="168">
        <f t="shared" si="310"/>
        <v>6</v>
      </c>
      <c r="F455" s="168">
        <f>F454</f>
        <v>155102003</v>
      </c>
      <c r="G455" s="168">
        <f>G454+1</f>
        <v>3</v>
      </c>
      <c r="H455" s="168" t="str">
        <f t="shared" si="318"/>
        <v>Gold</v>
      </c>
      <c r="I455" s="203">
        <f t="shared" si="319"/>
        <v>30000</v>
      </c>
    </row>
    <row r="456" spans="1:9" ht="16.5" customHeight="1" x14ac:dyDescent="0.3">
      <c r="A456" s="164" t="b">
        <v>1</v>
      </c>
      <c r="B456" s="187" t="s">
        <v>332</v>
      </c>
      <c r="C456" s="164">
        <f t="shared" si="280"/>
        <v>451</v>
      </c>
      <c r="D456" s="164">
        <f>D452</f>
        <v>5</v>
      </c>
      <c r="E456" s="188">
        <f t="shared" si="310"/>
        <v>10</v>
      </c>
      <c r="F456" s="164">
        <f>F450+1</f>
        <v>155102004</v>
      </c>
      <c r="G456" s="188">
        <f t="shared" ref="G456:H456" si="320">G450</f>
        <v>1</v>
      </c>
      <c r="H456" s="188" t="str">
        <f t="shared" si="320"/>
        <v>Gem</v>
      </c>
      <c r="I456" s="204">
        <f t="shared" si="319"/>
        <v>50</v>
      </c>
    </row>
    <row r="457" spans="1:9" ht="16.5" customHeight="1" x14ac:dyDescent="0.3">
      <c r="A457" s="164" t="b">
        <v>1</v>
      </c>
      <c r="B457" s="187" t="s">
        <v>332</v>
      </c>
      <c r="C457" s="188">
        <f t="shared" si="280"/>
        <v>452</v>
      </c>
      <c r="D457" s="164">
        <f t="shared" ref="D457:D467" si="321">D456</f>
        <v>5</v>
      </c>
      <c r="E457" s="188">
        <f t="shared" si="310"/>
        <v>10</v>
      </c>
      <c r="F457" s="164">
        <f>F456</f>
        <v>155102004</v>
      </c>
      <c r="G457" s="188">
        <f t="shared" ref="G457:H457" si="322">G451</f>
        <v>2</v>
      </c>
      <c r="H457" s="188" t="str">
        <f t="shared" si="322"/>
        <v>Gem</v>
      </c>
      <c r="I457" s="204">
        <f t="shared" si="319"/>
        <v>100</v>
      </c>
    </row>
    <row r="458" spans="1:9" ht="16.5" customHeight="1" x14ac:dyDescent="0.3">
      <c r="A458" s="164" t="b">
        <v>1</v>
      </c>
      <c r="B458" s="187" t="s">
        <v>332</v>
      </c>
      <c r="C458" s="188">
        <f t="shared" si="280"/>
        <v>453</v>
      </c>
      <c r="D458" s="164">
        <f t="shared" si="321"/>
        <v>5</v>
      </c>
      <c r="E458" s="188">
        <f t="shared" si="310"/>
        <v>10</v>
      </c>
      <c r="F458" s="164">
        <f>F457</f>
        <v>155102004</v>
      </c>
      <c r="G458" s="188">
        <f t="shared" ref="G458:H458" si="323">G452</f>
        <v>3</v>
      </c>
      <c r="H458" s="188" t="str">
        <f t="shared" si="323"/>
        <v>Gem</v>
      </c>
      <c r="I458" s="204">
        <f t="shared" si="319"/>
        <v>150</v>
      </c>
    </row>
    <row r="459" spans="1:9" ht="16.5" customHeight="1" x14ac:dyDescent="0.3">
      <c r="A459" s="164" t="b">
        <v>1</v>
      </c>
      <c r="B459" s="187" t="s">
        <v>332</v>
      </c>
      <c r="C459" s="188">
        <f t="shared" si="280"/>
        <v>454</v>
      </c>
      <c r="D459" s="164">
        <f t="shared" si="321"/>
        <v>5</v>
      </c>
      <c r="E459" s="188">
        <f t="shared" si="310"/>
        <v>6</v>
      </c>
      <c r="F459" s="164">
        <f>F458</f>
        <v>155102004</v>
      </c>
      <c r="G459" s="188">
        <f t="shared" ref="G459:H459" si="324">G453</f>
        <v>1</v>
      </c>
      <c r="H459" s="188" t="str">
        <f t="shared" si="324"/>
        <v>Gold</v>
      </c>
      <c r="I459" s="204">
        <f t="shared" si="319"/>
        <v>10000</v>
      </c>
    </row>
    <row r="460" spans="1:9" ht="16.5" customHeight="1" x14ac:dyDescent="0.3">
      <c r="A460" s="164" t="b">
        <v>1</v>
      </c>
      <c r="B460" s="187" t="s">
        <v>332</v>
      </c>
      <c r="C460" s="188">
        <f t="shared" si="280"/>
        <v>455</v>
      </c>
      <c r="D460" s="164">
        <f t="shared" si="321"/>
        <v>5</v>
      </c>
      <c r="E460" s="188">
        <f t="shared" si="310"/>
        <v>6</v>
      </c>
      <c r="F460" s="164">
        <f>F459</f>
        <v>155102004</v>
      </c>
      <c r="G460" s="188">
        <f t="shared" ref="G460:H460" si="325">G454</f>
        <v>2</v>
      </c>
      <c r="H460" s="188" t="str">
        <f t="shared" si="325"/>
        <v>Gold</v>
      </c>
      <c r="I460" s="204">
        <f t="shared" si="319"/>
        <v>20000</v>
      </c>
    </row>
    <row r="461" spans="1:9" ht="16.5" customHeight="1" x14ac:dyDescent="0.3">
      <c r="A461" s="164" t="b">
        <v>1</v>
      </c>
      <c r="B461" s="187" t="s">
        <v>332</v>
      </c>
      <c r="C461" s="188">
        <f t="shared" si="280"/>
        <v>456</v>
      </c>
      <c r="D461" s="164">
        <f t="shared" si="321"/>
        <v>5</v>
      </c>
      <c r="E461" s="188">
        <f t="shared" si="310"/>
        <v>6</v>
      </c>
      <c r="F461" s="164">
        <f>F460</f>
        <v>155102004</v>
      </c>
      <c r="G461" s="188">
        <f t="shared" ref="G461:H461" si="326">G455</f>
        <v>3</v>
      </c>
      <c r="H461" s="188" t="str">
        <f t="shared" si="326"/>
        <v>Gold</v>
      </c>
      <c r="I461" s="204">
        <f t="shared" si="319"/>
        <v>30000</v>
      </c>
    </row>
    <row r="462" spans="1:9" ht="16.5" customHeight="1" x14ac:dyDescent="0.3">
      <c r="A462" s="168" t="b">
        <v>1</v>
      </c>
      <c r="B462" s="183" t="s">
        <v>332</v>
      </c>
      <c r="C462" s="184">
        <f t="shared" si="280"/>
        <v>457</v>
      </c>
      <c r="D462" s="168">
        <f t="shared" si="321"/>
        <v>5</v>
      </c>
      <c r="E462" s="184">
        <f t="shared" si="310"/>
        <v>10</v>
      </c>
      <c r="F462" s="184">
        <f>F456+1</f>
        <v>155102005</v>
      </c>
      <c r="G462" s="184">
        <v>1</v>
      </c>
      <c r="H462" s="184" t="s">
        <v>104</v>
      </c>
      <c r="I462" s="203">
        <f t="shared" si="319"/>
        <v>50</v>
      </c>
    </row>
    <row r="463" spans="1:9" ht="16.5" customHeight="1" x14ac:dyDescent="0.3">
      <c r="A463" s="168" t="b">
        <v>1</v>
      </c>
      <c r="B463" s="183" t="s">
        <v>332</v>
      </c>
      <c r="C463" s="184">
        <f t="shared" ref="C463:C473" si="327">C462+1</f>
        <v>458</v>
      </c>
      <c r="D463" s="168">
        <f t="shared" si="321"/>
        <v>5</v>
      </c>
      <c r="E463" s="168">
        <f t="shared" si="310"/>
        <v>10</v>
      </c>
      <c r="F463" s="168">
        <f>F462</f>
        <v>155102005</v>
      </c>
      <c r="G463" s="168">
        <f>G462+1</f>
        <v>2</v>
      </c>
      <c r="H463" s="168" t="str">
        <f>H462</f>
        <v>Gem</v>
      </c>
      <c r="I463" s="203">
        <f t="shared" si="319"/>
        <v>100</v>
      </c>
    </row>
    <row r="464" spans="1:9" ht="16.5" customHeight="1" x14ac:dyDescent="0.3">
      <c r="A464" s="168" t="b">
        <v>1</v>
      </c>
      <c r="B464" s="183" t="s">
        <v>332</v>
      </c>
      <c r="C464" s="184">
        <f t="shared" si="327"/>
        <v>459</v>
      </c>
      <c r="D464" s="168">
        <f t="shared" si="321"/>
        <v>5</v>
      </c>
      <c r="E464" s="168">
        <f t="shared" si="310"/>
        <v>10</v>
      </c>
      <c r="F464" s="168">
        <f>F463</f>
        <v>155102005</v>
      </c>
      <c r="G464" s="168">
        <f>G463+1</f>
        <v>3</v>
      </c>
      <c r="H464" s="168" t="str">
        <f>H463</f>
        <v>Gem</v>
      </c>
      <c r="I464" s="203">
        <f t="shared" si="319"/>
        <v>150</v>
      </c>
    </row>
    <row r="465" spans="1:9" ht="16.5" customHeight="1" x14ac:dyDescent="0.3">
      <c r="A465" s="168" t="b">
        <v>1</v>
      </c>
      <c r="B465" s="183" t="s">
        <v>332</v>
      </c>
      <c r="C465" s="184">
        <f t="shared" si="327"/>
        <v>460</v>
      </c>
      <c r="D465" s="168">
        <f t="shared" si="321"/>
        <v>5</v>
      </c>
      <c r="E465" s="168">
        <f t="shared" si="310"/>
        <v>6</v>
      </c>
      <c r="F465" s="168">
        <f>F464</f>
        <v>155102005</v>
      </c>
      <c r="G465" s="168">
        <v>1</v>
      </c>
      <c r="H465" s="168" t="s">
        <v>334</v>
      </c>
      <c r="I465" s="203">
        <f t="shared" si="319"/>
        <v>10000</v>
      </c>
    </row>
    <row r="466" spans="1:9" ht="16.5" customHeight="1" x14ac:dyDescent="0.3">
      <c r="A466" s="168" t="b">
        <v>1</v>
      </c>
      <c r="B466" s="183" t="s">
        <v>332</v>
      </c>
      <c r="C466" s="184">
        <f t="shared" si="327"/>
        <v>461</v>
      </c>
      <c r="D466" s="168">
        <f t="shared" si="321"/>
        <v>5</v>
      </c>
      <c r="E466" s="168">
        <f t="shared" si="310"/>
        <v>6</v>
      </c>
      <c r="F466" s="168">
        <f>F465</f>
        <v>155102005</v>
      </c>
      <c r="G466" s="168">
        <f>G465+1</f>
        <v>2</v>
      </c>
      <c r="H466" s="168" t="str">
        <f t="shared" ref="H466:H467" si="328">H465</f>
        <v>Gold</v>
      </c>
      <c r="I466" s="203">
        <f t="shared" si="319"/>
        <v>20000</v>
      </c>
    </row>
    <row r="467" spans="1:9" ht="16.5" customHeight="1" x14ac:dyDescent="0.3">
      <c r="A467" s="168" t="b">
        <v>1</v>
      </c>
      <c r="B467" s="183" t="s">
        <v>332</v>
      </c>
      <c r="C467" s="184">
        <f t="shared" si="327"/>
        <v>462</v>
      </c>
      <c r="D467" s="168">
        <f t="shared" si="321"/>
        <v>5</v>
      </c>
      <c r="E467" s="168">
        <f t="shared" si="310"/>
        <v>6</v>
      </c>
      <c r="F467" s="168">
        <f>F466</f>
        <v>155102005</v>
      </c>
      <c r="G467" s="168">
        <f>G466+1</f>
        <v>3</v>
      </c>
      <c r="H467" s="168" t="str">
        <f t="shared" si="328"/>
        <v>Gold</v>
      </c>
      <c r="I467" s="203">
        <f t="shared" si="319"/>
        <v>30000</v>
      </c>
    </row>
    <row r="468" spans="1:9" ht="16.5" customHeight="1" x14ac:dyDescent="0.3">
      <c r="A468" s="164" t="b">
        <v>1</v>
      </c>
      <c r="B468" s="187" t="s">
        <v>332</v>
      </c>
      <c r="C468" s="164">
        <f t="shared" si="327"/>
        <v>463</v>
      </c>
      <c r="D468" s="164">
        <f>D464</f>
        <v>5</v>
      </c>
      <c r="E468" s="188">
        <f t="shared" si="310"/>
        <v>10</v>
      </c>
      <c r="F468" s="164">
        <f>F462+1</f>
        <v>155102006</v>
      </c>
      <c r="G468" s="188">
        <f t="shared" ref="G468:H468" si="329">G462</f>
        <v>1</v>
      </c>
      <c r="H468" s="188" t="str">
        <f t="shared" si="329"/>
        <v>Gem</v>
      </c>
      <c r="I468" s="204">
        <f t="shared" si="319"/>
        <v>50</v>
      </c>
    </row>
    <row r="469" spans="1:9" ht="16.5" customHeight="1" x14ac:dyDescent="0.3">
      <c r="A469" s="164" t="b">
        <v>1</v>
      </c>
      <c r="B469" s="187" t="s">
        <v>332</v>
      </c>
      <c r="C469" s="188">
        <f t="shared" si="327"/>
        <v>464</v>
      </c>
      <c r="D469" s="164">
        <f t="shared" ref="D469:D476" si="330">D468</f>
        <v>5</v>
      </c>
      <c r="E469" s="188">
        <f t="shared" si="310"/>
        <v>10</v>
      </c>
      <c r="F469" s="164">
        <f>F468</f>
        <v>155102006</v>
      </c>
      <c r="G469" s="188">
        <f t="shared" ref="G469:H469" si="331">G463</f>
        <v>2</v>
      </c>
      <c r="H469" s="188" t="str">
        <f t="shared" si="331"/>
        <v>Gem</v>
      </c>
      <c r="I469" s="204">
        <f t="shared" si="319"/>
        <v>100</v>
      </c>
    </row>
    <row r="470" spans="1:9" ht="16.5" customHeight="1" x14ac:dyDescent="0.3">
      <c r="A470" s="164" t="b">
        <v>1</v>
      </c>
      <c r="B470" s="187" t="s">
        <v>332</v>
      </c>
      <c r="C470" s="188">
        <f t="shared" si="327"/>
        <v>465</v>
      </c>
      <c r="D470" s="164">
        <f t="shared" si="330"/>
        <v>5</v>
      </c>
      <c r="E470" s="188">
        <f t="shared" si="310"/>
        <v>10</v>
      </c>
      <c r="F470" s="164">
        <f>F469</f>
        <v>155102006</v>
      </c>
      <c r="G470" s="188">
        <f t="shared" ref="G470:H470" si="332">G464</f>
        <v>3</v>
      </c>
      <c r="H470" s="188" t="str">
        <f t="shared" si="332"/>
        <v>Gem</v>
      </c>
      <c r="I470" s="204">
        <f t="shared" si="319"/>
        <v>150</v>
      </c>
    </row>
    <row r="471" spans="1:9" ht="16.5" customHeight="1" x14ac:dyDescent="0.3">
      <c r="A471" s="164" t="b">
        <v>1</v>
      </c>
      <c r="B471" s="187" t="s">
        <v>332</v>
      </c>
      <c r="C471" s="188">
        <f t="shared" si="327"/>
        <v>466</v>
      </c>
      <c r="D471" s="164">
        <f t="shared" si="330"/>
        <v>5</v>
      </c>
      <c r="E471" s="188">
        <f t="shared" si="310"/>
        <v>6</v>
      </c>
      <c r="F471" s="164">
        <f>F470</f>
        <v>155102006</v>
      </c>
      <c r="G471" s="188">
        <f t="shared" ref="G471:H471" si="333">G465</f>
        <v>1</v>
      </c>
      <c r="H471" s="188" t="str">
        <f t="shared" si="333"/>
        <v>Gold</v>
      </c>
      <c r="I471" s="204">
        <f t="shared" si="319"/>
        <v>10000</v>
      </c>
    </row>
    <row r="472" spans="1:9" ht="16.5" customHeight="1" x14ac:dyDescent="0.3">
      <c r="A472" s="164" t="b">
        <v>1</v>
      </c>
      <c r="B472" s="187" t="s">
        <v>332</v>
      </c>
      <c r="C472" s="188">
        <f t="shared" si="327"/>
        <v>467</v>
      </c>
      <c r="D472" s="164">
        <f t="shared" si="330"/>
        <v>5</v>
      </c>
      <c r="E472" s="188">
        <f t="shared" si="310"/>
        <v>6</v>
      </c>
      <c r="F472" s="164">
        <f>F471</f>
        <v>155102006</v>
      </c>
      <c r="G472" s="188">
        <f t="shared" ref="G472:H472" si="334">G466</f>
        <v>2</v>
      </c>
      <c r="H472" s="188" t="str">
        <f t="shared" si="334"/>
        <v>Gold</v>
      </c>
      <c r="I472" s="204">
        <f t="shared" si="319"/>
        <v>20000</v>
      </c>
    </row>
    <row r="473" spans="1:9" ht="16.5" customHeight="1" x14ac:dyDescent="0.3">
      <c r="A473" s="164" t="b">
        <v>1</v>
      </c>
      <c r="B473" s="187" t="s">
        <v>332</v>
      </c>
      <c r="C473" s="188">
        <f t="shared" si="327"/>
        <v>468</v>
      </c>
      <c r="D473" s="164">
        <f t="shared" si="330"/>
        <v>5</v>
      </c>
      <c r="E473" s="188">
        <f t="shared" si="310"/>
        <v>6</v>
      </c>
      <c r="F473" s="164">
        <f>F472</f>
        <v>155102006</v>
      </c>
      <c r="G473" s="188">
        <f t="shared" ref="G473:H473" si="335">G467</f>
        <v>3</v>
      </c>
      <c r="H473" s="188" t="str">
        <f t="shared" si="335"/>
        <v>Gold</v>
      </c>
      <c r="I473" s="204">
        <f t="shared" si="319"/>
        <v>30000</v>
      </c>
    </row>
    <row r="474" spans="1:9" ht="16.5" customHeight="1" x14ac:dyDescent="0.3">
      <c r="A474" s="168" t="b">
        <v>1</v>
      </c>
      <c r="B474" s="183" t="s">
        <v>332</v>
      </c>
      <c r="C474" s="184">
        <f>C473+1</f>
        <v>469</v>
      </c>
      <c r="D474" s="168">
        <f t="shared" si="330"/>
        <v>5</v>
      </c>
      <c r="E474" s="185">
        <v>10</v>
      </c>
      <c r="F474" s="186">
        <v>155103001</v>
      </c>
      <c r="G474" s="185">
        <v>1</v>
      </c>
      <c r="H474" s="185" t="s">
        <v>104</v>
      </c>
      <c r="I474" s="203">
        <f t="shared" si="319"/>
        <v>50</v>
      </c>
    </row>
    <row r="475" spans="1:9" ht="16.5" customHeight="1" x14ac:dyDescent="0.3">
      <c r="A475" s="168" t="b">
        <v>1</v>
      </c>
      <c r="B475" s="183" t="s">
        <v>332</v>
      </c>
      <c r="C475" s="184">
        <f>C474+1</f>
        <v>470</v>
      </c>
      <c r="D475" s="168">
        <f t="shared" si="330"/>
        <v>5</v>
      </c>
      <c r="E475" s="185">
        <v>10</v>
      </c>
      <c r="F475" s="168">
        <f>F474</f>
        <v>155103001</v>
      </c>
      <c r="G475" s="184">
        <f>G474+1</f>
        <v>2</v>
      </c>
      <c r="H475" s="184" t="str">
        <f>H474</f>
        <v>Gem</v>
      </c>
      <c r="I475" s="203">
        <f t="shared" si="319"/>
        <v>100</v>
      </c>
    </row>
    <row r="476" spans="1:9" ht="16.5" customHeight="1" x14ac:dyDescent="0.3">
      <c r="A476" s="168" t="b">
        <v>1</v>
      </c>
      <c r="B476" s="183" t="s">
        <v>332</v>
      </c>
      <c r="C476" s="184">
        <f>C475+1</f>
        <v>471</v>
      </c>
      <c r="D476" s="168">
        <f t="shared" si="330"/>
        <v>5</v>
      </c>
      <c r="E476" s="185">
        <v>10</v>
      </c>
      <c r="F476" s="168">
        <f>F475</f>
        <v>155103001</v>
      </c>
      <c r="G476" s="184">
        <f>G475+1</f>
        <v>3</v>
      </c>
      <c r="H476" s="184" t="str">
        <f>H475</f>
        <v>Gem</v>
      </c>
      <c r="I476" s="203">
        <f t="shared" si="319"/>
        <v>150</v>
      </c>
    </row>
    <row r="477" spans="1:9" ht="16.5" customHeight="1" x14ac:dyDescent="0.3">
      <c r="A477" s="164" t="b">
        <v>1</v>
      </c>
      <c r="B477" s="187" t="s">
        <v>332</v>
      </c>
      <c r="C477" s="188">
        <f t="shared" ref="C477:C479" si="336">C476+1</f>
        <v>472</v>
      </c>
      <c r="D477" s="164">
        <f>D476</f>
        <v>5</v>
      </c>
      <c r="E477" s="188">
        <f t="shared" ref="E477:E509" si="337">E474</f>
        <v>10</v>
      </c>
      <c r="F477" s="164">
        <f>F474+1</f>
        <v>155103002</v>
      </c>
      <c r="G477" s="188">
        <f t="shared" ref="G477:H477" si="338">G474</f>
        <v>1</v>
      </c>
      <c r="H477" s="188" t="str">
        <f t="shared" si="338"/>
        <v>Gem</v>
      </c>
      <c r="I477" s="204">
        <f t="shared" si="319"/>
        <v>50</v>
      </c>
    </row>
    <row r="478" spans="1:9" ht="16.5" customHeight="1" x14ac:dyDescent="0.3">
      <c r="A478" s="164" t="b">
        <v>1</v>
      </c>
      <c r="B478" s="187" t="s">
        <v>332</v>
      </c>
      <c r="C478" s="188">
        <f t="shared" si="336"/>
        <v>473</v>
      </c>
      <c r="D478" s="164">
        <f t="shared" ref="D478:D482" si="339">D477</f>
        <v>5</v>
      </c>
      <c r="E478" s="188">
        <f t="shared" si="337"/>
        <v>10</v>
      </c>
      <c r="F478" s="164">
        <f>F477</f>
        <v>155103002</v>
      </c>
      <c r="G478" s="188">
        <f t="shared" ref="G478:H478" si="340">G475</f>
        <v>2</v>
      </c>
      <c r="H478" s="188" t="str">
        <f t="shared" si="340"/>
        <v>Gem</v>
      </c>
      <c r="I478" s="204">
        <f t="shared" si="319"/>
        <v>100</v>
      </c>
    </row>
    <row r="479" spans="1:9" ht="16.5" customHeight="1" x14ac:dyDescent="0.3">
      <c r="A479" s="164" t="b">
        <v>1</v>
      </c>
      <c r="B479" s="187" t="s">
        <v>332</v>
      </c>
      <c r="C479" s="188">
        <f t="shared" si="336"/>
        <v>474</v>
      </c>
      <c r="D479" s="164">
        <f t="shared" si="339"/>
        <v>5</v>
      </c>
      <c r="E479" s="188">
        <f t="shared" si="337"/>
        <v>10</v>
      </c>
      <c r="F479" s="164">
        <f>F478</f>
        <v>155103002</v>
      </c>
      <c r="G479" s="188">
        <f t="shared" ref="G479:H479" si="341">G476</f>
        <v>3</v>
      </c>
      <c r="H479" s="188" t="str">
        <f t="shared" si="341"/>
        <v>Gem</v>
      </c>
      <c r="I479" s="204">
        <f t="shared" si="319"/>
        <v>150</v>
      </c>
    </row>
    <row r="480" spans="1:9" ht="16.5" customHeight="1" x14ac:dyDescent="0.3">
      <c r="A480" s="168" t="b">
        <v>1</v>
      </c>
      <c r="B480" s="183" t="s">
        <v>332</v>
      </c>
      <c r="C480" s="184">
        <f>C479+1</f>
        <v>475</v>
      </c>
      <c r="D480" s="168">
        <f t="shared" si="339"/>
        <v>5</v>
      </c>
      <c r="E480" s="184">
        <f t="shared" si="337"/>
        <v>10</v>
      </c>
      <c r="F480" s="184">
        <f>F477+1</f>
        <v>155103003</v>
      </c>
      <c r="G480" s="184">
        <v>1</v>
      </c>
      <c r="H480" s="184" t="s">
        <v>104</v>
      </c>
      <c r="I480" s="203">
        <f t="shared" si="319"/>
        <v>50</v>
      </c>
    </row>
    <row r="481" spans="1:9" ht="16.5" customHeight="1" x14ac:dyDescent="0.3">
      <c r="A481" s="168" t="b">
        <v>1</v>
      </c>
      <c r="B481" s="183" t="s">
        <v>332</v>
      </c>
      <c r="C481" s="184">
        <f>C480+1</f>
        <v>476</v>
      </c>
      <c r="D481" s="168">
        <f t="shared" si="339"/>
        <v>5</v>
      </c>
      <c r="E481" s="168">
        <f t="shared" si="337"/>
        <v>10</v>
      </c>
      <c r="F481" s="168">
        <f>F480</f>
        <v>155103003</v>
      </c>
      <c r="G481" s="168">
        <f>G480+1</f>
        <v>2</v>
      </c>
      <c r="H481" s="168" t="str">
        <f>H480</f>
        <v>Gem</v>
      </c>
      <c r="I481" s="203">
        <f t="shared" si="319"/>
        <v>100</v>
      </c>
    </row>
    <row r="482" spans="1:9" ht="16.5" customHeight="1" x14ac:dyDescent="0.3">
      <c r="A482" s="168" t="b">
        <v>1</v>
      </c>
      <c r="B482" s="183" t="s">
        <v>332</v>
      </c>
      <c r="C482" s="184">
        <f>C481+1</f>
        <v>477</v>
      </c>
      <c r="D482" s="168">
        <f t="shared" si="339"/>
        <v>5</v>
      </c>
      <c r="E482" s="168">
        <f t="shared" si="337"/>
        <v>10</v>
      </c>
      <c r="F482" s="168">
        <f>F481</f>
        <v>155103003</v>
      </c>
      <c r="G482" s="168">
        <f>G481+1</f>
        <v>3</v>
      </c>
      <c r="H482" s="168" t="str">
        <f>H481</f>
        <v>Gem</v>
      </c>
      <c r="I482" s="203">
        <f t="shared" si="319"/>
        <v>150</v>
      </c>
    </row>
    <row r="483" spans="1:9" ht="16.5" customHeight="1" x14ac:dyDescent="0.3">
      <c r="A483" s="164" t="b">
        <v>1</v>
      </c>
      <c r="B483" s="187" t="s">
        <v>332</v>
      </c>
      <c r="C483" s="188">
        <f t="shared" ref="C483:C485" si="342">C482+1</f>
        <v>478</v>
      </c>
      <c r="D483" s="164">
        <f>D482</f>
        <v>5</v>
      </c>
      <c r="E483" s="188">
        <f t="shared" si="337"/>
        <v>10</v>
      </c>
      <c r="F483" s="164">
        <f>F480+1</f>
        <v>155103004</v>
      </c>
      <c r="G483" s="188">
        <f t="shared" ref="G483:H483" si="343">G480</f>
        <v>1</v>
      </c>
      <c r="H483" s="188" t="str">
        <f t="shared" si="343"/>
        <v>Gem</v>
      </c>
      <c r="I483" s="204">
        <f t="shared" si="319"/>
        <v>50</v>
      </c>
    </row>
    <row r="484" spans="1:9" ht="16.5" customHeight="1" x14ac:dyDescent="0.3">
      <c r="A484" s="164" t="b">
        <v>1</v>
      </c>
      <c r="B484" s="187" t="s">
        <v>332</v>
      </c>
      <c r="C484" s="188">
        <f t="shared" si="342"/>
        <v>479</v>
      </c>
      <c r="D484" s="164">
        <f t="shared" ref="D484:D488" si="344">D483</f>
        <v>5</v>
      </c>
      <c r="E484" s="188">
        <f t="shared" si="337"/>
        <v>10</v>
      </c>
      <c r="F484" s="164">
        <f>F483</f>
        <v>155103004</v>
      </c>
      <c r="G484" s="188">
        <f t="shared" ref="G484:H484" si="345">G481</f>
        <v>2</v>
      </c>
      <c r="H484" s="188" t="str">
        <f t="shared" si="345"/>
        <v>Gem</v>
      </c>
      <c r="I484" s="204">
        <f t="shared" si="319"/>
        <v>100</v>
      </c>
    </row>
    <row r="485" spans="1:9" ht="16.5" customHeight="1" x14ac:dyDescent="0.3">
      <c r="A485" s="164" t="b">
        <v>1</v>
      </c>
      <c r="B485" s="187" t="s">
        <v>332</v>
      </c>
      <c r="C485" s="188">
        <f t="shared" si="342"/>
        <v>480</v>
      </c>
      <c r="D485" s="164">
        <f t="shared" si="344"/>
        <v>5</v>
      </c>
      <c r="E485" s="188">
        <f t="shared" si="337"/>
        <v>10</v>
      </c>
      <c r="F485" s="164">
        <f>F484</f>
        <v>155103004</v>
      </c>
      <c r="G485" s="188">
        <f t="shared" ref="G485:H485" si="346">G482</f>
        <v>3</v>
      </c>
      <c r="H485" s="188" t="str">
        <f t="shared" si="346"/>
        <v>Gem</v>
      </c>
      <c r="I485" s="204">
        <f t="shared" si="319"/>
        <v>150</v>
      </c>
    </row>
    <row r="486" spans="1:9" ht="16.5" customHeight="1" x14ac:dyDescent="0.3">
      <c r="A486" s="176" t="b">
        <v>0</v>
      </c>
      <c r="B486" s="189" t="s">
        <v>332</v>
      </c>
      <c r="C486" s="190">
        <f>C485+1</f>
        <v>481</v>
      </c>
      <c r="D486" s="176">
        <f t="shared" si="344"/>
        <v>5</v>
      </c>
      <c r="E486" s="190">
        <f t="shared" si="337"/>
        <v>10</v>
      </c>
      <c r="F486" s="190">
        <f>F483+1</f>
        <v>155103005</v>
      </c>
      <c r="G486" s="190">
        <v>1</v>
      </c>
      <c r="H486" s="190" t="s">
        <v>104</v>
      </c>
      <c r="I486" s="205">
        <f t="shared" si="319"/>
        <v>50</v>
      </c>
    </row>
    <row r="487" spans="1:9" ht="16.5" customHeight="1" x14ac:dyDescent="0.3">
      <c r="A487" s="176" t="b">
        <v>0</v>
      </c>
      <c r="B487" s="189" t="s">
        <v>332</v>
      </c>
      <c r="C487" s="190">
        <f>C486+1</f>
        <v>482</v>
      </c>
      <c r="D487" s="176">
        <f t="shared" si="344"/>
        <v>5</v>
      </c>
      <c r="E487" s="176">
        <f t="shared" si="337"/>
        <v>10</v>
      </c>
      <c r="F487" s="176">
        <f>F486</f>
        <v>155103005</v>
      </c>
      <c r="G487" s="176">
        <f>G486+1</f>
        <v>2</v>
      </c>
      <c r="H487" s="176" t="str">
        <f>H486</f>
        <v>Gem</v>
      </c>
      <c r="I487" s="205">
        <f t="shared" si="319"/>
        <v>100</v>
      </c>
    </row>
    <row r="488" spans="1:9" ht="16.5" customHeight="1" x14ac:dyDescent="0.3">
      <c r="A488" s="176" t="b">
        <v>0</v>
      </c>
      <c r="B488" s="189" t="s">
        <v>332</v>
      </c>
      <c r="C488" s="190">
        <f>C487+1</f>
        <v>483</v>
      </c>
      <c r="D488" s="176">
        <f t="shared" si="344"/>
        <v>5</v>
      </c>
      <c r="E488" s="176">
        <f t="shared" si="337"/>
        <v>10</v>
      </c>
      <c r="F488" s="176">
        <f>F487</f>
        <v>155103005</v>
      </c>
      <c r="G488" s="176">
        <f>G487+1</f>
        <v>3</v>
      </c>
      <c r="H488" s="176" t="str">
        <f>H487</f>
        <v>Gem</v>
      </c>
      <c r="I488" s="205">
        <f t="shared" si="319"/>
        <v>150</v>
      </c>
    </row>
    <row r="489" spans="1:9" ht="16.5" customHeight="1" x14ac:dyDescent="0.3">
      <c r="A489" s="173" t="b">
        <v>0</v>
      </c>
      <c r="B489" s="191" t="s">
        <v>332</v>
      </c>
      <c r="C489" s="192">
        <f t="shared" ref="C489:C491" si="347">C488+1</f>
        <v>484</v>
      </c>
      <c r="D489" s="173">
        <f>D488</f>
        <v>5</v>
      </c>
      <c r="E489" s="192">
        <f t="shared" si="337"/>
        <v>10</v>
      </c>
      <c r="F489" s="173">
        <f>F486+1</f>
        <v>155103006</v>
      </c>
      <c r="G489" s="192">
        <f t="shared" ref="G489:H489" si="348">G486</f>
        <v>1</v>
      </c>
      <c r="H489" s="192" t="str">
        <f t="shared" si="348"/>
        <v>Gem</v>
      </c>
      <c r="I489" s="206">
        <f t="shared" si="319"/>
        <v>50</v>
      </c>
    </row>
    <row r="490" spans="1:9" ht="16.5" customHeight="1" x14ac:dyDescent="0.3">
      <c r="A490" s="173" t="b">
        <v>0</v>
      </c>
      <c r="B490" s="191" t="s">
        <v>332</v>
      </c>
      <c r="C490" s="192">
        <f t="shared" si="347"/>
        <v>485</v>
      </c>
      <c r="D490" s="173">
        <f t="shared" ref="D490:D494" si="349">D489</f>
        <v>5</v>
      </c>
      <c r="E490" s="192">
        <f t="shared" si="337"/>
        <v>10</v>
      </c>
      <c r="F490" s="173">
        <f>F489</f>
        <v>155103006</v>
      </c>
      <c r="G490" s="192">
        <f t="shared" ref="G490:H490" si="350">G487</f>
        <v>2</v>
      </c>
      <c r="H490" s="192" t="str">
        <f t="shared" si="350"/>
        <v>Gem</v>
      </c>
      <c r="I490" s="206">
        <f t="shared" si="319"/>
        <v>100</v>
      </c>
    </row>
    <row r="491" spans="1:9" ht="16.5" customHeight="1" x14ac:dyDescent="0.3">
      <c r="A491" s="173" t="b">
        <v>0</v>
      </c>
      <c r="B491" s="191" t="s">
        <v>332</v>
      </c>
      <c r="C491" s="192">
        <f t="shared" si="347"/>
        <v>486</v>
      </c>
      <c r="D491" s="173">
        <f t="shared" si="349"/>
        <v>5</v>
      </c>
      <c r="E491" s="192">
        <f t="shared" si="337"/>
        <v>10</v>
      </c>
      <c r="F491" s="173">
        <f>F490</f>
        <v>155103006</v>
      </c>
      <c r="G491" s="192">
        <f t="shared" ref="G491:H491" si="351">G488</f>
        <v>3</v>
      </c>
      <c r="H491" s="192" t="str">
        <f t="shared" si="351"/>
        <v>Gem</v>
      </c>
      <c r="I491" s="206">
        <f t="shared" si="319"/>
        <v>150</v>
      </c>
    </row>
    <row r="492" spans="1:9" ht="16.5" customHeight="1" x14ac:dyDescent="0.3">
      <c r="A492" s="176" t="b">
        <v>0</v>
      </c>
      <c r="B492" s="189" t="s">
        <v>332</v>
      </c>
      <c r="C492" s="190">
        <f>C491+1</f>
        <v>487</v>
      </c>
      <c r="D492" s="176">
        <f t="shared" si="349"/>
        <v>5</v>
      </c>
      <c r="E492" s="190">
        <f t="shared" si="337"/>
        <v>10</v>
      </c>
      <c r="F492" s="190">
        <f>F489+1</f>
        <v>155103007</v>
      </c>
      <c r="G492" s="190">
        <v>1</v>
      </c>
      <c r="H492" s="190" t="s">
        <v>104</v>
      </c>
      <c r="I492" s="205">
        <f t="shared" si="319"/>
        <v>50</v>
      </c>
    </row>
    <row r="493" spans="1:9" ht="16.5" customHeight="1" x14ac:dyDescent="0.3">
      <c r="A493" s="176" t="b">
        <v>0</v>
      </c>
      <c r="B493" s="189" t="s">
        <v>332</v>
      </c>
      <c r="C493" s="190">
        <f>C492+1</f>
        <v>488</v>
      </c>
      <c r="D493" s="176">
        <f t="shared" si="349"/>
        <v>5</v>
      </c>
      <c r="E493" s="176">
        <f t="shared" si="337"/>
        <v>10</v>
      </c>
      <c r="F493" s="176">
        <f>F492</f>
        <v>155103007</v>
      </c>
      <c r="G493" s="176">
        <f>G492+1</f>
        <v>2</v>
      </c>
      <c r="H493" s="176" t="str">
        <f>H492</f>
        <v>Gem</v>
      </c>
      <c r="I493" s="205">
        <f t="shared" si="319"/>
        <v>100</v>
      </c>
    </row>
    <row r="494" spans="1:9" ht="16.5" customHeight="1" x14ac:dyDescent="0.3">
      <c r="A494" s="176" t="b">
        <v>0</v>
      </c>
      <c r="B494" s="189" t="s">
        <v>332</v>
      </c>
      <c r="C494" s="190">
        <f>C493+1</f>
        <v>489</v>
      </c>
      <c r="D494" s="176">
        <f t="shared" si="349"/>
        <v>5</v>
      </c>
      <c r="E494" s="176">
        <f t="shared" si="337"/>
        <v>10</v>
      </c>
      <c r="F494" s="176">
        <f>F493</f>
        <v>155103007</v>
      </c>
      <c r="G494" s="176">
        <f>G493+1</f>
        <v>3</v>
      </c>
      <c r="H494" s="176" t="str">
        <f>H493</f>
        <v>Gem</v>
      </c>
      <c r="I494" s="205">
        <f t="shared" si="319"/>
        <v>150</v>
      </c>
    </row>
    <row r="495" spans="1:9" ht="16.5" customHeight="1" x14ac:dyDescent="0.3">
      <c r="A495" s="173" t="b">
        <v>0</v>
      </c>
      <c r="B495" s="191" t="s">
        <v>332</v>
      </c>
      <c r="C495" s="192">
        <f t="shared" ref="C495:C497" si="352">C494+1</f>
        <v>490</v>
      </c>
      <c r="D495" s="173">
        <f>D494</f>
        <v>5</v>
      </c>
      <c r="E495" s="192">
        <f t="shared" si="337"/>
        <v>10</v>
      </c>
      <c r="F495" s="173">
        <f>F492+1</f>
        <v>155103008</v>
      </c>
      <c r="G495" s="192">
        <f t="shared" ref="G495:H495" si="353">G492</f>
        <v>1</v>
      </c>
      <c r="H495" s="192" t="str">
        <f t="shared" si="353"/>
        <v>Gem</v>
      </c>
      <c r="I495" s="206">
        <f t="shared" si="319"/>
        <v>50</v>
      </c>
    </row>
    <row r="496" spans="1:9" ht="16.5" customHeight="1" x14ac:dyDescent="0.3">
      <c r="A496" s="173" t="b">
        <v>0</v>
      </c>
      <c r="B496" s="191" t="s">
        <v>332</v>
      </c>
      <c r="C496" s="192">
        <f t="shared" si="352"/>
        <v>491</v>
      </c>
      <c r="D496" s="173">
        <f t="shared" ref="D496:D500" si="354">D495</f>
        <v>5</v>
      </c>
      <c r="E496" s="192">
        <f t="shared" si="337"/>
        <v>10</v>
      </c>
      <c r="F496" s="173">
        <f>F495</f>
        <v>155103008</v>
      </c>
      <c r="G496" s="192">
        <f t="shared" ref="G496:H496" si="355">G493</f>
        <v>2</v>
      </c>
      <c r="H496" s="192" t="str">
        <f t="shared" si="355"/>
        <v>Gem</v>
      </c>
      <c r="I496" s="206">
        <f t="shared" si="319"/>
        <v>100</v>
      </c>
    </row>
    <row r="497" spans="1:9" ht="16.5" customHeight="1" x14ac:dyDescent="0.3">
      <c r="A497" s="173" t="b">
        <v>0</v>
      </c>
      <c r="B497" s="191" t="s">
        <v>332</v>
      </c>
      <c r="C497" s="192">
        <f t="shared" si="352"/>
        <v>492</v>
      </c>
      <c r="D497" s="173">
        <f t="shared" si="354"/>
        <v>5</v>
      </c>
      <c r="E497" s="192">
        <f t="shared" si="337"/>
        <v>10</v>
      </c>
      <c r="F497" s="173">
        <f>F496</f>
        <v>155103008</v>
      </c>
      <c r="G497" s="192">
        <f t="shared" ref="G497:H497" si="356">G494</f>
        <v>3</v>
      </c>
      <c r="H497" s="192" t="str">
        <f t="shared" si="356"/>
        <v>Gem</v>
      </c>
      <c r="I497" s="206">
        <f t="shared" si="319"/>
        <v>150</v>
      </c>
    </row>
    <row r="498" spans="1:9" ht="16.5" customHeight="1" x14ac:dyDescent="0.3">
      <c r="A498" s="176" t="b">
        <v>0</v>
      </c>
      <c r="B498" s="189" t="s">
        <v>332</v>
      </c>
      <c r="C498" s="190">
        <f>C497+1</f>
        <v>493</v>
      </c>
      <c r="D498" s="176">
        <f t="shared" si="354"/>
        <v>5</v>
      </c>
      <c r="E498" s="190">
        <f t="shared" si="337"/>
        <v>10</v>
      </c>
      <c r="F498" s="190">
        <f>F495+1</f>
        <v>155103009</v>
      </c>
      <c r="G498" s="190">
        <v>1</v>
      </c>
      <c r="H498" s="190" t="s">
        <v>104</v>
      </c>
      <c r="I498" s="205">
        <f t="shared" si="319"/>
        <v>50</v>
      </c>
    </row>
    <row r="499" spans="1:9" ht="16.5" customHeight="1" x14ac:dyDescent="0.3">
      <c r="A499" s="176" t="b">
        <v>0</v>
      </c>
      <c r="B499" s="189" t="s">
        <v>332</v>
      </c>
      <c r="C499" s="190">
        <f>C498+1</f>
        <v>494</v>
      </c>
      <c r="D499" s="176">
        <f t="shared" si="354"/>
        <v>5</v>
      </c>
      <c r="E499" s="176">
        <f t="shared" si="337"/>
        <v>10</v>
      </c>
      <c r="F499" s="176">
        <f>F498</f>
        <v>155103009</v>
      </c>
      <c r="G499" s="176">
        <f>G498+1</f>
        <v>2</v>
      </c>
      <c r="H499" s="176" t="str">
        <f>H498</f>
        <v>Gem</v>
      </c>
      <c r="I499" s="205">
        <f t="shared" si="319"/>
        <v>100</v>
      </c>
    </row>
    <row r="500" spans="1:9" ht="16.5" customHeight="1" x14ac:dyDescent="0.3">
      <c r="A500" s="176" t="b">
        <v>0</v>
      </c>
      <c r="B500" s="189" t="s">
        <v>332</v>
      </c>
      <c r="C500" s="190">
        <f>C499+1</f>
        <v>495</v>
      </c>
      <c r="D500" s="176">
        <f t="shared" si="354"/>
        <v>5</v>
      </c>
      <c r="E500" s="176">
        <f t="shared" si="337"/>
        <v>10</v>
      </c>
      <c r="F500" s="176">
        <f>F499</f>
        <v>155103009</v>
      </c>
      <c r="G500" s="176">
        <f>G499+1</f>
        <v>3</v>
      </c>
      <c r="H500" s="176" t="str">
        <f>H499</f>
        <v>Gem</v>
      </c>
      <c r="I500" s="205">
        <f t="shared" si="319"/>
        <v>150</v>
      </c>
    </row>
    <row r="501" spans="1:9" ht="16.5" customHeight="1" x14ac:dyDescent="0.3">
      <c r="A501" s="173" t="b">
        <v>0</v>
      </c>
      <c r="B501" s="191" t="s">
        <v>332</v>
      </c>
      <c r="C501" s="192">
        <f t="shared" ref="C501:C503" si="357">C500+1</f>
        <v>496</v>
      </c>
      <c r="D501" s="173">
        <f>D500</f>
        <v>5</v>
      </c>
      <c r="E501" s="192">
        <f t="shared" si="337"/>
        <v>10</v>
      </c>
      <c r="F501" s="173">
        <f>F498+1</f>
        <v>155103010</v>
      </c>
      <c r="G501" s="192">
        <f t="shared" ref="G501:H501" si="358">G498</f>
        <v>1</v>
      </c>
      <c r="H501" s="192" t="str">
        <f t="shared" si="358"/>
        <v>Gem</v>
      </c>
      <c r="I501" s="206">
        <f t="shared" si="319"/>
        <v>50</v>
      </c>
    </row>
    <row r="502" spans="1:9" ht="16.5" customHeight="1" x14ac:dyDescent="0.3">
      <c r="A502" s="173" t="b">
        <v>0</v>
      </c>
      <c r="B502" s="191" t="s">
        <v>332</v>
      </c>
      <c r="C502" s="192">
        <f t="shared" si="357"/>
        <v>497</v>
      </c>
      <c r="D502" s="173">
        <f t="shared" ref="D502:D506" si="359">D501</f>
        <v>5</v>
      </c>
      <c r="E502" s="192">
        <f t="shared" si="337"/>
        <v>10</v>
      </c>
      <c r="F502" s="173">
        <f>F501</f>
        <v>155103010</v>
      </c>
      <c r="G502" s="192">
        <f t="shared" ref="G502:H502" si="360">G499</f>
        <v>2</v>
      </c>
      <c r="H502" s="192" t="str">
        <f t="shared" si="360"/>
        <v>Gem</v>
      </c>
      <c r="I502" s="206">
        <f t="shared" si="319"/>
        <v>100</v>
      </c>
    </row>
    <row r="503" spans="1:9" ht="16.5" customHeight="1" x14ac:dyDescent="0.3">
      <c r="A503" s="173" t="b">
        <v>0</v>
      </c>
      <c r="B503" s="191" t="s">
        <v>332</v>
      </c>
      <c r="C503" s="192">
        <f t="shared" si="357"/>
        <v>498</v>
      </c>
      <c r="D503" s="173">
        <f t="shared" si="359"/>
        <v>5</v>
      </c>
      <c r="E503" s="192">
        <f t="shared" si="337"/>
        <v>10</v>
      </c>
      <c r="F503" s="173">
        <f>F502</f>
        <v>155103010</v>
      </c>
      <c r="G503" s="192">
        <f t="shared" ref="G503:H503" si="361">G500</f>
        <v>3</v>
      </c>
      <c r="H503" s="192" t="str">
        <f t="shared" si="361"/>
        <v>Gem</v>
      </c>
      <c r="I503" s="206">
        <f t="shared" si="319"/>
        <v>150</v>
      </c>
    </row>
    <row r="504" spans="1:9" ht="16.5" customHeight="1" x14ac:dyDescent="0.3">
      <c r="A504" s="176" t="b">
        <v>0</v>
      </c>
      <c r="B504" s="189" t="s">
        <v>332</v>
      </c>
      <c r="C504" s="190">
        <f>C503+1</f>
        <v>499</v>
      </c>
      <c r="D504" s="176">
        <f t="shared" si="359"/>
        <v>5</v>
      </c>
      <c r="E504" s="190">
        <f t="shared" si="337"/>
        <v>10</v>
      </c>
      <c r="F504" s="190">
        <f>F501+1</f>
        <v>155103011</v>
      </c>
      <c r="G504" s="190">
        <v>1</v>
      </c>
      <c r="H504" s="190" t="s">
        <v>104</v>
      </c>
      <c r="I504" s="205">
        <f t="shared" si="319"/>
        <v>50</v>
      </c>
    </row>
    <row r="505" spans="1:9" ht="16.5" customHeight="1" x14ac:dyDescent="0.3">
      <c r="A505" s="176" t="b">
        <v>0</v>
      </c>
      <c r="B505" s="189" t="s">
        <v>332</v>
      </c>
      <c r="C505" s="190">
        <f>C504+1</f>
        <v>500</v>
      </c>
      <c r="D505" s="176">
        <f t="shared" si="359"/>
        <v>5</v>
      </c>
      <c r="E505" s="176">
        <f t="shared" si="337"/>
        <v>10</v>
      </c>
      <c r="F505" s="176">
        <f>F504</f>
        <v>155103011</v>
      </c>
      <c r="G505" s="176">
        <f>G504+1</f>
        <v>2</v>
      </c>
      <c r="H505" s="176" t="str">
        <f>H504</f>
        <v>Gem</v>
      </c>
      <c r="I505" s="205">
        <f t="shared" si="319"/>
        <v>100</v>
      </c>
    </row>
    <row r="506" spans="1:9" ht="16.5" customHeight="1" x14ac:dyDescent="0.3">
      <c r="A506" s="176" t="b">
        <v>0</v>
      </c>
      <c r="B506" s="189" t="s">
        <v>332</v>
      </c>
      <c r="C506" s="190">
        <f>C505+1</f>
        <v>501</v>
      </c>
      <c r="D506" s="176">
        <f t="shared" si="359"/>
        <v>5</v>
      </c>
      <c r="E506" s="176">
        <f t="shared" si="337"/>
        <v>10</v>
      </c>
      <c r="F506" s="176">
        <f>F505</f>
        <v>155103011</v>
      </c>
      <c r="G506" s="176">
        <f>G505+1</f>
        <v>3</v>
      </c>
      <c r="H506" s="176" t="str">
        <f>H505</f>
        <v>Gem</v>
      </c>
      <c r="I506" s="205">
        <f t="shared" si="319"/>
        <v>150</v>
      </c>
    </row>
    <row r="507" spans="1:9" ht="16.5" customHeight="1" x14ac:dyDescent="0.3">
      <c r="A507" s="173" t="b">
        <v>0</v>
      </c>
      <c r="B507" s="191" t="s">
        <v>332</v>
      </c>
      <c r="C507" s="192">
        <f t="shared" ref="C507:C570" si="362">C506+1</f>
        <v>502</v>
      </c>
      <c r="D507" s="173">
        <f>D506</f>
        <v>5</v>
      </c>
      <c r="E507" s="192">
        <f t="shared" si="337"/>
        <v>10</v>
      </c>
      <c r="F507" s="173">
        <f>F504+1</f>
        <v>155103012</v>
      </c>
      <c r="G507" s="192">
        <f t="shared" ref="G507:H507" si="363">G504</f>
        <v>1</v>
      </c>
      <c r="H507" s="192" t="str">
        <f t="shared" si="363"/>
        <v>Gem</v>
      </c>
      <c r="I507" s="206">
        <f t="shared" si="319"/>
        <v>50</v>
      </c>
    </row>
    <row r="508" spans="1:9" ht="16.5" customHeight="1" x14ac:dyDescent="0.3">
      <c r="A508" s="173" t="b">
        <v>0</v>
      </c>
      <c r="B508" s="191" t="s">
        <v>332</v>
      </c>
      <c r="C508" s="192">
        <f t="shared" si="362"/>
        <v>503</v>
      </c>
      <c r="D508" s="173">
        <f t="shared" ref="D508:D509" si="364">D507</f>
        <v>5</v>
      </c>
      <c r="E508" s="192">
        <f t="shared" si="337"/>
        <v>10</v>
      </c>
      <c r="F508" s="173">
        <f>F507</f>
        <v>155103012</v>
      </c>
      <c r="G508" s="192">
        <f t="shared" ref="G508:H508" si="365">G505</f>
        <v>2</v>
      </c>
      <c r="H508" s="192" t="str">
        <f t="shared" si="365"/>
        <v>Gem</v>
      </c>
      <c r="I508" s="206">
        <f t="shared" si="319"/>
        <v>100</v>
      </c>
    </row>
    <row r="509" spans="1:9" ht="16.5" customHeight="1" x14ac:dyDescent="0.3">
      <c r="A509" s="173" t="b">
        <v>0</v>
      </c>
      <c r="B509" s="191" t="s">
        <v>332</v>
      </c>
      <c r="C509" s="192">
        <f t="shared" si="362"/>
        <v>504</v>
      </c>
      <c r="D509" s="173">
        <f t="shared" si="364"/>
        <v>5</v>
      </c>
      <c r="E509" s="192">
        <f t="shared" si="337"/>
        <v>10</v>
      </c>
      <c r="F509" s="173">
        <f>F508</f>
        <v>155103012</v>
      </c>
      <c r="G509" s="192">
        <f t="shared" ref="G509:H509" si="366">G506</f>
        <v>3</v>
      </c>
      <c r="H509" s="192" t="str">
        <f t="shared" si="366"/>
        <v>Gem</v>
      </c>
      <c r="I509" s="206">
        <f t="shared" si="319"/>
        <v>150</v>
      </c>
    </row>
    <row r="510" spans="1:9" ht="16.5" customHeight="1" x14ac:dyDescent="0.3">
      <c r="A510" s="172" t="b">
        <v>1</v>
      </c>
      <c r="B510" s="196" t="s">
        <v>417</v>
      </c>
      <c r="C510" s="196">
        <f t="shared" si="362"/>
        <v>505</v>
      </c>
      <c r="D510" s="186">
        <v>6</v>
      </c>
      <c r="E510" s="185">
        <v>10</v>
      </c>
      <c r="F510" s="186">
        <v>155101001</v>
      </c>
      <c r="G510" s="185">
        <v>1</v>
      </c>
      <c r="H510" s="185" t="s">
        <v>104</v>
      </c>
      <c r="I510" s="207">
        <f t="shared" si="319"/>
        <v>50</v>
      </c>
    </row>
    <row r="511" spans="1:9" ht="16.5" customHeight="1" x14ac:dyDescent="0.3">
      <c r="A511" s="172" t="b">
        <v>1</v>
      </c>
      <c r="B511" s="197" t="s">
        <v>333</v>
      </c>
      <c r="C511" s="196">
        <f t="shared" si="362"/>
        <v>506</v>
      </c>
      <c r="D511" s="196">
        <f t="shared" ref="D511:D515" si="367">D510</f>
        <v>6</v>
      </c>
      <c r="E511" s="185">
        <v>10</v>
      </c>
      <c r="F511" s="196">
        <f>F510</f>
        <v>155101001</v>
      </c>
      <c r="G511" s="196">
        <f>G510+1</f>
        <v>2</v>
      </c>
      <c r="H511" s="196" t="str">
        <f>H510</f>
        <v>Gem</v>
      </c>
      <c r="I511" s="207">
        <f t="shared" si="319"/>
        <v>100</v>
      </c>
    </row>
    <row r="512" spans="1:9" ht="16.5" customHeight="1" x14ac:dyDescent="0.3">
      <c r="A512" s="172" t="b">
        <v>1</v>
      </c>
      <c r="B512" s="197" t="s">
        <v>333</v>
      </c>
      <c r="C512" s="196">
        <f t="shared" si="362"/>
        <v>507</v>
      </c>
      <c r="D512" s="196">
        <f t="shared" si="367"/>
        <v>6</v>
      </c>
      <c r="E512" s="185">
        <v>10</v>
      </c>
      <c r="F512" s="196">
        <f>F511</f>
        <v>155101001</v>
      </c>
      <c r="G512" s="196">
        <f>G511+1</f>
        <v>3</v>
      </c>
      <c r="H512" s="196" t="str">
        <f>H511</f>
        <v>Gem</v>
      </c>
      <c r="I512" s="207">
        <f t="shared" si="319"/>
        <v>150</v>
      </c>
    </row>
    <row r="513" spans="1:9" ht="16.5" customHeight="1" x14ac:dyDescent="0.3">
      <c r="A513" s="172" t="b">
        <v>1</v>
      </c>
      <c r="B513" s="197" t="s">
        <v>333</v>
      </c>
      <c r="C513" s="196">
        <f t="shared" si="362"/>
        <v>508</v>
      </c>
      <c r="D513" s="196">
        <f t="shared" si="367"/>
        <v>6</v>
      </c>
      <c r="E513" s="185">
        <v>6</v>
      </c>
      <c r="F513" s="196">
        <f>F512</f>
        <v>155101001</v>
      </c>
      <c r="G513" s="185">
        <v>1</v>
      </c>
      <c r="H513" s="185" t="s">
        <v>334</v>
      </c>
      <c r="I513" s="207">
        <f t="shared" si="319"/>
        <v>10000</v>
      </c>
    </row>
    <row r="514" spans="1:9" ht="16.5" customHeight="1" x14ac:dyDescent="0.3">
      <c r="A514" s="172" t="b">
        <v>1</v>
      </c>
      <c r="B514" s="197" t="s">
        <v>333</v>
      </c>
      <c r="C514" s="196">
        <f t="shared" si="362"/>
        <v>509</v>
      </c>
      <c r="D514" s="196">
        <f t="shared" si="367"/>
        <v>6</v>
      </c>
      <c r="E514" s="185">
        <v>6</v>
      </c>
      <c r="F514" s="196">
        <f>F513</f>
        <v>155101001</v>
      </c>
      <c r="G514" s="196">
        <f>G513+1</f>
        <v>2</v>
      </c>
      <c r="H514" s="196" t="str">
        <f t="shared" ref="H514:H515" si="368">H513</f>
        <v>Gold</v>
      </c>
      <c r="I514" s="207">
        <f t="shared" si="319"/>
        <v>20000</v>
      </c>
    </row>
    <row r="515" spans="1:9" ht="16.5" customHeight="1" x14ac:dyDescent="0.3">
      <c r="A515" s="172" t="b">
        <v>1</v>
      </c>
      <c r="B515" s="197" t="s">
        <v>333</v>
      </c>
      <c r="C515" s="196">
        <f t="shared" si="362"/>
        <v>510</v>
      </c>
      <c r="D515" s="196">
        <f t="shared" si="367"/>
        <v>6</v>
      </c>
      <c r="E515" s="185">
        <v>6</v>
      </c>
      <c r="F515" s="196">
        <f>F514</f>
        <v>155101001</v>
      </c>
      <c r="G515" s="196">
        <f>G514+1</f>
        <v>3</v>
      </c>
      <c r="H515" s="196" t="str">
        <f t="shared" si="368"/>
        <v>Gold</v>
      </c>
      <c r="I515" s="207">
        <f t="shared" si="319"/>
        <v>30000</v>
      </c>
    </row>
    <row r="516" spans="1:9" ht="16.5" customHeight="1" x14ac:dyDescent="0.3">
      <c r="A516" s="193" t="b">
        <v>1</v>
      </c>
      <c r="B516" s="195" t="s">
        <v>333</v>
      </c>
      <c r="C516" s="194">
        <f t="shared" si="362"/>
        <v>511</v>
      </c>
      <c r="D516" s="193">
        <f>D512</f>
        <v>6</v>
      </c>
      <c r="E516" s="194">
        <f>E510</f>
        <v>10</v>
      </c>
      <c r="F516" s="193">
        <f>F510+1</f>
        <v>155101002</v>
      </c>
      <c r="G516" s="194">
        <f>G510</f>
        <v>1</v>
      </c>
      <c r="H516" s="194" t="str">
        <f>H510</f>
        <v>Gem</v>
      </c>
      <c r="I516" s="208">
        <f t="shared" si="319"/>
        <v>50</v>
      </c>
    </row>
    <row r="517" spans="1:9" ht="16.5" customHeight="1" x14ac:dyDescent="0.3">
      <c r="A517" s="193" t="b">
        <v>1</v>
      </c>
      <c r="B517" s="195" t="s">
        <v>333</v>
      </c>
      <c r="C517" s="194">
        <f t="shared" si="362"/>
        <v>512</v>
      </c>
      <c r="D517" s="193">
        <f t="shared" ref="D517:D527" si="369">D516</f>
        <v>6</v>
      </c>
      <c r="E517" s="194">
        <f t="shared" ref="E517:E521" si="370">E511</f>
        <v>10</v>
      </c>
      <c r="F517" s="193">
        <f>F516</f>
        <v>155101002</v>
      </c>
      <c r="G517" s="194">
        <f t="shared" ref="G517:H517" si="371">G511</f>
        <v>2</v>
      </c>
      <c r="H517" s="194" t="str">
        <f t="shared" si="371"/>
        <v>Gem</v>
      </c>
      <c r="I517" s="208">
        <f t="shared" si="319"/>
        <v>100</v>
      </c>
    </row>
    <row r="518" spans="1:9" ht="16.5" customHeight="1" x14ac:dyDescent="0.3">
      <c r="A518" s="193" t="b">
        <v>1</v>
      </c>
      <c r="B518" s="195" t="s">
        <v>333</v>
      </c>
      <c r="C518" s="194">
        <f t="shared" si="362"/>
        <v>513</v>
      </c>
      <c r="D518" s="193">
        <f t="shared" si="369"/>
        <v>6</v>
      </c>
      <c r="E518" s="194">
        <f t="shared" si="370"/>
        <v>10</v>
      </c>
      <c r="F518" s="193">
        <f>F517</f>
        <v>155101002</v>
      </c>
      <c r="G518" s="194">
        <f t="shared" ref="G518:H518" si="372">G512</f>
        <v>3</v>
      </c>
      <c r="H518" s="194" t="str">
        <f t="shared" si="372"/>
        <v>Gem</v>
      </c>
      <c r="I518" s="208">
        <f t="shared" ref="I518:I581" si="373">IF(H518="Gem",$H$1*G518,IF(H518="Gold",$I$1*G518))</f>
        <v>150</v>
      </c>
    </row>
    <row r="519" spans="1:9" ht="16.5" customHeight="1" x14ac:dyDescent="0.3">
      <c r="A519" s="193" t="b">
        <v>1</v>
      </c>
      <c r="B519" s="195" t="s">
        <v>333</v>
      </c>
      <c r="C519" s="194">
        <f t="shared" si="362"/>
        <v>514</v>
      </c>
      <c r="D519" s="193">
        <f t="shared" si="369"/>
        <v>6</v>
      </c>
      <c r="E519" s="194">
        <f t="shared" si="370"/>
        <v>6</v>
      </c>
      <c r="F519" s="193">
        <f>F518</f>
        <v>155101002</v>
      </c>
      <c r="G519" s="194">
        <f t="shared" ref="G519:H519" si="374">G513</f>
        <v>1</v>
      </c>
      <c r="H519" s="194" t="str">
        <f t="shared" si="374"/>
        <v>Gold</v>
      </c>
      <c r="I519" s="208">
        <f t="shared" si="373"/>
        <v>10000</v>
      </c>
    </row>
    <row r="520" spans="1:9" ht="16.5" customHeight="1" x14ac:dyDescent="0.3">
      <c r="A520" s="193" t="b">
        <v>1</v>
      </c>
      <c r="B520" s="195" t="s">
        <v>333</v>
      </c>
      <c r="C520" s="194">
        <f t="shared" si="362"/>
        <v>515</v>
      </c>
      <c r="D520" s="193">
        <f t="shared" si="369"/>
        <v>6</v>
      </c>
      <c r="E520" s="194">
        <f t="shared" si="370"/>
        <v>6</v>
      </c>
      <c r="F520" s="193">
        <f>F519</f>
        <v>155101002</v>
      </c>
      <c r="G520" s="194">
        <f t="shared" ref="G520:H520" si="375">G514</f>
        <v>2</v>
      </c>
      <c r="H520" s="194" t="str">
        <f t="shared" si="375"/>
        <v>Gold</v>
      </c>
      <c r="I520" s="208">
        <f t="shared" si="373"/>
        <v>20000</v>
      </c>
    </row>
    <row r="521" spans="1:9" ht="16.5" customHeight="1" x14ac:dyDescent="0.3">
      <c r="A521" s="193" t="b">
        <v>1</v>
      </c>
      <c r="B521" s="195" t="s">
        <v>333</v>
      </c>
      <c r="C521" s="194">
        <f t="shared" si="362"/>
        <v>516</v>
      </c>
      <c r="D521" s="193">
        <f t="shared" si="369"/>
        <v>6</v>
      </c>
      <c r="E521" s="194">
        <f t="shared" si="370"/>
        <v>6</v>
      </c>
      <c r="F521" s="193">
        <f>F520</f>
        <v>155101002</v>
      </c>
      <c r="G521" s="194">
        <f t="shared" ref="G521:H521" si="376">G515</f>
        <v>3</v>
      </c>
      <c r="H521" s="194" t="str">
        <f t="shared" si="376"/>
        <v>Gold</v>
      </c>
      <c r="I521" s="208">
        <f t="shared" si="373"/>
        <v>30000</v>
      </c>
    </row>
    <row r="522" spans="1:9" ht="16.5" customHeight="1" x14ac:dyDescent="0.3">
      <c r="A522" s="172" t="b">
        <v>1</v>
      </c>
      <c r="B522" s="196" t="s">
        <v>333</v>
      </c>
      <c r="C522" s="196">
        <f t="shared" si="362"/>
        <v>517</v>
      </c>
      <c r="D522" s="172">
        <f t="shared" si="369"/>
        <v>6</v>
      </c>
      <c r="E522" s="196">
        <f>E516</f>
        <v>10</v>
      </c>
      <c r="F522" s="172">
        <f>F516+1</f>
        <v>155101003</v>
      </c>
      <c r="G522" s="196">
        <v>1</v>
      </c>
      <c r="H522" s="196" t="s">
        <v>104</v>
      </c>
      <c r="I522" s="207">
        <f t="shared" si="373"/>
        <v>50</v>
      </c>
    </row>
    <row r="523" spans="1:9" ht="16.5" customHeight="1" x14ac:dyDescent="0.3">
      <c r="A523" s="172" t="b">
        <v>1</v>
      </c>
      <c r="B523" s="197" t="s">
        <v>333</v>
      </c>
      <c r="C523" s="196">
        <f t="shared" si="362"/>
        <v>518</v>
      </c>
      <c r="D523" s="172">
        <f t="shared" si="369"/>
        <v>6</v>
      </c>
      <c r="E523" s="196">
        <f t="shared" ref="E523:E527" si="377">E517</f>
        <v>10</v>
      </c>
      <c r="F523" s="172">
        <f>F522</f>
        <v>155101003</v>
      </c>
      <c r="G523" s="196">
        <f>G522+1</f>
        <v>2</v>
      </c>
      <c r="H523" s="196" t="str">
        <f>H522</f>
        <v>Gem</v>
      </c>
      <c r="I523" s="207">
        <f t="shared" si="373"/>
        <v>100</v>
      </c>
    </row>
    <row r="524" spans="1:9" ht="16.5" customHeight="1" x14ac:dyDescent="0.3">
      <c r="A524" s="172" t="b">
        <v>1</v>
      </c>
      <c r="B524" s="197" t="s">
        <v>333</v>
      </c>
      <c r="C524" s="196">
        <f t="shared" si="362"/>
        <v>519</v>
      </c>
      <c r="D524" s="172">
        <f t="shared" si="369"/>
        <v>6</v>
      </c>
      <c r="E524" s="196">
        <f t="shared" si="377"/>
        <v>10</v>
      </c>
      <c r="F524" s="172">
        <f>F523</f>
        <v>155101003</v>
      </c>
      <c r="G524" s="196">
        <f>G523+1</f>
        <v>3</v>
      </c>
      <c r="H524" s="196" t="str">
        <f>H523</f>
        <v>Gem</v>
      </c>
      <c r="I524" s="207">
        <f t="shared" si="373"/>
        <v>150</v>
      </c>
    </row>
    <row r="525" spans="1:9" ht="16.5" customHeight="1" x14ac:dyDescent="0.3">
      <c r="A525" s="172" t="b">
        <v>1</v>
      </c>
      <c r="B525" s="196" t="s">
        <v>333</v>
      </c>
      <c r="C525" s="196">
        <f t="shared" si="362"/>
        <v>520</v>
      </c>
      <c r="D525" s="172">
        <f t="shared" si="369"/>
        <v>6</v>
      </c>
      <c r="E525" s="196">
        <f t="shared" si="377"/>
        <v>6</v>
      </c>
      <c r="F525" s="172">
        <f>F524</f>
        <v>155101003</v>
      </c>
      <c r="G525" s="196">
        <v>1</v>
      </c>
      <c r="H525" s="196" t="s">
        <v>334</v>
      </c>
      <c r="I525" s="207">
        <f t="shared" si="373"/>
        <v>10000</v>
      </c>
    </row>
    <row r="526" spans="1:9" ht="16.5" customHeight="1" x14ac:dyDescent="0.3">
      <c r="A526" s="172" t="b">
        <v>1</v>
      </c>
      <c r="B526" s="196" t="s">
        <v>333</v>
      </c>
      <c r="C526" s="196">
        <f t="shared" si="362"/>
        <v>521</v>
      </c>
      <c r="D526" s="172">
        <f t="shared" si="369"/>
        <v>6</v>
      </c>
      <c r="E526" s="196">
        <f t="shared" si="377"/>
        <v>6</v>
      </c>
      <c r="F526" s="172">
        <f>F525</f>
        <v>155101003</v>
      </c>
      <c r="G526" s="196">
        <f>G525+1</f>
        <v>2</v>
      </c>
      <c r="H526" s="196" t="str">
        <f t="shared" ref="H526:H527" si="378">H525</f>
        <v>Gold</v>
      </c>
      <c r="I526" s="207">
        <f t="shared" si="373"/>
        <v>20000</v>
      </c>
    </row>
    <row r="527" spans="1:9" ht="16.5" customHeight="1" x14ac:dyDescent="0.3">
      <c r="A527" s="172" t="b">
        <v>1</v>
      </c>
      <c r="B527" s="196" t="s">
        <v>333</v>
      </c>
      <c r="C527" s="196">
        <f t="shared" si="362"/>
        <v>522</v>
      </c>
      <c r="D527" s="172">
        <f t="shared" si="369"/>
        <v>6</v>
      </c>
      <c r="E527" s="196">
        <f t="shared" si="377"/>
        <v>6</v>
      </c>
      <c r="F527" s="172">
        <f>F526</f>
        <v>155101003</v>
      </c>
      <c r="G527" s="196">
        <f>G526+1</f>
        <v>3</v>
      </c>
      <c r="H527" s="196" t="str">
        <f t="shared" si="378"/>
        <v>Gold</v>
      </c>
      <c r="I527" s="207">
        <f t="shared" si="373"/>
        <v>30000</v>
      </c>
    </row>
    <row r="528" spans="1:9" ht="16.5" customHeight="1" x14ac:dyDescent="0.3">
      <c r="A528" s="193" t="b">
        <v>1</v>
      </c>
      <c r="B528" s="195" t="s">
        <v>333</v>
      </c>
      <c r="C528" s="194">
        <f t="shared" si="362"/>
        <v>523</v>
      </c>
      <c r="D528" s="193">
        <f>D524</f>
        <v>6</v>
      </c>
      <c r="E528" s="194">
        <f>E522</f>
        <v>10</v>
      </c>
      <c r="F528" s="193">
        <f>F522+1</f>
        <v>155101004</v>
      </c>
      <c r="G528" s="194">
        <f>G522</f>
        <v>1</v>
      </c>
      <c r="H528" s="194" t="str">
        <f>H522</f>
        <v>Gem</v>
      </c>
      <c r="I528" s="208">
        <f t="shared" si="373"/>
        <v>50</v>
      </c>
    </row>
    <row r="529" spans="1:9" ht="16.5" customHeight="1" x14ac:dyDescent="0.3">
      <c r="A529" s="193" t="b">
        <v>1</v>
      </c>
      <c r="B529" s="195" t="s">
        <v>333</v>
      </c>
      <c r="C529" s="194">
        <f t="shared" si="362"/>
        <v>524</v>
      </c>
      <c r="D529" s="193">
        <f t="shared" ref="D529:D539" si="379">D528</f>
        <v>6</v>
      </c>
      <c r="E529" s="194">
        <f t="shared" ref="E529:E533" si="380">E523</f>
        <v>10</v>
      </c>
      <c r="F529" s="193">
        <f>F528</f>
        <v>155101004</v>
      </c>
      <c r="G529" s="194">
        <f t="shared" ref="G529:H529" si="381">G523</f>
        <v>2</v>
      </c>
      <c r="H529" s="194" t="str">
        <f t="shared" si="381"/>
        <v>Gem</v>
      </c>
      <c r="I529" s="208">
        <f t="shared" si="373"/>
        <v>100</v>
      </c>
    </row>
    <row r="530" spans="1:9" ht="16.5" customHeight="1" x14ac:dyDescent="0.3">
      <c r="A530" s="193" t="b">
        <v>1</v>
      </c>
      <c r="B530" s="195" t="s">
        <v>333</v>
      </c>
      <c r="C530" s="194">
        <f t="shared" si="362"/>
        <v>525</v>
      </c>
      <c r="D530" s="193">
        <f t="shared" si="379"/>
        <v>6</v>
      </c>
      <c r="E530" s="194">
        <f t="shared" si="380"/>
        <v>10</v>
      </c>
      <c r="F530" s="193">
        <f>F529</f>
        <v>155101004</v>
      </c>
      <c r="G530" s="194">
        <f t="shared" ref="G530:H530" si="382">G524</f>
        <v>3</v>
      </c>
      <c r="H530" s="194" t="str">
        <f t="shared" si="382"/>
        <v>Gem</v>
      </c>
      <c r="I530" s="208">
        <f t="shared" si="373"/>
        <v>150</v>
      </c>
    </row>
    <row r="531" spans="1:9" ht="16.5" customHeight="1" x14ac:dyDescent="0.3">
      <c r="A531" s="193" t="b">
        <v>1</v>
      </c>
      <c r="B531" s="195" t="s">
        <v>333</v>
      </c>
      <c r="C531" s="194">
        <f t="shared" si="362"/>
        <v>526</v>
      </c>
      <c r="D531" s="193">
        <f t="shared" si="379"/>
        <v>6</v>
      </c>
      <c r="E531" s="194">
        <f t="shared" si="380"/>
        <v>6</v>
      </c>
      <c r="F531" s="193">
        <f>F530</f>
        <v>155101004</v>
      </c>
      <c r="G531" s="194">
        <f t="shared" ref="G531:H531" si="383">G525</f>
        <v>1</v>
      </c>
      <c r="H531" s="194" t="str">
        <f t="shared" si="383"/>
        <v>Gold</v>
      </c>
      <c r="I531" s="208">
        <f t="shared" si="373"/>
        <v>10000</v>
      </c>
    </row>
    <row r="532" spans="1:9" ht="16.5" customHeight="1" x14ac:dyDescent="0.3">
      <c r="A532" s="193" t="b">
        <v>1</v>
      </c>
      <c r="B532" s="195" t="s">
        <v>333</v>
      </c>
      <c r="C532" s="194">
        <f t="shared" si="362"/>
        <v>527</v>
      </c>
      <c r="D532" s="193">
        <f t="shared" si="379"/>
        <v>6</v>
      </c>
      <c r="E532" s="194">
        <f t="shared" si="380"/>
        <v>6</v>
      </c>
      <c r="F532" s="193">
        <f>F531</f>
        <v>155101004</v>
      </c>
      <c r="G532" s="194">
        <f t="shared" ref="G532:H532" si="384">G526</f>
        <v>2</v>
      </c>
      <c r="H532" s="194" t="str">
        <f t="shared" si="384"/>
        <v>Gold</v>
      </c>
      <c r="I532" s="208">
        <f t="shared" si="373"/>
        <v>20000</v>
      </c>
    </row>
    <row r="533" spans="1:9" ht="16.5" customHeight="1" x14ac:dyDescent="0.3">
      <c r="A533" s="193" t="b">
        <v>1</v>
      </c>
      <c r="B533" s="195" t="s">
        <v>333</v>
      </c>
      <c r="C533" s="194">
        <f t="shared" si="362"/>
        <v>528</v>
      </c>
      <c r="D533" s="193">
        <f t="shared" si="379"/>
        <v>6</v>
      </c>
      <c r="E533" s="194">
        <f t="shared" si="380"/>
        <v>6</v>
      </c>
      <c r="F533" s="193">
        <f>F532</f>
        <v>155101004</v>
      </c>
      <c r="G533" s="194">
        <f t="shared" ref="G533:H533" si="385">G527</f>
        <v>3</v>
      </c>
      <c r="H533" s="194" t="str">
        <f t="shared" si="385"/>
        <v>Gold</v>
      </c>
      <c r="I533" s="208">
        <f t="shared" si="373"/>
        <v>30000</v>
      </c>
    </row>
    <row r="534" spans="1:9" ht="16.5" customHeight="1" x14ac:dyDescent="0.3">
      <c r="A534" s="172" t="b">
        <v>1</v>
      </c>
      <c r="B534" s="196" t="s">
        <v>333</v>
      </c>
      <c r="C534" s="196">
        <f t="shared" si="362"/>
        <v>529</v>
      </c>
      <c r="D534" s="172">
        <f t="shared" si="379"/>
        <v>6</v>
      </c>
      <c r="E534" s="196">
        <f>E528</f>
        <v>10</v>
      </c>
      <c r="F534" s="172">
        <f>F528+1</f>
        <v>155101005</v>
      </c>
      <c r="G534" s="196">
        <v>1</v>
      </c>
      <c r="H534" s="196" t="s">
        <v>104</v>
      </c>
      <c r="I534" s="207">
        <f t="shared" si="373"/>
        <v>50</v>
      </c>
    </row>
    <row r="535" spans="1:9" ht="16.5" customHeight="1" x14ac:dyDescent="0.3">
      <c r="A535" s="172" t="b">
        <v>1</v>
      </c>
      <c r="B535" s="197" t="s">
        <v>333</v>
      </c>
      <c r="C535" s="196">
        <f t="shared" si="362"/>
        <v>530</v>
      </c>
      <c r="D535" s="172">
        <f t="shared" si="379"/>
        <v>6</v>
      </c>
      <c r="E535" s="196">
        <f t="shared" ref="E535:E539" si="386">E529</f>
        <v>10</v>
      </c>
      <c r="F535" s="172">
        <f>F534</f>
        <v>155101005</v>
      </c>
      <c r="G535" s="196">
        <f>G534+1</f>
        <v>2</v>
      </c>
      <c r="H535" s="196" t="str">
        <f>H534</f>
        <v>Gem</v>
      </c>
      <c r="I535" s="207">
        <f t="shared" si="373"/>
        <v>100</v>
      </c>
    </row>
    <row r="536" spans="1:9" ht="16.5" customHeight="1" x14ac:dyDescent="0.3">
      <c r="A536" s="172" t="b">
        <v>1</v>
      </c>
      <c r="B536" s="197" t="s">
        <v>333</v>
      </c>
      <c r="C536" s="196">
        <f t="shared" si="362"/>
        <v>531</v>
      </c>
      <c r="D536" s="172">
        <f t="shared" si="379"/>
        <v>6</v>
      </c>
      <c r="E536" s="196">
        <f t="shared" si="386"/>
        <v>10</v>
      </c>
      <c r="F536" s="172">
        <f>F535</f>
        <v>155101005</v>
      </c>
      <c r="G536" s="196">
        <f>G535+1</f>
        <v>3</v>
      </c>
      <c r="H536" s="196" t="str">
        <f>H535</f>
        <v>Gem</v>
      </c>
      <c r="I536" s="207">
        <f t="shared" si="373"/>
        <v>150</v>
      </c>
    </row>
    <row r="537" spans="1:9" ht="16.5" customHeight="1" x14ac:dyDescent="0.3">
      <c r="A537" s="172" t="b">
        <v>1</v>
      </c>
      <c r="B537" s="196" t="s">
        <v>333</v>
      </c>
      <c r="C537" s="196">
        <f t="shared" si="362"/>
        <v>532</v>
      </c>
      <c r="D537" s="172">
        <f t="shared" si="379"/>
        <v>6</v>
      </c>
      <c r="E537" s="196">
        <f t="shared" si="386"/>
        <v>6</v>
      </c>
      <c r="F537" s="172">
        <f>F536</f>
        <v>155101005</v>
      </c>
      <c r="G537" s="196">
        <v>1</v>
      </c>
      <c r="H537" s="196" t="s">
        <v>334</v>
      </c>
      <c r="I537" s="207">
        <f t="shared" si="373"/>
        <v>10000</v>
      </c>
    </row>
    <row r="538" spans="1:9" ht="16.5" customHeight="1" x14ac:dyDescent="0.3">
      <c r="A538" s="172" t="b">
        <v>1</v>
      </c>
      <c r="B538" s="196" t="s">
        <v>333</v>
      </c>
      <c r="C538" s="196">
        <f t="shared" si="362"/>
        <v>533</v>
      </c>
      <c r="D538" s="172">
        <f t="shared" si="379"/>
        <v>6</v>
      </c>
      <c r="E538" s="196">
        <f t="shared" si="386"/>
        <v>6</v>
      </c>
      <c r="F538" s="172">
        <f>F537</f>
        <v>155101005</v>
      </c>
      <c r="G538" s="196">
        <f>G537+1</f>
        <v>2</v>
      </c>
      <c r="H538" s="196" t="str">
        <f t="shared" ref="H538:H539" si="387">H537</f>
        <v>Gold</v>
      </c>
      <c r="I538" s="207">
        <f t="shared" si="373"/>
        <v>20000</v>
      </c>
    </row>
    <row r="539" spans="1:9" ht="16.5" customHeight="1" x14ac:dyDescent="0.3">
      <c r="A539" s="172" t="b">
        <v>1</v>
      </c>
      <c r="B539" s="196" t="s">
        <v>333</v>
      </c>
      <c r="C539" s="196">
        <f t="shared" si="362"/>
        <v>534</v>
      </c>
      <c r="D539" s="172">
        <f t="shared" si="379"/>
        <v>6</v>
      </c>
      <c r="E539" s="196">
        <f t="shared" si="386"/>
        <v>6</v>
      </c>
      <c r="F539" s="172">
        <f>F538</f>
        <v>155101005</v>
      </c>
      <c r="G539" s="196">
        <f>G538+1</f>
        <v>3</v>
      </c>
      <c r="H539" s="196" t="str">
        <f t="shared" si="387"/>
        <v>Gold</v>
      </c>
      <c r="I539" s="207">
        <f t="shared" si="373"/>
        <v>30000</v>
      </c>
    </row>
    <row r="540" spans="1:9" ht="16.5" customHeight="1" x14ac:dyDescent="0.3">
      <c r="A540" s="193" t="b">
        <v>1</v>
      </c>
      <c r="B540" s="195" t="s">
        <v>333</v>
      </c>
      <c r="C540" s="194">
        <f t="shared" si="362"/>
        <v>535</v>
      </c>
      <c r="D540" s="193">
        <f>D536</f>
        <v>6</v>
      </c>
      <c r="E540" s="194">
        <f>E534</f>
        <v>10</v>
      </c>
      <c r="F540" s="193">
        <f>F534+1</f>
        <v>155101006</v>
      </c>
      <c r="G540" s="194">
        <f>G534</f>
        <v>1</v>
      </c>
      <c r="H540" s="194" t="str">
        <f>H534</f>
        <v>Gem</v>
      </c>
      <c r="I540" s="208">
        <f t="shared" si="373"/>
        <v>50</v>
      </c>
    </row>
    <row r="541" spans="1:9" ht="16.5" customHeight="1" x14ac:dyDescent="0.3">
      <c r="A541" s="193" t="b">
        <v>1</v>
      </c>
      <c r="B541" s="195" t="s">
        <v>333</v>
      </c>
      <c r="C541" s="194">
        <f t="shared" si="362"/>
        <v>536</v>
      </c>
      <c r="D541" s="193">
        <f t="shared" ref="D541:D551" si="388">D540</f>
        <v>6</v>
      </c>
      <c r="E541" s="194">
        <f t="shared" ref="E541:E545" si="389">E535</f>
        <v>10</v>
      </c>
      <c r="F541" s="193">
        <f>F540</f>
        <v>155101006</v>
      </c>
      <c r="G541" s="194">
        <f t="shared" ref="G541:H541" si="390">G535</f>
        <v>2</v>
      </c>
      <c r="H541" s="194" t="str">
        <f t="shared" si="390"/>
        <v>Gem</v>
      </c>
      <c r="I541" s="208">
        <f t="shared" si="373"/>
        <v>100</v>
      </c>
    </row>
    <row r="542" spans="1:9" ht="16.5" customHeight="1" x14ac:dyDescent="0.3">
      <c r="A542" s="193" t="b">
        <v>1</v>
      </c>
      <c r="B542" s="195" t="s">
        <v>333</v>
      </c>
      <c r="C542" s="194">
        <f t="shared" si="362"/>
        <v>537</v>
      </c>
      <c r="D542" s="193">
        <f t="shared" si="388"/>
        <v>6</v>
      </c>
      <c r="E542" s="194">
        <f t="shared" si="389"/>
        <v>10</v>
      </c>
      <c r="F542" s="193">
        <f>F541</f>
        <v>155101006</v>
      </c>
      <c r="G542" s="194">
        <f t="shared" ref="G542:H542" si="391">G536</f>
        <v>3</v>
      </c>
      <c r="H542" s="194" t="str">
        <f t="shared" si="391"/>
        <v>Gem</v>
      </c>
      <c r="I542" s="208">
        <f t="shared" si="373"/>
        <v>150</v>
      </c>
    </row>
    <row r="543" spans="1:9" ht="16.5" customHeight="1" x14ac:dyDescent="0.3">
      <c r="A543" s="193" t="b">
        <v>1</v>
      </c>
      <c r="B543" s="195" t="s">
        <v>333</v>
      </c>
      <c r="C543" s="194">
        <f t="shared" si="362"/>
        <v>538</v>
      </c>
      <c r="D543" s="193">
        <f t="shared" si="388"/>
        <v>6</v>
      </c>
      <c r="E543" s="194">
        <f t="shared" si="389"/>
        <v>6</v>
      </c>
      <c r="F543" s="193">
        <f>F542</f>
        <v>155101006</v>
      </c>
      <c r="G543" s="194">
        <f t="shared" ref="G543:H543" si="392">G537</f>
        <v>1</v>
      </c>
      <c r="H543" s="194" t="str">
        <f t="shared" si="392"/>
        <v>Gold</v>
      </c>
      <c r="I543" s="208">
        <f t="shared" si="373"/>
        <v>10000</v>
      </c>
    </row>
    <row r="544" spans="1:9" ht="16.5" customHeight="1" x14ac:dyDescent="0.3">
      <c r="A544" s="193" t="b">
        <v>1</v>
      </c>
      <c r="B544" s="195" t="s">
        <v>333</v>
      </c>
      <c r="C544" s="194">
        <f t="shared" si="362"/>
        <v>539</v>
      </c>
      <c r="D544" s="193">
        <f t="shared" si="388"/>
        <v>6</v>
      </c>
      <c r="E544" s="194">
        <f t="shared" si="389"/>
        <v>6</v>
      </c>
      <c r="F544" s="193">
        <f>F543</f>
        <v>155101006</v>
      </c>
      <c r="G544" s="194">
        <f t="shared" ref="G544:H544" si="393">G538</f>
        <v>2</v>
      </c>
      <c r="H544" s="194" t="str">
        <f t="shared" si="393"/>
        <v>Gold</v>
      </c>
      <c r="I544" s="208">
        <f t="shared" si="373"/>
        <v>20000</v>
      </c>
    </row>
    <row r="545" spans="1:9" ht="16.5" customHeight="1" x14ac:dyDescent="0.3">
      <c r="A545" s="193" t="b">
        <v>1</v>
      </c>
      <c r="B545" s="195" t="s">
        <v>333</v>
      </c>
      <c r="C545" s="194">
        <f t="shared" si="362"/>
        <v>540</v>
      </c>
      <c r="D545" s="193">
        <f t="shared" si="388"/>
        <v>6</v>
      </c>
      <c r="E545" s="194">
        <f t="shared" si="389"/>
        <v>6</v>
      </c>
      <c r="F545" s="193">
        <f>F544</f>
        <v>155101006</v>
      </c>
      <c r="G545" s="194">
        <f t="shared" ref="G545:H545" si="394">G539</f>
        <v>3</v>
      </c>
      <c r="H545" s="194" t="str">
        <f t="shared" si="394"/>
        <v>Gold</v>
      </c>
      <c r="I545" s="208">
        <f t="shared" si="373"/>
        <v>30000</v>
      </c>
    </row>
    <row r="546" spans="1:9" ht="16.5" customHeight="1" x14ac:dyDescent="0.3">
      <c r="A546" s="172" t="b">
        <v>1</v>
      </c>
      <c r="B546" s="196" t="s">
        <v>333</v>
      </c>
      <c r="C546" s="196">
        <f t="shared" si="362"/>
        <v>541</v>
      </c>
      <c r="D546" s="172">
        <f t="shared" si="388"/>
        <v>6</v>
      </c>
      <c r="E546" s="185">
        <v>10</v>
      </c>
      <c r="F546" s="186">
        <v>155102001</v>
      </c>
      <c r="G546" s="185">
        <v>1</v>
      </c>
      <c r="H546" s="185" t="s">
        <v>104</v>
      </c>
      <c r="I546" s="207">
        <f t="shared" si="373"/>
        <v>50</v>
      </c>
    </row>
    <row r="547" spans="1:9" ht="16.5" customHeight="1" x14ac:dyDescent="0.3">
      <c r="A547" s="172" t="b">
        <v>1</v>
      </c>
      <c r="B547" s="197" t="s">
        <v>333</v>
      </c>
      <c r="C547" s="196">
        <f t="shared" si="362"/>
        <v>542</v>
      </c>
      <c r="D547" s="172">
        <f t="shared" si="388"/>
        <v>6</v>
      </c>
      <c r="E547" s="185">
        <v>10</v>
      </c>
      <c r="F547" s="172">
        <f>F546</f>
        <v>155102001</v>
      </c>
      <c r="G547" s="172">
        <f>G546+1</f>
        <v>2</v>
      </c>
      <c r="H547" s="172" t="str">
        <f>H546</f>
        <v>Gem</v>
      </c>
      <c r="I547" s="207">
        <f t="shared" si="373"/>
        <v>100</v>
      </c>
    </row>
    <row r="548" spans="1:9" ht="16.5" customHeight="1" x14ac:dyDescent="0.3">
      <c r="A548" s="172" t="b">
        <v>1</v>
      </c>
      <c r="B548" s="197" t="s">
        <v>333</v>
      </c>
      <c r="C548" s="196">
        <f t="shared" si="362"/>
        <v>543</v>
      </c>
      <c r="D548" s="172">
        <f t="shared" si="388"/>
        <v>6</v>
      </c>
      <c r="E548" s="185">
        <v>10</v>
      </c>
      <c r="F548" s="172">
        <f>F547</f>
        <v>155102001</v>
      </c>
      <c r="G548" s="172">
        <f>G547+1</f>
        <v>3</v>
      </c>
      <c r="H548" s="172" t="str">
        <f>H547</f>
        <v>Gem</v>
      </c>
      <c r="I548" s="207">
        <f t="shared" si="373"/>
        <v>150</v>
      </c>
    </row>
    <row r="549" spans="1:9" ht="16.5" customHeight="1" x14ac:dyDescent="0.3">
      <c r="A549" s="172" t="b">
        <v>1</v>
      </c>
      <c r="B549" s="197" t="s">
        <v>333</v>
      </c>
      <c r="C549" s="196">
        <f t="shared" si="362"/>
        <v>544</v>
      </c>
      <c r="D549" s="172">
        <f t="shared" si="388"/>
        <v>6</v>
      </c>
      <c r="E549" s="185">
        <v>6</v>
      </c>
      <c r="F549" s="172">
        <f>F548</f>
        <v>155102001</v>
      </c>
      <c r="G549" s="185">
        <v>1</v>
      </c>
      <c r="H549" s="185" t="s">
        <v>334</v>
      </c>
      <c r="I549" s="207">
        <f t="shared" si="373"/>
        <v>10000</v>
      </c>
    </row>
    <row r="550" spans="1:9" ht="16.5" customHeight="1" x14ac:dyDescent="0.3">
      <c r="A550" s="172" t="b">
        <v>1</v>
      </c>
      <c r="B550" s="197" t="s">
        <v>333</v>
      </c>
      <c r="C550" s="196">
        <f t="shared" si="362"/>
        <v>545</v>
      </c>
      <c r="D550" s="172">
        <f t="shared" si="388"/>
        <v>6</v>
      </c>
      <c r="E550" s="185">
        <v>6</v>
      </c>
      <c r="F550" s="172">
        <f>F549</f>
        <v>155102001</v>
      </c>
      <c r="G550" s="172">
        <f>G549+1</f>
        <v>2</v>
      </c>
      <c r="H550" s="172" t="str">
        <f t="shared" ref="H550:H551" si="395">H549</f>
        <v>Gold</v>
      </c>
      <c r="I550" s="207">
        <f t="shared" si="373"/>
        <v>20000</v>
      </c>
    </row>
    <row r="551" spans="1:9" ht="16.5" customHeight="1" x14ac:dyDescent="0.3">
      <c r="A551" s="172" t="b">
        <v>1</v>
      </c>
      <c r="B551" s="197" t="s">
        <v>333</v>
      </c>
      <c r="C551" s="196">
        <f t="shared" si="362"/>
        <v>546</v>
      </c>
      <c r="D551" s="172">
        <f t="shared" si="388"/>
        <v>6</v>
      </c>
      <c r="E551" s="185">
        <v>6</v>
      </c>
      <c r="F551" s="172">
        <f>F550</f>
        <v>155102001</v>
      </c>
      <c r="G551" s="172">
        <f>G550+1</f>
        <v>3</v>
      </c>
      <c r="H551" s="172" t="str">
        <f t="shared" si="395"/>
        <v>Gold</v>
      </c>
      <c r="I551" s="207">
        <f t="shared" si="373"/>
        <v>30000</v>
      </c>
    </row>
    <row r="552" spans="1:9" ht="16.5" customHeight="1" x14ac:dyDescent="0.3">
      <c r="A552" s="193" t="b">
        <v>1</v>
      </c>
      <c r="B552" s="195" t="s">
        <v>333</v>
      </c>
      <c r="C552" s="194">
        <f t="shared" si="362"/>
        <v>547</v>
      </c>
      <c r="D552" s="193">
        <f>D548</f>
        <v>6</v>
      </c>
      <c r="E552" s="194">
        <f t="shared" ref="E552:E581" si="396">E546</f>
        <v>10</v>
      </c>
      <c r="F552" s="193">
        <f>F546+1</f>
        <v>155102002</v>
      </c>
      <c r="G552" s="194">
        <f t="shared" ref="G552:H552" si="397">G546</f>
        <v>1</v>
      </c>
      <c r="H552" s="194" t="str">
        <f t="shared" si="397"/>
        <v>Gem</v>
      </c>
      <c r="I552" s="208">
        <f t="shared" si="373"/>
        <v>50</v>
      </c>
    </row>
    <row r="553" spans="1:9" ht="16.5" customHeight="1" x14ac:dyDescent="0.3">
      <c r="A553" s="193" t="b">
        <v>1</v>
      </c>
      <c r="B553" s="195" t="s">
        <v>333</v>
      </c>
      <c r="C553" s="194">
        <f t="shared" si="362"/>
        <v>548</v>
      </c>
      <c r="D553" s="193">
        <f t="shared" ref="D553:D563" si="398">D552</f>
        <v>6</v>
      </c>
      <c r="E553" s="194">
        <f t="shared" si="396"/>
        <v>10</v>
      </c>
      <c r="F553" s="193">
        <f>F552</f>
        <v>155102002</v>
      </c>
      <c r="G553" s="194">
        <f t="shared" ref="G553:H553" si="399">G547</f>
        <v>2</v>
      </c>
      <c r="H553" s="194" t="str">
        <f t="shared" si="399"/>
        <v>Gem</v>
      </c>
      <c r="I553" s="208">
        <f t="shared" si="373"/>
        <v>100</v>
      </c>
    </row>
    <row r="554" spans="1:9" ht="16.5" customHeight="1" x14ac:dyDescent="0.3">
      <c r="A554" s="193" t="b">
        <v>1</v>
      </c>
      <c r="B554" s="195" t="s">
        <v>333</v>
      </c>
      <c r="C554" s="194">
        <f t="shared" si="362"/>
        <v>549</v>
      </c>
      <c r="D554" s="193">
        <f t="shared" si="398"/>
        <v>6</v>
      </c>
      <c r="E554" s="194">
        <f t="shared" si="396"/>
        <v>10</v>
      </c>
      <c r="F554" s="193">
        <f>F553</f>
        <v>155102002</v>
      </c>
      <c r="G554" s="194">
        <f t="shared" ref="G554:H554" si="400">G548</f>
        <v>3</v>
      </c>
      <c r="H554" s="194" t="str">
        <f t="shared" si="400"/>
        <v>Gem</v>
      </c>
      <c r="I554" s="208">
        <f t="shared" si="373"/>
        <v>150</v>
      </c>
    </row>
    <row r="555" spans="1:9" ht="16.5" customHeight="1" x14ac:dyDescent="0.3">
      <c r="A555" s="193" t="b">
        <v>1</v>
      </c>
      <c r="B555" s="195" t="s">
        <v>333</v>
      </c>
      <c r="C555" s="194">
        <f t="shared" si="362"/>
        <v>550</v>
      </c>
      <c r="D555" s="193">
        <f t="shared" si="398"/>
        <v>6</v>
      </c>
      <c r="E555" s="194">
        <f t="shared" si="396"/>
        <v>6</v>
      </c>
      <c r="F555" s="193">
        <f>F554</f>
        <v>155102002</v>
      </c>
      <c r="G555" s="194">
        <f t="shared" ref="G555:H555" si="401">G549</f>
        <v>1</v>
      </c>
      <c r="H555" s="194" t="str">
        <f t="shared" si="401"/>
        <v>Gold</v>
      </c>
      <c r="I555" s="208">
        <f t="shared" si="373"/>
        <v>10000</v>
      </c>
    </row>
    <row r="556" spans="1:9" ht="16.5" customHeight="1" x14ac:dyDescent="0.3">
      <c r="A556" s="193" t="b">
        <v>1</v>
      </c>
      <c r="B556" s="195" t="s">
        <v>333</v>
      </c>
      <c r="C556" s="194">
        <f t="shared" si="362"/>
        <v>551</v>
      </c>
      <c r="D556" s="193">
        <f t="shared" si="398"/>
        <v>6</v>
      </c>
      <c r="E556" s="194">
        <f t="shared" si="396"/>
        <v>6</v>
      </c>
      <c r="F556" s="193">
        <f>F555</f>
        <v>155102002</v>
      </c>
      <c r="G556" s="194">
        <f t="shared" ref="G556:H556" si="402">G550</f>
        <v>2</v>
      </c>
      <c r="H556" s="194" t="str">
        <f t="shared" si="402"/>
        <v>Gold</v>
      </c>
      <c r="I556" s="208">
        <f t="shared" si="373"/>
        <v>20000</v>
      </c>
    </row>
    <row r="557" spans="1:9" ht="16.5" customHeight="1" x14ac:dyDescent="0.3">
      <c r="A557" s="193" t="b">
        <v>1</v>
      </c>
      <c r="B557" s="195" t="s">
        <v>333</v>
      </c>
      <c r="C557" s="194">
        <f t="shared" si="362"/>
        <v>552</v>
      </c>
      <c r="D557" s="193">
        <f t="shared" si="398"/>
        <v>6</v>
      </c>
      <c r="E557" s="194">
        <f t="shared" si="396"/>
        <v>6</v>
      </c>
      <c r="F557" s="193">
        <f>F556</f>
        <v>155102002</v>
      </c>
      <c r="G557" s="194">
        <f t="shared" ref="G557:H557" si="403">G551</f>
        <v>3</v>
      </c>
      <c r="H557" s="194" t="str">
        <f t="shared" si="403"/>
        <v>Gold</v>
      </c>
      <c r="I557" s="208">
        <f t="shared" si="373"/>
        <v>30000</v>
      </c>
    </row>
    <row r="558" spans="1:9" ht="16.5" customHeight="1" x14ac:dyDescent="0.3">
      <c r="A558" s="172" t="b">
        <v>1</v>
      </c>
      <c r="B558" s="196" t="s">
        <v>333</v>
      </c>
      <c r="C558" s="196">
        <f t="shared" si="362"/>
        <v>553</v>
      </c>
      <c r="D558" s="172">
        <f t="shared" si="398"/>
        <v>6</v>
      </c>
      <c r="E558" s="196">
        <f t="shared" si="396"/>
        <v>10</v>
      </c>
      <c r="F558" s="172">
        <f>F552+1</f>
        <v>155102003</v>
      </c>
      <c r="G558" s="196">
        <v>1</v>
      </c>
      <c r="H558" s="196" t="s">
        <v>104</v>
      </c>
      <c r="I558" s="207">
        <f t="shared" si="373"/>
        <v>50</v>
      </c>
    </row>
    <row r="559" spans="1:9" ht="16.5" customHeight="1" x14ac:dyDescent="0.3">
      <c r="A559" s="172" t="b">
        <v>1</v>
      </c>
      <c r="B559" s="197" t="s">
        <v>333</v>
      </c>
      <c r="C559" s="196">
        <f t="shared" si="362"/>
        <v>554</v>
      </c>
      <c r="D559" s="172">
        <f t="shared" si="398"/>
        <v>6</v>
      </c>
      <c r="E559" s="196">
        <f t="shared" si="396"/>
        <v>10</v>
      </c>
      <c r="F559" s="172">
        <f>F558</f>
        <v>155102003</v>
      </c>
      <c r="G559" s="196">
        <f>G558+1</f>
        <v>2</v>
      </c>
      <c r="H559" s="196" t="str">
        <f>H558</f>
        <v>Gem</v>
      </c>
      <c r="I559" s="207">
        <f t="shared" si="373"/>
        <v>100</v>
      </c>
    </row>
    <row r="560" spans="1:9" ht="16.5" customHeight="1" x14ac:dyDescent="0.3">
      <c r="A560" s="172" t="b">
        <v>1</v>
      </c>
      <c r="B560" s="197" t="s">
        <v>333</v>
      </c>
      <c r="C560" s="196">
        <f t="shared" si="362"/>
        <v>555</v>
      </c>
      <c r="D560" s="172">
        <f t="shared" si="398"/>
        <v>6</v>
      </c>
      <c r="E560" s="196">
        <f t="shared" si="396"/>
        <v>10</v>
      </c>
      <c r="F560" s="172">
        <f>F559</f>
        <v>155102003</v>
      </c>
      <c r="G560" s="196">
        <f>G559+1</f>
        <v>3</v>
      </c>
      <c r="H560" s="196" t="str">
        <f>H559</f>
        <v>Gem</v>
      </c>
      <c r="I560" s="207">
        <f t="shared" si="373"/>
        <v>150</v>
      </c>
    </row>
    <row r="561" spans="1:9" ht="16.5" customHeight="1" x14ac:dyDescent="0.3">
      <c r="A561" s="172" t="b">
        <v>1</v>
      </c>
      <c r="B561" s="196" t="s">
        <v>333</v>
      </c>
      <c r="C561" s="196">
        <f t="shared" si="362"/>
        <v>556</v>
      </c>
      <c r="D561" s="172">
        <f t="shared" si="398"/>
        <v>6</v>
      </c>
      <c r="E561" s="196">
        <f t="shared" si="396"/>
        <v>6</v>
      </c>
      <c r="F561" s="172">
        <f>F560</f>
        <v>155102003</v>
      </c>
      <c r="G561" s="196">
        <v>1</v>
      </c>
      <c r="H561" s="196" t="s">
        <v>334</v>
      </c>
      <c r="I561" s="207">
        <f t="shared" si="373"/>
        <v>10000</v>
      </c>
    </row>
    <row r="562" spans="1:9" ht="16.5" customHeight="1" x14ac:dyDescent="0.3">
      <c r="A562" s="172" t="b">
        <v>1</v>
      </c>
      <c r="B562" s="196" t="s">
        <v>333</v>
      </c>
      <c r="C562" s="196">
        <f t="shared" si="362"/>
        <v>557</v>
      </c>
      <c r="D562" s="172">
        <f t="shared" si="398"/>
        <v>6</v>
      </c>
      <c r="E562" s="196">
        <f t="shared" si="396"/>
        <v>6</v>
      </c>
      <c r="F562" s="172">
        <f>F561</f>
        <v>155102003</v>
      </c>
      <c r="G562" s="196">
        <f>G561+1</f>
        <v>2</v>
      </c>
      <c r="H562" s="196" t="str">
        <f t="shared" ref="H562:H563" si="404">H561</f>
        <v>Gold</v>
      </c>
      <c r="I562" s="207">
        <f t="shared" si="373"/>
        <v>20000</v>
      </c>
    </row>
    <row r="563" spans="1:9" ht="16.5" customHeight="1" x14ac:dyDescent="0.3">
      <c r="A563" s="172" t="b">
        <v>1</v>
      </c>
      <c r="B563" s="196" t="s">
        <v>333</v>
      </c>
      <c r="C563" s="196">
        <f t="shared" si="362"/>
        <v>558</v>
      </c>
      <c r="D563" s="172">
        <f t="shared" si="398"/>
        <v>6</v>
      </c>
      <c r="E563" s="196">
        <f t="shared" si="396"/>
        <v>6</v>
      </c>
      <c r="F563" s="172">
        <f>F562</f>
        <v>155102003</v>
      </c>
      <c r="G563" s="196">
        <f>G562+1</f>
        <v>3</v>
      </c>
      <c r="H563" s="196" t="str">
        <f t="shared" si="404"/>
        <v>Gold</v>
      </c>
      <c r="I563" s="207">
        <f t="shared" si="373"/>
        <v>30000</v>
      </c>
    </row>
    <row r="564" spans="1:9" ht="16.5" customHeight="1" x14ac:dyDescent="0.3">
      <c r="A564" s="193" t="b">
        <v>1</v>
      </c>
      <c r="B564" s="195" t="s">
        <v>333</v>
      </c>
      <c r="C564" s="194">
        <f t="shared" si="362"/>
        <v>559</v>
      </c>
      <c r="D564" s="193">
        <f>D560</f>
        <v>6</v>
      </c>
      <c r="E564" s="194">
        <f t="shared" si="396"/>
        <v>10</v>
      </c>
      <c r="F564" s="193">
        <f>F558+1</f>
        <v>155102004</v>
      </c>
      <c r="G564" s="194">
        <f t="shared" ref="G564:H564" si="405">G558</f>
        <v>1</v>
      </c>
      <c r="H564" s="194" t="str">
        <f t="shared" si="405"/>
        <v>Gem</v>
      </c>
      <c r="I564" s="208">
        <f t="shared" si="373"/>
        <v>50</v>
      </c>
    </row>
    <row r="565" spans="1:9" ht="16.5" customHeight="1" x14ac:dyDescent="0.3">
      <c r="A565" s="193" t="b">
        <v>1</v>
      </c>
      <c r="B565" s="195" t="s">
        <v>333</v>
      </c>
      <c r="C565" s="194">
        <f t="shared" si="362"/>
        <v>560</v>
      </c>
      <c r="D565" s="193">
        <f t="shared" ref="D565:D575" si="406">D564</f>
        <v>6</v>
      </c>
      <c r="E565" s="194">
        <f t="shared" si="396"/>
        <v>10</v>
      </c>
      <c r="F565" s="193">
        <f>F564</f>
        <v>155102004</v>
      </c>
      <c r="G565" s="194">
        <f t="shared" ref="G565:H565" si="407">G559</f>
        <v>2</v>
      </c>
      <c r="H565" s="194" t="str">
        <f t="shared" si="407"/>
        <v>Gem</v>
      </c>
      <c r="I565" s="208">
        <f t="shared" si="373"/>
        <v>100</v>
      </c>
    </row>
    <row r="566" spans="1:9" ht="16.5" customHeight="1" x14ac:dyDescent="0.3">
      <c r="A566" s="193" t="b">
        <v>1</v>
      </c>
      <c r="B566" s="195" t="s">
        <v>333</v>
      </c>
      <c r="C566" s="194">
        <f t="shared" si="362"/>
        <v>561</v>
      </c>
      <c r="D566" s="193">
        <f t="shared" si="406"/>
        <v>6</v>
      </c>
      <c r="E566" s="194">
        <f t="shared" si="396"/>
        <v>10</v>
      </c>
      <c r="F566" s="193">
        <f>F565</f>
        <v>155102004</v>
      </c>
      <c r="G566" s="194">
        <f t="shared" ref="G566:H566" si="408">G560</f>
        <v>3</v>
      </c>
      <c r="H566" s="194" t="str">
        <f t="shared" si="408"/>
        <v>Gem</v>
      </c>
      <c r="I566" s="208">
        <f t="shared" si="373"/>
        <v>150</v>
      </c>
    </row>
    <row r="567" spans="1:9" ht="16.5" customHeight="1" x14ac:dyDescent="0.3">
      <c r="A567" s="193" t="b">
        <v>1</v>
      </c>
      <c r="B567" s="195" t="s">
        <v>333</v>
      </c>
      <c r="C567" s="194">
        <f t="shared" si="362"/>
        <v>562</v>
      </c>
      <c r="D567" s="193">
        <f t="shared" si="406"/>
        <v>6</v>
      </c>
      <c r="E567" s="194">
        <f t="shared" si="396"/>
        <v>6</v>
      </c>
      <c r="F567" s="193">
        <f>F566</f>
        <v>155102004</v>
      </c>
      <c r="G567" s="194">
        <f t="shared" ref="G567:H567" si="409">G561</f>
        <v>1</v>
      </c>
      <c r="H567" s="194" t="str">
        <f t="shared" si="409"/>
        <v>Gold</v>
      </c>
      <c r="I567" s="208">
        <f t="shared" si="373"/>
        <v>10000</v>
      </c>
    </row>
    <row r="568" spans="1:9" ht="16.5" customHeight="1" x14ac:dyDescent="0.3">
      <c r="A568" s="193" t="b">
        <v>1</v>
      </c>
      <c r="B568" s="195" t="s">
        <v>333</v>
      </c>
      <c r="C568" s="194">
        <f t="shared" si="362"/>
        <v>563</v>
      </c>
      <c r="D568" s="193">
        <f t="shared" si="406"/>
        <v>6</v>
      </c>
      <c r="E568" s="194">
        <f t="shared" si="396"/>
        <v>6</v>
      </c>
      <c r="F568" s="193">
        <f>F567</f>
        <v>155102004</v>
      </c>
      <c r="G568" s="194">
        <f t="shared" ref="G568:H568" si="410">G562</f>
        <v>2</v>
      </c>
      <c r="H568" s="194" t="str">
        <f t="shared" si="410"/>
        <v>Gold</v>
      </c>
      <c r="I568" s="208">
        <f t="shared" si="373"/>
        <v>20000</v>
      </c>
    </row>
    <row r="569" spans="1:9" ht="16.5" customHeight="1" x14ac:dyDescent="0.3">
      <c r="A569" s="193" t="b">
        <v>1</v>
      </c>
      <c r="B569" s="195" t="s">
        <v>333</v>
      </c>
      <c r="C569" s="194">
        <f t="shared" si="362"/>
        <v>564</v>
      </c>
      <c r="D569" s="193">
        <f t="shared" si="406"/>
        <v>6</v>
      </c>
      <c r="E569" s="194">
        <f t="shared" si="396"/>
        <v>6</v>
      </c>
      <c r="F569" s="193">
        <f>F568</f>
        <v>155102004</v>
      </c>
      <c r="G569" s="194">
        <f t="shared" ref="G569:H569" si="411">G563</f>
        <v>3</v>
      </c>
      <c r="H569" s="194" t="str">
        <f t="shared" si="411"/>
        <v>Gold</v>
      </c>
      <c r="I569" s="208">
        <f t="shared" si="373"/>
        <v>30000</v>
      </c>
    </row>
    <row r="570" spans="1:9" ht="16.5" customHeight="1" x14ac:dyDescent="0.3">
      <c r="A570" s="172" t="b">
        <v>1</v>
      </c>
      <c r="B570" s="196" t="s">
        <v>333</v>
      </c>
      <c r="C570" s="196">
        <f t="shared" si="362"/>
        <v>565</v>
      </c>
      <c r="D570" s="172">
        <f t="shared" si="406"/>
        <v>6</v>
      </c>
      <c r="E570" s="196">
        <f t="shared" si="396"/>
        <v>10</v>
      </c>
      <c r="F570" s="172">
        <f>F564+1</f>
        <v>155102005</v>
      </c>
      <c r="G570" s="196">
        <v>1</v>
      </c>
      <c r="H570" s="196" t="s">
        <v>104</v>
      </c>
      <c r="I570" s="207">
        <f t="shared" si="373"/>
        <v>50</v>
      </c>
    </row>
    <row r="571" spans="1:9" ht="16.5" customHeight="1" x14ac:dyDescent="0.3">
      <c r="A571" s="172" t="b">
        <v>1</v>
      </c>
      <c r="B571" s="197" t="s">
        <v>333</v>
      </c>
      <c r="C571" s="196">
        <f t="shared" ref="C571:C581" si="412">C570+1</f>
        <v>566</v>
      </c>
      <c r="D571" s="172">
        <f t="shared" si="406"/>
        <v>6</v>
      </c>
      <c r="E571" s="196">
        <f t="shared" si="396"/>
        <v>10</v>
      </c>
      <c r="F571" s="172">
        <f>F570</f>
        <v>155102005</v>
      </c>
      <c r="G571" s="196">
        <f>G570+1</f>
        <v>2</v>
      </c>
      <c r="H571" s="196" t="str">
        <f>H570</f>
        <v>Gem</v>
      </c>
      <c r="I571" s="207">
        <f t="shared" si="373"/>
        <v>100</v>
      </c>
    </row>
    <row r="572" spans="1:9" ht="16.5" customHeight="1" x14ac:dyDescent="0.3">
      <c r="A572" s="172" t="b">
        <v>1</v>
      </c>
      <c r="B572" s="197" t="s">
        <v>333</v>
      </c>
      <c r="C572" s="196">
        <f t="shared" si="412"/>
        <v>567</v>
      </c>
      <c r="D572" s="172">
        <f t="shared" si="406"/>
        <v>6</v>
      </c>
      <c r="E572" s="196">
        <f t="shared" si="396"/>
        <v>10</v>
      </c>
      <c r="F572" s="172">
        <f>F571</f>
        <v>155102005</v>
      </c>
      <c r="G572" s="196">
        <f>G571+1</f>
        <v>3</v>
      </c>
      <c r="H572" s="196" t="str">
        <f>H571</f>
        <v>Gem</v>
      </c>
      <c r="I572" s="207">
        <f t="shared" si="373"/>
        <v>150</v>
      </c>
    </row>
    <row r="573" spans="1:9" ht="16.5" customHeight="1" x14ac:dyDescent="0.3">
      <c r="A573" s="172" t="b">
        <v>1</v>
      </c>
      <c r="B573" s="196" t="s">
        <v>333</v>
      </c>
      <c r="C573" s="196">
        <f t="shared" si="412"/>
        <v>568</v>
      </c>
      <c r="D573" s="172">
        <f t="shared" si="406"/>
        <v>6</v>
      </c>
      <c r="E573" s="196">
        <f t="shared" si="396"/>
        <v>6</v>
      </c>
      <c r="F573" s="172">
        <f>F572</f>
        <v>155102005</v>
      </c>
      <c r="G573" s="196">
        <v>1</v>
      </c>
      <c r="H573" s="196" t="s">
        <v>334</v>
      </c>
      <c r="I573" s="207">
        <f t="shared" si="373"/>
        <v>10000</v>
      </c>
    </row>
    <row r="574" spans="1:9" ht="16.5" customHeight="1" x14ac:dyDescent="0.3">
      <c r="A574" s="172" t="b">
        <v>1</v>
      </c>
      <c r="B574" s="196" t="s">
        <v>333</v>
      </c>
      <c r="C574" s="196">
        <f t="shared" si="412"/>
        <v>569</v>
      </c>
      <c r="D574" s="172">
        <f t="shared" si="406"/>
        <v>6</v>
      </c>
      <c r="E574" s="196">
        <f t="shared" si="396"/>
        <v>6</v>
      </c>
      <c r="F574" s="172">
        <f>F573</f>
        <v>155102005</v>
      </c>
      <c r="G574" s="196">
        <f>G573+1</f>
        <v>2</v>
      </c>
      <c r="H574" s="196" t="str">
        <f t="shared" ref="H574:H575" si="413">H573</f>
        <v>Gold</v>
      </c>
      <c r="I574" s="207">
        <f t="shared" si="373"/>
        <v>20000</v>
      </c>
    </row>
    <row r="575" spans="1:9" ht="16.5" customHeight="1" x14ac:dyDescent="0.3">
      <c r="A575" s="172" t="b">
        <v>1</v>
      </c>
      <c r="B575" s="196" t="s">
        <v>333</v>
      </c>
      <c r="C575" s="196">
        <f t="shared" si="412"/>
        <v>570</v>
      </c>
      <c r="D575" s="172">
        <f t="shared" si="406"/>
        <v>6</v>
      </c>
      <c r="E575" s="196">
        <f t="shared" si="396"/>
        <v>6</v>
      </c>
      <c r="F575" s="172">
        <f>F574</f>
        <v>155102005</v>
      </c>
      <c r="G575" s="196">
        <f>G574+1</f>
        <v>3</v>
      </c>
      <c r="H575" s="196" t="str">
        <f t="shared" si="413"/>
        <v>Gold</v>
      </c>
      <c r="I575" s="207">
        <f t="shared" si="373"/>
        <v>30000</v>
      </c>
    </row>
    <row r="576" spans="1:9" ht="16.5" customHeight="1" x14ac:dyDescent="0.3">
      <c r="A576" s="193" t="b">
        <v>1</v>
      </c>
      <c r="B576" s="195" t="s">
        <v>333</v>
      </c>
      <c r="C576" s="194">
        <f t="shared" si="412"/>
        <v>571</v>
      </c>
      <c r="D576" s="193">
        <f>D572</f>
        <v>6</v>
      </c>
      <c r="E576" s="194">
        <f t="shared" si="396"/>
        <v>10</v>
      </c>
      <c r="F576" s="193">
        <f>F570+1</f>
        <v>155102006</v>
      </c>
      <c r="G576" s="194">
        <f t="shared" ref="G576:H576" si="414">G570</f>
        <v>1</v>
      </c>
      <c r="H576" s="194" t="str">
        <f t="shared" si="414"/>
        <v>Gem</v>
      </c>
      <c r="I576" s="208">
        <f t="shared" si="373"/>
        <v>50</v>
      </c>
    </row>
    <row r="577" spans="1:9" ht="16.5" customHeight="1" x14ac:dyDescent="0.3">
      <c r="A577" s="193" t="b">
        <v>1</v>
      </c>
      <c r="B577" s="195" t="s">
        <v>333</v>
      </c>
      <c r="C577" s="194">
        <f t="shared" si="412"/>
        <v>572</v>
      </c>
      <c r="D577" s="193">
        <f t="shared" ref="D577:D584" si="415">D576</f>
        <v>6</v>
      </c>
      <c r="E577" s="194">
        <f t="shared" si="396"/>
        <v>10</v>
      </c>
      <c r="F577" s="193">
        <f>F576</f>
        <v>155102006</v>
      </c>
      <c r="G577" s="194">
        <f t="shared" ref="G577:H577" si="416">G571</f>
        <v>2</v>
      </c>
      <c r="H577" s="194" t="str">
        <f t="shared" si="416"/>
        <v>Gem</v>
      </c>
      <c r="I577" s="208">
        <f t="shared" si="373"/>
        <v>100</v>
      </c>
    </row>
    <row r="578" spans="1:9" ht="16.5" customHeight="1" x14ac:dyDescent="0.3">
      <c r="A578" s="193" t="b">
        <v>1</v>
      </c>
      <c r="B578" s="195" t="s">
        <v>333</v>
      </c>
      <c r="C578" s="194">
        <f t="shared" si="412"/>
        <v>573</v>
      </c>
      <c r="D578" s="193">
        <f t="shared" si="415"/>
        <v>6</v>
      </c>
      <c r="E578" s="194">
        <f t="shared" si="396"/>
        <v>10</v>
      </c>
      <c r="F578" s="193">
        <f>F577</f>
        <v>155102006</v>
      </c>
      <c r="G578" s="194">
        <f t="shared" ref="G578:H578" si="417">G572</f>
        <v>3</v>
      </c>
      <c r="H578" s="194" t="str">
        <f t="shared" si="417"/>
        <v>Gem</v>
      </c>
      <c r="I578" s="208">
        <f t="shared" si="373"/>
        <v>150</v>
      </c>
    </row>
    <row r="579" spans="1:9" ht="16.5" customHeight="1" x14ac:dyDescent="0.3">
      <c r="A579" s="193" t="b">
        <v>1</v>
      </c>
      <c r="B579" s="195" t="s">
        <v>333</v>
      </c>
      <c r="C579" s="194">
        <f t="shared" si="412"/>
        <v>574</v>
      </c>
      <c r="D579" s="193">
        <f t="shared" si="415"/>
        <v>6</v>
      </c>
      <c r="E579" s="194">
        <f t="shared" si="396"/>
        <v>6</v>
      </c>
      <c r="F579" s="193">
        <f>F578</f>
        <v>155102006</v>
      </c>
      <c r="G579" s="194">
        <f t="shared" ref="G579:H579" si="418">G573</f>
        <v>1</v>
      </c>
      <c r="H579" s="194" t="str">
        <f t="shared" si="418"/>
        <v>Gold</v>
      </c>
      <c r="I579" s="208">
        <f t="shared" si="373"/>
        <v>10000</v>
      </c>
    </row>
    <row r="580" spans="1:9" ht="16.5" customHeight="1" x14ac:dyDescent="0.3">
      <c r="A580" s="193" t="b">
        <v>1</v>
      </c>
      <c r="B580" s="195" t="s">
        <v>333</v>
      </c>
      <c r="C580" s="194">
        <f t="shared" si="412"/>
        <v>575</v>
      </c>
      <c r="D580" s="193">
        <f t="shared" si="415"/>
        <v>6</v>
      </c>
      <c r="E580" s="194">
        <f t="shared" si="396"/>
        <v>6</v>
      </c>
      <c r="F580" s="193">
        <f>F579</f>
        <v>155102006</v>
      </c>
      <c r="G580" s="194">
        <f t="shared" ref="G580:H580" si="419">G574</f>
        <v>2</v>
      </c>
      <c r="H580" s="194" t="str">
        <f t="shared" si="419"/>
        <v>Gold</v>
      </c>
      <c r="I580" s="208">
        <f t="shared" si="373"/>
        <v>20000</v>
      </c>
    </row>
    <row r="581" spans="1:9" ht="16.5" customHeight="1" x14ac:dyDescent="0.3">
      <c r="A581" s="193" t="b">
        <v>1</v>
      </c>
      <c r="B581" s="195" t="s">
        <v>333</v>
      </c>
      <c r="C581" s="194">
        <f t="shared" si="412"/>
        <v>576</v>
      </c>
      <c r="D581" s="193">
        <f t="shared" si="415"/>
        <v>6</v>
      </c>
      <c r="E581" s="194">
        <f t="shared" si="396"/>
        <v>6</v>
      </c>
      <c r="F581" s="193">
        <f>F580</f>
        <v>155102006</v>
      </c>
      <c r="G581" s="194">
        <f t="shared" ref="G581:H581" si="420">G575</f>
        <v>3</v>
      </c>
      <c r="H581" s="194" t="str">
        <f t="shared" si="420"/>
        <v>Gold</v>
      </c>
      <c r="I581" s="208">
        <f t="shared" si="373"/>
        <v>30000</v>
      </c>
    </row>
    <row r="582" spans="1:9" ht="16.5" customHeight="1" x14ac:dyDescent="0.3">
      <c r="A582" s="172" t="b">
        <v>1</v>
      </c>
      <c r="B582" s="197" t="s">
        <v>333</v>
      </c>
      <c r="C582" s="196">
        <f>C581+1</f>
        <v>577</v>
      </c>
      <c r="D582" s="172">
        <f t="shared" si="415"/>
        <v>6</v>
      </c>
      <c r="E582" s="185">
        <v>10</v>
      </c>
      <c r="F582" s="185">
        <v>155103001</v>
      </c>
      <c r="G582" s="185">
        <v>1</v>
      </c>
      <c r="H582" s="196" t="s">
        <v>104</v>
      </c>
      <c r="I582" s="207">
        <f t="shared" ref="I582:I645" si="421">IF(H582="Gem",$H$1*G582,IF(H582="Gold",$I$1*G582))</f>
        <v>50</v>
      </c>
    </row>
    <row r="583" spans="1:9" ht="16.5" customHeight="1" x14ac:dyDescent="0.3">
      <c r="A583" s="172" t="b">
        <v>1</v>
      </c>
      <c r="B583" s="197" t="s">
        <v>333</v>
      </c>
      <c r="C583" s="196">
        <f>C582+1</f>
        <v>578</v>
      </c>
      <c r="D583" s="172">
        <f t="shared" si="415"/>
        <v>6</v>
      </c>
      <c r="E583" s="185">
        <v>10</v>
      </c>
      <c r="F583" s="172">
        <f>F582</f>
        <v>155103001</v>
      </c>
      <c r="G583" s="196">
        <f>G582+1</f>
        <v>2</v>
      </c>
      <c r="H583" s="196" t="str">
        <f>H582</f>
        <v>Gem</v>
      </c>
      <c r="I583" s="207">
        <f t="shared" si="421"/>
        <v>100</v>
      </c>
    </row>
    <row r="584" spans="1:9" ht="16.5" customHeight="1" x14ac:dyDescent="0.3">
      <c r="A584" s="172" t="b">
        <v>1</v>
      </c>
      <c r="B584" s="197" t="s">
        <v>333</v>
      </c>
      <c r="C584" s="196">
        <f>C583+1</f>
        <v>579</v>
      </c>
      <c r="D584" s="172">
        <f t="shared" si="415"/>
        <v>6</v>
      </c>
      <c r="E584" s="185">
        <v>10</v>
      </c>
      <c r="F584" s="172">
        <f>F583</f>
        <v>155103001</v>
      </c>
      <c r="G584" s="196">
        <f>G583+1</f>
        <v>3</v>
      </c>
      <c r="H584" s="196" t="str">
        <f>H583</f>
        <v>Gem</v>
      </c>
      <c r="I584" s="207">
        <f t="shared" si="421"/>
        <v>150</v>
      </c>
    </row>
    <row r="585" spans="1:9" ht="16.5" customHeight="1" x14ac:dyDescent="0.3">
      <c r="A585" s="193" t="b">
        <v>1</v>
      </c>
      <c r="B585" s="195" t="s">
        <v>333</v>
      </c>
      <c r="C585" s="194">
        <f t="shared" ref="C585:C587" si="422">C584+1</f>
        <v>580</v>
      </c>
      <c r="D585" s="193">
        <f>D584</f>
        <v>6</v>
      </c>
      <c r="E585" s="194">
        <f t="shared" ref="E585:E617" si="423">E582</f>
        <v>10</v>
      </c>
      <c r="F585" s="193">
        <f>F582+1</f>
        <v>155103002</v>
      </c>
      <c r="G585" s="194">
        <f t="shared" ref="G585:H585" si="424">G582</f>
        <v>1</v>
      </c>
      <c r="H585" s="194" t="str">
        <f t="shared" si="424"/>
        <v>Gem</v>
      </c>
      <c r="I585" s="208">
        <f t="shared" si="421"/>
        <v>50</v>
      </c>
    </row>
    <row r="586" spans="1:9" ht="16.5" customHeight="1" x14ac:dyDescent="0.3">
      <c r="A586" s="193" t="b">
        <v>1</v>
      </c>
      <c r="B586" s="195" t="s">
        <v>333</v>
      </c>
      <c r="C586" s="194">
        <f t="shared" si="422"/>
        <v>581</v>
      </c>
      <c r="D586" s="193">
        <f t="shared" ref="D586:D590" si="425">D585</f>
        <v>6</v>
      </c>
      <c r="E586" s="194">
        <f t="shared" si="423"/>
        <v>10</v>
      </c>
      <c r="F586" s="193">
        <f>F585</f>
        <v>155103002</v>
      </c>
      <c r="G586" s="194">
        <f t="shared" ref="G586:H586" si="426">G583</f>
        <v>2</v>
      </c>
      <c r="H586" s="194" t="str">
        <f t="shared" si="426"/>
        <v>Gem</v>
      </c>
      <c r="I586" s="208">
        <f t="shared" si="421"/>
        <v>100</v>
      </c>
    </row>
    <row r="587" spans="1:9" ht="16.5" customHeight="1" x14ac:dyDescent="0.3">
      <c r="A587" s="193" t="b">
        <v>1</v>
      </c>
      <c r="B587" s="195" t="s">
        <v>333</v>
      </c>
      <c r="C587" s="194">
        <f t="shared" si="422"/>
        <v>582</v>
      </c>
      <c r="D587" s="193">
        <f t="shared" si="425"/>
        <v>6</v>
      </c>
      <c r="E587" s="194">
        <f t="shared" si="423"/>
        <v>10</v>
      </c>
      <c r="F587" s="193">
        <f>F586</f>
        <v>155103002</v>
      </c>
      <c r="G587" s="194">
        <f t="shared" ref="G587:H587" si="427">G584</f>
        <v>3</v>
      </c>
      <c r="H587" s="194" t="str">
        <f t="shared" si="427"/>
        <v>Gem</v>
      </c>
      <c r="I587" s="208">
        <f t="shared" si="421"/>
        <v>150</v>
      </c>
    </row>
    <row r="588" spans="1:9" ht="16.5" customHeight="1" x14ac:dyDescent="0.3">
      <c r="A588" s="172" t="b">
        <v>1</v>
      </c>
      <c r="B588" s="197" t="s">
        <v>333</v>
      </c>
      <c r="C588" s="196">
        <f>C587+1</f>
        <v>583</v>
      </c>
      <c r="D588" s="172">
        <f t="shared" si="425"/>
        <v>6</v>
      </c>
      <c r="E588" s="196">
        <f t="shared" si="423"/>
        <v>10</v>
      </c>
      <c r="F588" s="196">
        <f>F585+1</f>
        <v>155103003</v>
      </c>
      <c r="G588" s="196">
        <v>1</v>
      </c>
      <c r="H588" s="196" t="s">
        <v>104</v>
      </c>
      <c r="I588" s="207">
        <f t="shared" si="421"/>
        <v>50</v>
      </c>
    </row>
    <row r="589" spans="1:9" ht="16.5" customHeight="1" x14ac:dyDescent="0.3">
      <c r="A589" s="172" t="b">
        <v>1</v>
      </c>
      <c r="B589" s="197" t="s">
        <v>333</v>
      </c>
      <c r="C589" s="196">
        <f>C588+1</f>
        <v>584</v>
      </c>
      <c r="D589" s="172">
        <f t="shared" si="425"/>
        <v>6</v>
      </c>
      <c r="E589" s="172">
        <f t="shared" si="423"/>
        <v>10</v>
      </c>
      <c r="F589" s="172">
        <f>F588</f>
        <v>155103003</v>
      </c>
      <c r="G589" s="172">
        <f>G588+1</f>
        <v>2</v>
      </c>
      <c r="H589" s="172" t="str">
        <f>H588</f>
        <v>Gem</v>
      </c>
      <c r="I589" s="207">
        <f t="shared" si="421"/>
        <v>100</v>
      </c>
    </row>
    <row r="590" spans="1:9" ht="16.5" customHeight="1" x14ac:dyDescent="0.3">
      <c r="A590" s="172" t="b">
        <v>1</v>
      </c>
      <c r="B590" s="197" t="s">
        <v>333</v>
      </c>
      <c r="C590" s="196">
        <f>C589+1</f>
        <v>585</v>
      </c>
      <c r="D590" s="172">
        <f t="shared" si="425"/>
        <v>6</v>
      </c>
      <c r="E590" s="172">
        <f t="shared" si="423"/>
        <v>10</v>
      </c>
      <c r="F590" s="172">
        <f>F589</f>
        <v>155103003</v>
      </c>
      <c r="G590" s="172">
        <f>G589+1</f>
        <v>3</v>
      </c>
      <c r="H590" s="172" t="str">
        <f>H589</f>
        <v>Gem</v>
      </c>
      <c r="I590" s="207">
        <f t="shared" si="421"/>
        <v>150</v>
      </c>
    </row>
    <row r="591" spans="1:9" ht="16.5" customHeight="1" x14ac:dyDescent="0.3">
      <c r="A591" s="193" t="b">
        <v>1</v>
      </c>
      <c r="B591" s="195" t="s">
        <v>333</v>
      </c>
      <c r="C591" s="194">
        <f t="shared" ref="C591:C593" si="428">C590+1</f>
        <v>586</v>
      </c>
      <c r="D591" s="193">
        <f>D590</f>
        <v>6</v>
      </c>
      <c r="E591" s="194">
        <f t="shared" si="423"/>
        <v>10</v>
      </c>
      <c r="F591" s="193">
        <f>F588+1</f>
        <v>155103004</v>
      </c>
      <c r="G591" s="194">
        <f t="shared" ref="G591:H591" si="429">G588</f>
        <v>1</v>
      </c>
      <c r="H591" s="194" t="str">
        <f t="shared" si="429"/>
        <v>Gem</v>
      </c>
      <c r="I591" s="208">
        <f t="shared" si="421"/>
        <v>50</v>
      </c>
    </row>
    <row r="592" spans="1:9" ht="16.5" customHeight="1" x14ac:dyDescent="0.3">
      <c r="A592" s="193" t="b">
        <v>1</v>
      </c>
      <c r="B592" s="195" t="s">
        <v>333</v>
      </c>
      <c r="C592" s="194">
        <f t="shared" si="428"/>
        <v>587</v>
      </c>
      <c r="D592" s="193">
        <f t="shared" ref="D592:D596" si="430">D591</f>
        <v>6</v>
      </c>
      <c r="E592" s="194">
        <f t="shared" si="423"/>
        <v>10</v>
      </c>
      <c r="F592" s="193">
        <f>F591</f>
        <v>155103004</v>
      </c>
      <c r="G592" s="194">
        <f t="shared" ref="G592:H592" si="431">G589</f>
        <v>2</v>
      </c>
      <c r="H592" s="194" t="str">
        <f t="shared" si="431"/>
        <v>Gem</v>
      </c>
      <c r="I592" s="208">
        <f t="shared" si="421"/>
        <v>100</v>
      </c>
    </row>
    <row r="593" spans="1:9" ht="16.5" customHeight="1" x14ac:dyDescent="0.3">
      <c r="A593" s="193" t="b">
        <v>1</v>
      </c>
      <c r="B593" s="195" t="s">
        <v>333</v>
      </c>
      <c r="C593" s="194">
        <f t="shared" si="428"/>
        <v>588</v>
      </c>
      <c r="D593" s="193">
        <f t="shared" si="430"/>
        <v>6</v>
      </c>
      <c r="E593" s="194">
        <f t="shared" si="423"/>
        <v>10</v>
      </c>
      <c r="F593" s="193">
        <f>F592</f>
        <v>155103004</v>
      </c>
      <c r="G593" s="194">
        <f t="shared" ref="G593:H593" si="432">G590</f>
        <v>3</v>
      </c>
      <c r="H593" s="194" t="str">
        <f t="shared" si="432"/>
        <v>Gem</v>
      </c>
      <c r="I593" s="208">
        <f t="shared" si="421"/>
        <v>150</v>
      </c>
    </row>
    <row r="594" spans="1:9" ht="16.5" customHeight="1" x14ac:dyDescent="0.3">
      <c r="A594" s="176" t="b">
        <v>0</v>
      </c>
      <c r="B594" s="189" t="s">
        <v>333</v>
      </c>
      <c r="C594" s="190">
        <f>C593+1</f>
        <v>589</v>
      </c>
      <c r="D594" s="176">
        <f t="shared" si="430"/>
        <v>6</v>
      </c>
      <c r="E594" s="190">
        <f t="shared" si="423"/>
        <v>10</v>
      </c>
      <c r="F594" s="190">
        <f>F591+1</f>
        <v>155103005</v>
      </c>
      <c r="G594" s="190">
        <v>1</v>
      </c>
      <c r="H594" s="190" t="s">
        <v>104</v>
      </c>
      <c r="I594" s="205">
        <f t="shared" si="421"/>
        <v>50</v>
      </c>
    </row>
    <row r="595" spans="1:9" ht="16.5" customHeight="1" x14ac:dyDescent="0.3">
      <c r="A595" s="176" t="b">
        <v>0</v>
      </c>
      <c r="B595" s="189" t="s">
        <v>333</v>
      </c>
      <c r="C595" s="190">
        <f>C594+1</f>
        <v>590</v>
      </c>
      <c r="D595" s="176">
        <f t="shared" si="430"/>
        <v>6</v>
      </c>
      <c r="E595" s="176">
        <f t="shared" si="423"/>
        <v>10</v>
      </c>
      <c r="F595" s="176">
        <f>F594</f>
        <v>155103005</v>
      </c>
      <c r="G595" s="176">
        <f>G594+1</f>
        <v>2</v>
      </c>
      <c r="H595" s="176" t="str">
        <f>H594</f>
        <v>Gem</v>
      </c>
      <c r="I595" s="205">
        <f t="shared" si="421"/>
        <v>100</v>
      </c>
    </row>
    <row r="596" spans="1:9" ht="16.5" customHeight="1" x14ac:dyDescent="0.3">
      <c r="A596" s="176" t="b">
        <v>0</v>
      </c>
      <c r="B596" s="189" t="s">
        <v>333</v>
      </c>
      <c r="C596" s="190">
        <f>C595+1</f>
        <v>591</v>
      </c>
      <c r="D596" s="176">
        <f t="shared" si="430"/>
        <v>6</v>
      </c>
      <c r="E596" s="176">
        <f t="shared" si="423"/>
        <v>10</v>
      </c>
      <c r="F596" s="176">
        <f>F595</f>
        <v>155103005</v>
      </c>
      <c r="G596" s="176">
        <f>G595+1</f>
        <v>3</v>
      </c>
      <c r="H596" s="176" t="str">
        <f>H595</f>
        <v>Gem</v>
      </c>
      <c r="I596" s="205">
        <f t="shared" si="421"/>
        <v>150</v>
      </c>
    </row>
    <row r="597" spans="1:9" ht="16.5" customHeight="1" x14ac:dyDescent="0.3">
      <c r="A597" s="173" t="b">
        <v>0</v>
      </c>
      <c r="B597" s="191" t="s">
        <v>333</v>
      </c>
      <c r="C597" s="192">
        <f t="shared" ref="C597:C599" si="433">C596+1</f>
        <v>592</v>
      </c>
      <c r="D597" s="173">
        <f>D596</f>
        <v>6</v>
      </c>
      <c r="E597" s="192">
        <f t="shared" si="423"/>
        <v>10</v>
      </c>
      <c r="F597" s="173">
        <f>F594+1</f>
        <v>155103006</v>
      </c>
      <c r="G597" s="192">
        <f t="shared" ref="G597:H597" si="434">G594</f>
        <v>1</v>
      </c>
      <c r="H597" s="192" t="str">
        <f t="shared" si="434"/>
        <v>Gem</v>
      </c>
      <c r="I597" s="206">
        <f t="shared" si="421"/>
        <v>50</v>
      </c>
    </row>
    <row r="598" spans="1:9" ht="16.5" customHeight="1" x14ac:dyDescent="0.3">
      <c r="A598" s="173" t="b">
        <v>0</v>
      </c>
      <c r="B598" s="191" t="s">
        <v>333</v>
      </c>
      <c r="C598" s="192">
        <f t="shared" si="433"/>
        <v>593</v>
      </c>
      <c r="D598" s="173">
        <f t="shared" ref="D598:D602" si="435">D597</f>
        <v>6</v>
      </c>
      <c r="E598" s="192">
        <f t="shared" si="423"/>
        <v>10</v>
      </c>
      <c r="F598" s="173">
        <f>F597</f>
        <v>155103006</v>
      </c>
      <c r="G598" s="192">
        <f t="shared" ref="G598:H598" si="436">G595</f>
        <v>2</v>
      </c>
      <c r="H598" s="192" t="str">
        <f t="shared" si="436"/>
        <v>Gem</v>
      </c>
      <c r="I598" s="206">
        <f t="shared" si="421"/>
        <v>100</v>
      </c>
    </row>
    <row r="599" spans="1:9" ht="16.5" customHeight="1" x14ac:dyDescent="0.3">
      <c r="A599" s="173" t="b">
        <v>0</v>
      </c>
      <c r="B599" s="191" t="s">
        <v>333</v>
      </c>
      <c r="C599" s="192">
        <f t="shared" si="433"/>
        <v>594</v>
      </c>
      <c r="D599" s="173">
        <f t="shared" si="435"/>
        <v>6</v>
      </c>
      <c r="E599" s="192">
        <f t="shared" si="423"/>
        <v>10</v>
      </c>
      <c r="F599" s="173">
        <f>F598</f>
        <v>155103006</v>
      </c>
      <c r="G599" s="192">
        <f t="shared" ref="G599:H599" si="437">G596</f>
        <v>3</v>
      </c>
      <c r="H599" s="192" t="str">
        <f t="shared" si="437"/>
        <v>Gem</v>
      </c>
      <c r="I599" s="206">
        <f t="shared" si="421"/>
        <v>150</v>
      </c>
    </row>
    <row r="600" spans="1:9" ht="16.5" customHeight="1" x14ac:dyDescent="0.3">
      <c r="A600" s="176" t="b">
        <v>0</v>
      </c>
      <c r="B600" s="189" t="s">
        <v>333</v>
      </c>
      <c r="C600" s="190">
        <f>C599+1</f>
        <v>595</v>
      </c>
      <c r="D600" s="176">
        <f t="shared" si="435"/>
        <v>6</v>
      </c>
      <c r="E600" s="190">
        <f t="shared" si="423"/>
        <v>10</v>
      </c>
      <c r="F600" s="190">
        <f>F597+1</f>
        <v>155103007</v>
      </c>
      <c r="G600" s="190">
        <v>1</v>
      </c>
      <c r="H600" s="190" t="s">
        <v>104</v>
      </c>
      <c r="I600" s="205">
        <f t="shared" si="421"/>
        <v>50</v>
      </c>
    </row>
    <row r="601" spans="1:9" ht="16.5" customHeight="1" x14ac:dyDescent="0.3">
      <c r="A601" s="176" t="b">
        <v>0</v>
      </c>
      <c r="B601" s="189" t="s">
        <v>333</v>
      </c>
      <c r="C601" s="190">
        <f>C600+1</f>
        <v>596</v>
      </c>
      <c r="D601" s="176">
        <f t="shared" si="435"/>
        <v>6</v>
      </c>
      <c r="E601" s="176">
        <f t="shared" si="423"/>
        <v>10</v>
      </c>
      <c r="F601" s="176">
        <f>F600</f>
        <v>155103007</v>
      </c>
      <c r="G601" s="176">
        <f>G600+1</f>
        <v>2</v>
      </c>
      <c r="H601" s="176" t="str">
        <f>H600</f>
        <v>Gem</v>
      </c>
      <c r="I601" s="205">
        <f t="shared" si="421"/>
        <v>100</v>
      </c>
    </row>
    <row r="602" spans="1:9" ht="16.5" customHeight="1" x14ac:dyDescent="0.3">
      <c r="A602" s="176" t="b">
        <v>0</v>
      </c>
      <c r="B602" s="189" t="s">
        <v>333</v>
      </c>
      <c r="C602" s="190">
        <f>C601+1</f>
        <v>597</v>
      </c>
      <c r="D602" s="176">
        <f t="shared" si="435"/>
        <v>6</v>
      </c>
      <c r="E602" s="176">
        <f t="shared" si="423"/>
        <v>10</v>
      </c>
      <c r="F602" s="176">
        <f>F601</f>
        <v>155103007</v>
      </c>
      <c r="G602" s="176">
        <f>G601+1</f>
        <v>3</v>
      </c>
      <c r="H602" s="176" t="str">
        <f>H601</f>
        <v>Gem</v>
      </c>
      <c r="I602" s="205">
        <f t="shared" si="421"/>
        <v>150</v>
      </c>
    </row>
    <row r="603" spans="1:9" ht="16.5" customHeight="1" x14ac:dyDescent="0.3">
      <c r="A603" s="173" t="b">
        <v>0</v>
      </c>
      <c r="B603" s="191" t="s">
        <v>333</v>
      </c>
      <c r="C603" s="192">
        <f t="shared" ref="C603:C605" si="438">C602+1</f>
        <v>598</v>
      </c>
      <c r="D603" s="173">
        <f>D602</f>
        <v>6</v>
      </c>
      <c r="E603" s="192">
        <f t="shared" si="423"/>
        <v>10</v>
      </c>
      <c r="F603" s="173">
        <f>F600+1</f>
        <v>155103008</v>
      </c>
      <c r="G603" s="192">
        <f t="shared" ref="G603:H603" si="439">G600</f>
        <v>1</v>
      </c>
      <c r="H603" s="192" t="str">
        <f t="shared" si="439"/>
        <v>Gem</v>
      </c>
      <c r="I603" s="206">
        <f t="shared" si="421"/>
        <v>50</v>
      </c>
    </row>
    <row r="604" spans="1:9" ht="16.5" customHeight="1" x14ac:dyDescent="0.3">
      <c r="A604" s="173" t="b">
        <v>0</v>
      </c>
      <c r="B604" s="191" t="s">
        <v>333</v>
      </c>
      <c r="C604" s="192">
        <f t="shared" si="438"/>
        <v>599</v>
      </c>
      <c r="D604" s="173">
        <f t="shared" ref="D604:D608" si="440">D603</f>
        <v>6</v>
      </c>
      <c r="E604" s="192">
        <f t="shared" si="423"/>
        <v>10</v>
      </c>
      <c r="F604" s="173">
        <f>F603</f>
        <v>155103008</v>
      </c>
      <c r="G604" s="192">
        <f t="shared" ref="G604:H604" si="441">G601</f>
        <v>2</v>
      </c>
      <c r="H604" s="192" t="str">
        <f t="shared" si="441"/>
        <v>Gem</v>
      </c>
      <c r="I604" s="206">
        <f t="shared" si="421"/>
        <v>100</v>
      </c>
    </row>
    <row r="605" spans="1:9" ht="16.5" customHeight="1" x14ac:dyDescent="0.3">
      <c r="A605" s="173" t="b">
        <v>0</v>
      </c>
      <c r="B605" s="191" t="s">
        <v>333</v>
      </c>
      <c r="C605" s="192">
        <f t="shared" si="438"/>
        <v>600</v>
      </c>
      <c r="D605" s="173">
        <f t="shared" si="440"/>
        <v>6</v>
      </c>
      <c r="E605" s="192">
        <f t="shared" si="423"/>
        <v>10</v>
      </c>
      <c r="F605" s="173">
        <f>F604</f>
        <v>155103008</v>
      </c>
      <c r="G605" s="192">
        <f t="shared" ref="G605:H605" si="442">G602</f>
        <v>3</v>
      </c>
      <c r="H605" s="192" t="str">
        <f t="shared" si="442"/>
        <v>Gem</v>
      </c>
      <c r="I605" s="206">
        <f t="shared" si="421"/>
        <v>150</v>
      </c>
    </row>
    <row r="606" spans="1:9" ht="16.5" customHeight="1" x14ac:dyDescent="0.3">
      <c r="A606" s="176" t="b">
        <v>0</v>
      </c>
      <c r="B606" s="189" t="s">
        <v>333</v>
      </c>
      <c r="C606" s="190">
        <f>C605+1</f>
        <v>601</v>
      </c>
      <c r="D606" s="176">
        <f t="shared" si="440"/>
        <v>6</v>
      </c>
      <c r="E606" s="190">
        <f t="shared" si="423"/>
        <v>10</v>
      </c>
      <c r="F606" s="190">
        <f>F603+1</f>
        <v>155103009</v>
      </c>
      <c r="G606" s="190">
        <v>1</v>
      </c>
      <c r="H606" s="190" t="s">
        <v>104</v>
      </c>
      <c r="I606" s="205">
        <f t="shared" si="421"/>
        <v>50</v>
      </c>
    </row>
    <row r="607" spans="1:9" ht="16.5" customHeight="1" x14ac:dyDescent="0.3">
      <c r="A607" s="176" t="b">
        <v>0</v>
      </c>
      <c r="B607" s="189" t="s">
        <v>333</v>
      </c>
      <c r="C607" s="190">
        <f>C606+1</f>
        <v>602</v>
      </c>
      <c r="D607" s="176">
        <f t="shared" si="440"/>
        <v>6</v>
      </c>
      <c r="E607" s="176">
        <f t="shared" si="423"/>
        <v>10</v>
      </c>
      <c r="F607" s="176">
        <f>F606</f>
        <v>155103009</v>
      </c>
      <c r="G607" s="176">
        <f>G606+1</f>
        <v>2</v>
      </c>
      <c r="H607" s="176" t="str">
        <f>H606</f>
        <v>Gem</v>
      </c>
      <c r="I607" s="205">
        <f t="shared" si="421"/>
        <v>100</v>
      </c>
    </row>
    <row r="608" spans="1:9" ht="16.5" customHeight="1" x14ac:dyDescent="0.3">
      <c r="A608" s="176" t="b">
        <v>0</v>
      </c>
      <c r="B608" s="189" t="s">
        <v>333</v>
      </c>
      <c r="C608" s="190">
        <f>C607+1</f>
        <v>603</v>
      </c>
      <c r="D608" s="176">
        <f t="shared" si="440"/>
        <v>6</v>
      </c>
      <c r="E608" s="176">
        <f t="shared" si="423"/>
        <v>10</v>
      </c>
      <c r="F608" s="176">
        <f>F607</f>
        <v>155103009</v>
      </c>
      <c r="G608" s="176">
        <f>G607+1</f>
        <v>3</v>
      </c>
      <c r="H608" s="176" t="str">
        <f>H607</f>
        <v>Gem</v>
      </c>
      <c r="I608" s="205">
        <f t="shared" si="421"/>
        <v>150</v>
      </c>
    </row>
    <row r="609" spans="1:9" ht="16.5" customHeight="1" x14ac:dyDescent="0.3">
      <c r="A609" s="173" t="b">
        <v>0</v>
      </c>
      <c r="B609" s="191" t="s">
        <v>333</v>
      </c>
      <c r="C609" s="192">
        <f t="shared" ref="C609:C611" si="443">C608+1</f>
        <v>604</v>
      </c>
      <c r="D609" s="173">
        <f>D608</f>
        <v>6</v>
      </c>
      <c r="E609" s="192">
        <f t="shared" si="423"/>
        <v>10</v>
      </c>
      <c r="F609" s="173">
        <f>F606+1</f>
        <v>155103010</v>
      </c>
      <c r="G609" s="192">
        <f t="shared" ref="G609:H609" si="444">G606</f>
        <v>1</v>
      </c>
      <c r="H609" s="192" t="str">
        <f t="shared" si="444"/>
        <v>Gem</v>
      </c>
      <c r="I609" s="206">
        <f t="shared" si="421"/>
        <v>50</v>
      </c>
    </row>
    <row r="610" spans="1:9" ht="16.5" customHeight="1" x14ac:dyDescent="0.3">
      <c r="A610" s="173" t="b">
        <v>0</v>
      </c>
      <c r="B610" s="191" t="s">
        <v>333</v>
      </c>
      <c r="C610" s="192">
        <f t="shared" si="443"/>
        <v>605</v>
      </c>
      <c r="D610" s="173">
        <f t="shared" ref="D610:D614" si="445">D609</f>
        <v>6</v>
      </c>
      <c r="E610" s="192">
        <f t="shared" si="423"/>
        <v>10</v>
      </c>
      <c r="F610" s="173">
        <f>F609</f>
        <v>155103010</v>
      </c>
      <c r="G610" s="192">
        <f t="shared" ref="G610:H610" si="446">G607</f>
        <v>2</v>
      </c>
      <c r="H610" s="192" t="str">
        <f t="shared" si="446"/>
        <v>Gem</v>
      </c>
      <c r="I610" s="206">
        <f t="shared" si="421"/>
        <v>100</v>
      </c>
    </row>
    <row r="611" spans="1:9" ht="16.5" customHeight="1" x14ac:dyDescent="0.3">
      <c r="A611" s="173" t="b">
        <v>0</v>
      </c>
      <c r="B611" s="191" t="s">
        <v>333</v>
      </c>
      <c r="C611" s="192">
        <f t="shared" si="443"/>
        <v>606</v>
      </c>
      <c r="D611" s="173">
        <f t="shared" si="445"/>
        <v>6</v>
      </c>
      <c r="E611" s="192">
        <f t="shared" si="423"/>
        <v>10</v>
      </c>
      <c r="F611" s="173">
        <f>F610</f>
        <v>155103010</v>
      </c>
      <c r="G611" s="192">
        <f t="shared" ref="G611:H611" si="447">G608</f>
        <v>3</v>
      </c>
      <c r="H611" s="192" t="str">
        <f t="shared" si="447"/>
        <v>Gem</v>
      </c>
      <c r="I611" s="206">
        <f t="shared" si="421"/>
        <v>150</v>
      </c>
    </row>
    <row r="612" spans="1:9" ht="16.5" customHeight="1" x14ac:dyDescent="0.3">
      <c r="A612" s="176" t="b">
        <v>0</v>
      </c>
      <c r="B612" s="189" t="s">
        <v>333</v>
      </c>
      <c r="C612" s="190">
        <f>C611+1</f>
        <v>607</v>
      </c>
      <c r="D612" s="176">
        <f t="shared" si="445"/>
        <v>6</v>
      </c>
      <c r="E612" s="190">
        <f t="shared" si="423"/>
        <v>10</v>
      </c>
      <c r="F612" s="190">
        <f>F609+1</f>
        <v>155103011</v>
      </c>
      <c r="G612" s="190">
        <v>1</v>
      </c>
      <c r="H612" s="190" t="s">
        <v>104</v>
      </c>
      <c r="I612" s="205">
        <f t="shared" si="421"/>
        <v>50</v>
      </c>
    </row>
    <row r="613" spans="1:9" ht="16.5" customHeight="1" x14ac:dyDescent="0.3">
      <c r="A613" s="176" t="b">
        <v>0</v>
      </c>
      <c r="B613" s="189" t="s">
        <v>333</v>
      </c>
      <c r="C613" s="190">
        <f>C612+1</f>
        <v>608</v>
      </c>
      <c r="D613" s="176">
        <f t="shared" si="445"/>
        <v>6</v>
      </c>
      <c r="E613" s="176">
        <f t="shared" si="423"/>
        <v>10</v>
      </c>
      <c r="F613" s="176">
        <f>F612</f>
        <v>155103011</v>
      </c>
      <c r="G613" s="176">
        <f>G612+1</f>
        <v>2</v>
      </c>
      <c r="H613" s="176" t="str">
        <f>H612</f>
        <v>Gem</v>
      </c>
      <c r="I613" s="205">
        <f t="shared" si="421"/>
        <v>100</v>
      </c>
    </row>
    <row r="614" spans="1:9" ht="16.5" customHeight="1" x14ac:dyDescent="0.3">
      <c r="A614" s="176" t="b">
        <v>0</v>
      </c>
      <c r="B614" s="189" t="s">
        <v>333</v>
      </c>
      <c r="C614" s="190">
        <f>C613+1</f>
        <v>609</v>
      </c>
      <c r="D614" s="176">
        <f t="shared" si="445"/>
        <v>6</v>
      </c>
      <c r="E614" s="176">
        <f t="shared" si="423"/>
        <v>10</v>
      </c>
      <c r="F614" s="176">
        <f>F613</f>
        <v>155103011</v>
      </c>
      <c r="G614" s="176">
        <f>G613+1</f>
        <v>3</v>
      </c>
      <c r="H614" s="176" t="str">
        <f>H613</f>
        <v>Gem</v>
      </c>
      <c r="I614" s="205">
        <f t="shared" si="421"/>
        <v>150</v>
      </c>
    </row>
    <row r="615" spans="1:9" ht="16.5" customHeight="1" x14ac:dyDescent="0.3">
      <c r="A615" s="173" t="b">
        <v>0</v>
      </c>
      <c r="B615" s="191" t="s">
        <v>333</v>
      </c>
      <c r="C615" s="192">
        <f t="shared" ref="C615:C617" si="448">C614+1</f>
        <v>610</v>
      </c>
      <c r="D615" s="173">
        <f>D614</f>
        <v>6</v>
      </c>
      <c r="E615" s="192">
        <f t="shared" si="423"/>
        <v>10</v>
      </c>
      <c r="F615" s="173">
        <f>F612+1</f>
        <v>155103012</v>
      </c>
      <c r="G615" s="192">
        <f t="shared" ref="G615:H615" si="449">G612</f>
        <v>1</v>
      </c>
      <c r="H615" s="192" t="str">
        <f t="shared" si="449"/>
        <v>Gem</v>
      </c>
      <c r="I615" s="206">
        <f t="shared" si="421"/>
        <v>50</v>
      </c>
    </row>
    <row r="616" spans="1:9" ht="16.5" customHeight="1" x14ac:dyDescent="0.3">
      <c r="A616" s="173" t="b">
        <v>0</v>
      </c>
      <c r="B616" s="191" t="s">
        <v>333</v>
      </c>
      <c r="C616" s="192">
        <f t="shared" si="448"/>
        <v>611</v>
      </c>
      <c r="D616" s="173">
        <f t="shared" ref="D616:D617" si="450">D615</f>
        <v>6</v>
      </c>
      <c r="E616" s="192">
        <f t="shared" si="423"/>
        <v>10</v>
      </c>
      <c r="F616" s="173">
        <f>F615</f>
        <v>155103012</v>
      </c>
      <c r="G616" s="192">
        <f t="shared" ref="G616:H616" si="451">G613</f>
        <v>2</v>
      </c>
      <c r="H616" s="192" t="str">
        <f t="shared" si="451"/>
        <v>Gem</v>
      </c>
      <c r="I616" s="206">
        <f t="shared" si="421"/>
        <v>100</v>
      </c>
    </row>
    <row r="617" spans="1:9" ht="16.5" customHeight="1" x14ac:dyDescent="0.3">
      <c r="A617" s="173" t="b">
        <v>0</v>
      </c>
      <c r="B617" s="191" t="s">
        <v>333</v>
      </c>
      <c r="C617" s="192">
        <f t="shared" si="448"/>
        <v>612</v>
      </c>
      <c r="D617" s="173">
        <f t="shared" si="450"/>
        <v>6</v>
      </c>
      <c r="E617" s="192">
        <f t="shared" si="423"/>
        <v>10</v>
      </c>
      <c r="F617" s="173">
        <f>F616</f>
        <v>155103012</v>
      </c>
      <c r="G617" s="192">
        <f t="shared" ref="G617:H617" si="452">G614</f>
        <v>3</v>
      </c>
      <c r="H617" s="192" t="str">
        <f t="shared" si="452"/>
        <v>Gem</v>
      </c>
      <c r="I617" s="206">
        <f t="shared" si="421"/>
        <v>150</v>
      </c>
    </row>
    <row r="618" spans="1:9" ht="16.5" customHeight="1" x14ac:dyDescent="0.3">
      <c r="A618" s="168" t="b">
        <v>1</v>
      </c>
      <c r="B618" s="184" t="s">
        <v>419</v>
      </c>
      <c r="C618" s="184">
        <f>C617+1</f>
        <v>613</v>
      </c>
      <c r="D618" s="185">
        <v>7</v>
      </c>
      <c r="E618" s="185">
        <v>10</v>
      </c>
      <c r="F618" s="186">
        <v>155101001</v>
      </c>
      <c r="G618" s="185">
        <v>1</v>
      </c>
      <c r="H618" s="185" t="s">
        <v>104</v>
      </c>
      <c r="I618" s="203">
        <f t="shared" si="421"/>
        <v>50</v>
      </c>
    </row>
    <row r="619" spans="1:9" ht="16.5" customHeight="1" x14ac:dyDescent="0.3">
      <c r="A619" s="168" t="b">
        <v>1</v>
      </c>
      <c r="B619" s="183" t="s">
        <v>418</v>
      </c>
      <c r="C619" s="184">
        <f t="shared" ref="C619:C624" si="453">C618+1</f>
        <v>614</v>
      </c>
      <c r="D619" s="168">
        <f t="shared" ref="D619:D635" si="454">D618</f>
        <v>7</v>
      </c>
      <c r="E619" s="185">
        <v>10</v>
      </c>
      <c r="F619" s="168">
        <f>F618</f>
        <v>155101001</v>
      </c>
      <c r="G619" s="184">
        <f>G618+1</f>
        <v>2</v>
      </c>
      <c r="H619" s="184" t="str">
        <f>H618</f>
        <v>Gem</v>
      </c>
      <c r="I619" s="203">
        <f t="shared" si="421"/>
        <v>100</v>
      </c>
    </row>
    <row r="620" spans="1:9" ht="16.5" customHeight="1" x14ac:dyDescent="0.3">
      <c r="A620" s="168" t="b">
        <v>1</v>
      </c>
      <c r="B620" s="183" t="s">
        <v>418</v>
      </c>
      <c r="C620" s="184">
        <f t="shared" si="453"/>
        <v>615</v>
      </c>
      <c r="D620" s="168">
        <f t="shared" si="454"/>
        <v>7</v>
      </c>
      <c r="E620" s="185">
        <v>10</v>
      </c>
      <c r="F620" s="168">
        <f>F619</f>
        <v>155101001</v>
      </c>
      <c r="G620" s="184">
        <f>G619+1</f>
        <v>3</v>
      </c>
      <c r="H620" s="184" t="str">
        <f>H619</f>
        <v>Gem</v>
      </c>
      <c r="I620" s="203">
        <f t="shared" si="421"/>
        <v>150</v>
      </c>
    </row>
    <row r="621" spans="1:9" ht="16.5" customHeight="1" x14ac:dyDescent="0.3">
      <c r="A621" s="168" t="b">
        <v>1</v>
      </c>
      <c r="B621" s="183" t="s">
        <v>418</v>
      </c>
      <c r="C621" s="184">
        <f t="shared" si="453"/>
        <v>616</v>
      </c>
      <c r="D621" s="168">
        <f t="shared" si="454"/>
        <v>7</v>
      </c>
      <c r="E621" s="185">
        <v>6</v>
      </c>
      <c r="F621" s="168">
        <f>F620</f>
        <v>155101001</v>
      </c>
      <c r="G621" s="185">
        <v>1</v>
      </c>
      <c r="H621" s="185" t="s">
        <v>335</v>
      </c>
      <c r="I621" s="203">
        <f t="shared" si="421"/>
        <v>10000</v>
      </c>
    </row>
    <row r="622" spans="1:9" ht="16.5" customHeight="1" x14ac:dyDescent="0.3">
      <c r="A622" s="168" t="b">
        <v>1</v>
      </c>
      <c r="B622" s="183" t="s">
        <v>418</v>
      </c>
      <c r="C622" s="184">
        <f t="shared" si="453"/>
        <v>617</v>
      </c>
      <c r="D622" s="168">
        <f t="shared" si="454"/>
        <v>7</v>
      </c>
      <c r="E622" s="185">
        <v>6</v>
      </c>
      <c r="F622" s="168">
        <f>F621</f>
        <v>155101001</v>
      </c>
      <c r="G622" s="184">
        <f>G621+1</f>
        <v>2</v>
      </c>
      <c r="H622" s="184" t="str">
        <f t="shared" ref="H622:H623" si="455">H621</f>
        <v>Gold</v>
      </c>
      <c r="I622" s="203">
        <f t="shared" si="421"/>
        <v>20000</v>
      </c>
    </row>
    <row r="623" spans="1:9" ht="16.5" customHeight="1" x14ac:dyDescent="0.3">
      <c r="A623" s="168" t="b">
        <v>1</v>
      </c>
      <c r="B623" s="183" t="s">
        <v>418</v>
      </c>
      <c r="C623" s="184">
        <f t="shared" si="453"/>
        <v>618</v>
      </c>
      <c r="D623" s="168">
        <f t="shared" si="454"/>
        <v>7</v>
      </c>
      <c r="E623" s="185">
        <v>6</v>
      </c>
      <c r="F623" s="168">
        <f>F622</f>
        <v>155101001</v>
      </c>
      <c r="G623" s="184">
        <f>G622+1</f>
        <v>3</v>
      </c>
      <c r="H623" s="184" t="str">
        <f t="shared" si="455"/>
        <v>Gold</v>
      </c>
      <c r="I623" s="203">
        <f t="shared" si="421"/>
        <v>30000</v>
      </c>
    </row>
    <row r="624" spans="1:9" ht="16.5" customHeight="1" x14ac:dyDescent="0.3">
      <c r="A624" s="164" t="b">
        <v>1</v>
      </c>
      <c r="B624" s="187" t="s">
        <v>418</v>
      </c>
      <c r="C624" s="164">
        <f t="shared" si="453"/>
        <v>619</v>
      </c>
      <c r="D624" s="164">
        <f>D620</f>
        <v>7</v>
      </c>
      <c r="E624" s="188">
        <f>E618</f>
        <v>10</v>
      </c>
      <c r="F624" s="164">
        <f>F618+1</f>
        <v>155101002</v>
      </c>
      <c r="G624" s="188">
        <f>G618</f>
        <v>1</v>
      </c>
      <c r="H624" s="188" t="str">
        <f>H618</f>
        <v>Gem</v>
      </c>
      <c r="I624" s="204">
        <f t="shared" si="421"/>
        <v>50</v>
      </c>
    </row>
    <row r="625" spans="1:9" ht="16.5" customHeight="1" x14ac:dyDescent="0.3">
      <c r="A625" s="164" t="b">
        <v>1</v>
      </c>
      <c r="B625" s="187" t="s">
        <v>418</v>
      </c>
      <c r="C625" s="188">
        <f t="shared" ref="C625:C630" si="456">C624+1</f>
        <v>620</v>
      </c>
      <c r="D625" s="164">
        <f t="shared" si="454"/>
        <v>7</v>
      </c>
      <c r="E625" s="188">
        <f t="shared" ref="E625:E629" si="457">E619</f>
        <v>10</v>
      </c>
      <c r="F625" s="164">
        <f>F624</f>
        <v>155101002</v>
      </c>
      <c r="G625" s="188">
        <f t="shared" ref="G625:H629" si="458">G619</f>
        <v>2</v>
      </c>
      <c r="H625" s="188" t="str">
        <f t="shared" si="458"/>
        <v>Gem</v>
      </c>
      <c r="I625" s="204">
        <f t="shared" si="421"/>
        <v>100</v>
      </c>
    </row>
    <row r="626" spans="1:9" ht="16.5" customHeight="1" x14ac:dyDescent="0.3">
      <c r="A626" s="164" t="b">
        <v>1</v>
      </c>
      <c r="B626" s="187" t="s">
        <v>418</v>
      </c>
      <c r="C626" s="188">
        <f t="shared" si="456"/>
        <v>621</v>
      </c>
      <c r="D626" s="164">
        <f t="shared" si="454"/>
        <v>7</v>
      </c>
      <c r="E626" s="188">
        <f t="shared" si="457"/>
        <v>10</v>
      </c>
      <c r="F626" s="164">
        <f>F625</f>
        <v>155101002</v>
      </c>
      <c r="G626" s="188">
        <f t="shared" si="458"/>
        <v>3</v>
      </c>
      <c r="H626" s="188" t="str">
        <f t="shared" si="458"/>
        <v>Gem</v>
      </c>
      <c r="I626" s="204">
        <f t="shared" si="421"/>
        <v>150</v>
      </c>
    </row>
    <row r="627" spans="1:9" ht="16.5" customHeight="1" x14ac:dyDescent="0.3">
      <c r="A627" s="164" t="b">
        <v>1</v>
      </c>
      <c r="B627" s="187" t="s">
        <v>418</v>
      </c>
      <c r="C627" s="188">
        <f t="shared" si="456"/>
        <v>622</v>
      </c>
      <c r="D627" s="164">
        <f t="shared" si="454"/>
        <v>7</v>
      </c>
      <c r="E627" s="188">
        <f t="shared" si="457"/>
        <v>6</v>
      </c>
      <c r="F627" s="164">
        <f>F626</f>
        <v>155101002</v>
      </c>
      <c r="G627" s="188">
        <f t="shared" si="458"/>
        <v>1</v>
      </c>
      <c r="H627" s="188" t="str">
        <f t="shared" si="458"/>
        <v>Gold</v>
      </c>
      <c r="I627" s="204">
        <f t="shared" si="421"/>
        <v>10000</v>
      </c>
    </row>
    <row r="628" spans="1:9" ht="16.5" customHeight="1" x14ac:dyDescent="0.3">
      <c r="A628" s="164" t="b">
        <v>1</v>
      </c>
      <c r="B628" s="187" t="s">
        <v>418</v>
      </c>
      <c r="C628" s="188">
        <f t="shared" si="456"/>
        <v>623</v>
      </c>
      <c r="D628" s="164">
        <f t="shared" si="454"/>
        <v>7</v>
      </c>
      <c r="E628" s="188">
        <f t="shared" si="457"/>
        <v>6</v>
      </c>
      <c r="F628" s="164">
        <f>F627</f>
        <v>155101002</v>
      </c>
      <c r="G628" s="188">
        <f t="shared" si="458"/>
        <v>2</v>
      </c>
      <c r="H628" s="188" t="str">
        <f t="shared" si="458"/>
        <v>Gold</v>
      </c>
      <c r="I628" s="204">
        <f t="shared" si="421"/>
        <v>20000</v>
      </c>
    </row>
    <row r="629" spans="1:9" ht="16.5" customHeight="1" x14ac:dyDescent="0.3">
      <c r="A629" s="164" t="b">
        <v>1</v>
      </c>
      <c r="B629" s="187" t="s">
        <v>418</v>
      </c>
      <c r="C629" s="188">
        <f t="shared" si="456"/>
        <v>624</v>
      </c>
      <c r="D629" s="164">
        <f t="shared" si="454"/>
        <v>7</v>
      </c>
      <c r="E629" s="188">
        <f t="shared" si="457"/>
        <v>6</v>
      </c>
      <c r="F629" s="164">
        <f>F628</f>
        <v>155101002</v>
      </c>
      <c r="G629" s="188">
        <f t="shared" si="458"/>
        <v>3</v>
      </c>
      <c r="H629" s="188" t="str">
        <f t="shared" si="458"/>
        <v>Gold</v>
      </c>
      <c r="I629" s="204">
        <f t="shared" si="421"/>
        <v>30000</v>
      </c>
    </row>
    <row r="630" spans="1:9" ht="16.5" customHeight="1" x14ac:dyDescent="0.3">
      <c r="A630" s="168" t="b">
        <v>1</v>
      </c>
      <c r="B630" s="183" t="s">
        <v>418</v>
      </c>
      <c r="C630" s="184">
        <f t="shared" si="456"/>
        <v>625</v>
      </c>
      <c r="D630" s="168">
        <f t="shared" si="454"/>
        <v>7</v>
      </c>
      <c r="E630" s="184">
        <f>E624</f>
        <v>10</v>
      </c>
      <c r="F630" s="184">
        <f>F624+1</f>
        <v>155101003</v>
      </c>
      <c r="G630" s="184">
        <v>1</v>
      </c>
      <c r="H630" s="184" t="s">
        <v>104</v>
      </c>
      <c r="I630" s="203">
        <f t="shared" si="421"/>
        <v>50</v>
      </c>
    </row>
    <row r="631" spans="1:9" ht="16.5" customHeight="1" x14ac:dyDescent="0.3">
      <c r="A631" s="168" t="b">
        <v>1</v>
      </c>
      <c r="B631" s="183" t="s">
        <v>418</v>
      </c>
      <c r="C631" s="184">
        <f t="shared" ref="C631:C636" si="459">C630+1</f>
        <v>626</v>
      </c>
      <c r="D631" s="168">
        <f t="shared" si="454"/>
        <v>7</v>
      </c>
      <c r="E631" s="168">
        <f t="shared" ref="E631:E635" si="460">E625</f>
        <v>10</v>
      </c>
      <c r="F631" s="168">
        <f>F630</f>
        <v>155101003</v>
      </c>
      <c r="G631" s="168">
        <f>G630+1</f>
        <v>2</v>
      </c>
      <c r="H631" s="168" t="str">
        <f>H630</f>
        <v>Gem</v>
      </c>
      <c r="I631" s="203">
        <f t="shared" si="421"/>
        <v>100</v>
      </c>
    </row>
    <row r="632" spans="1:9" ht="16.5" customHeight="1" x14ac:dyDescent="0.3">
      <c r="A632" s="168" t="b">
        <v>1</v>
      </c>
      <c r="B632" s="183" t="s">
        <v>418</v>
      </c>
      <c r="C632" s="184">
        <f t="shared" si="459"/>
        <v>627</v>
      </c>
      <c r="D632" s="168">
        <f t="shared" si="454"/>
        <v>7</v>
      </c>
      <c r="E632" s="168">
        <f t="shared" si="460"/>
        <v>10</v>
      </c>
      <c r="F632" s="168">
        <f>F631</f>
        <v>155101003</v>
      </c>
      <c r="G632" s="168">
        <f>G631+1</f>
        <v>3</v>
      </c>
      <c r="H632" s="168" t="str">
        <f>H631</f>
        <v>Gem</v>
      </c>
      <c r="I632" s="203">
        <f t="shared" si="421"/>
        <v>150</v>
      </c>
    </row>
    <row r="633" spans="1:9" ht="16.5" customHeight="1" x14ac:dyDescent="0.3">
      <c r="A633" s="168" t="b">
        <v>1</v>
      </c>
      <c r="B633" s="183" t="s">
        <v>418</v>
      </c>
      <c r="C633" s="184">
        <f t="shared" si="459"/>
        <v>628</v>
      </c>
      <c r="D633" s="168">
        <f t="shared" si="454"/>
        <v>7</v>
      </c>
      <c r="E633" s="168">
        <f t="shared" si="460"/>
        <v>6</v>
      </c>
      <c r="F633" s="168">
        <f>F632</f>
        <v>155101003</v>
      </c>
      <c r="G633" s="168">
        <v>1</v>
      </c>
      <c r="H633" s="168" t="s">
        <v>335</v>
      </c>
      <c r="I633" s="203">
        <f t="shared" si="421"/>
        <v>10000</v>
      </c>
    </row>
    <row r="634" spans="1:9" ht="16.5" customHeight="1" x14ac:dyDescent="0.3">
      <c r="A634" s="168" t="b">
        <v>1</v>
      </c>
      <c r="B634" s="183" t="s">
        <v>418</v>
      </c>
      <c r="C634" s="184">
        <f t="shared" si="459"/>
        <v>629</v>
      </c>
      <c r="D634" s="168">
        <f t="shared" si="454"/>
        <v>7</v>
      </c>
      <c r="E634" s="168">
        <f t="shared" si="460"/>
        <v>6</v>
      </c>
      <c r="F634" s="168">
        <f>F633</f>
        <v>155101003</v>
      </c>
      <c r="G634" s="168">
        <f>G633+1</f>
        <v>2</v>
      </c>
      <c r="H634" s="168" t="str">
        <f t="shared" ref="H634:H635" si="461">H633</f>
        <v>Gold</v>
      </c>
      <c r="I634" s="203">
        <f t="shared" si="421"/>
        <v>20000</v>
      </c>
    </row>
    <row r="635" spans="1:9" ht="16.5" customHeight="1" x14ac:dyDescent="0.3">
      <c r="A635" s="168" t="b">
        <v>1</v>
      </c>
      <c r="B635" s="183" t="s">
        <v>418</v>
      </c>
      <c r="C635" s="184">
        <f t="shared" si="459"/>
        <v>630</v>
      </c>
      <c r="D635" s="168">
        <f t="shared" si="454"/>
        <v>7</v>
      </c>
      <c r="E635" s="168">
        <f t="shared" si="460"/>
        <v>6</v>
      </c>
      <c r="F635" s="168">
        <f>F634</f>
        <v>155101003</v>
      </c>
      <c r="G635" s="168">
        <f>G634+1</f>
        <v>3</v>
      </c>
      <c r="H635" s="168" t="str">
        <f t="shared" si="461"/>
        <v>Gold</v>
      </c>
      <c r="I635" s="203">
        <f t="shared" si="421"/>
        <v>30000</v>
      </c>
    </row>
    <row r="636" spans="1:9" ht="16.5" customHeight="1" x14ac:dyDescent="0.3">
      <c r="A636" s="164" t="b">
        <v>1</v>
      </c>
      <c r="B636" s="187" t="s">
        <v>418</v>
      </c>
      <c r="C636" s="164">
        <f t="shared" si="459"/>
        <v>631</v>
      </c>
      <c r="D636" s="164">
        <f>D632</f>
        <v>7</v>
      </c>
      <c r="E636" s="188">
        <f>E630</f>
        <v>10</v>
      </c>
      <c r="F636" s="164">
        <f>F630+1</f>
        <v>155101004</v>
      </c>
      <c r="G636" s="188">
        <f>G630</f>
        <v>1</v>
      </c>
      <c r="H636" s="188" t="str">
        <f>H630</f>
        <v>Gem</v>
      </c>
      <c r="I636" s="204">
        <f t="shared" si="421"/>
        <v>50</v>
      </c>
    </row>
    <row r="637" spans="1:9" ht="16.5" customHeight="1" x14ac:dyDescent="0.3">
      <c r="A637" s="164" t="b">
        <v>1</v>
      </c>
      <c r="B637" s="187" t="s">
        <v>418</v>
      </c>
      <c r="C637" s="188">
        <f t="shared" ref="C637:C642" si="462">C636+1</f>
        <v>632</v>
      </c>
      <c r="D637" s="164">
        <f t="shared" ref="D637:D647" si="463">D636</f>
        <v>7</v>
      </c>
      <c r="E637" s="188">
        <f t="shared" ref="E637:E641" si="464">E631</f>
        <v>10</v>
      </c>
      <c r="F637" s="164">
        <f>F636</f>
        <v>155101004</v>
      </c>
      <c r="G637" s="188">
        <f t="shared" ref="G637:H641" si="465">G631</f>
        <v>2</v>
      </c>
      <c r="H637" s="188" t="str">
        <f t="shared" si="465"/>
        <v>Gem</v>
      </c>
      <c r="I637" s="204">
        <f t="shared" si="421"/>
        <v>100</v>
      </c>
    </row>
    <row r="638" spans="1:9" ht="16.5" customHeight="1" x14ac:dyDescent="0.3">
      <c r="A638" s="164" t="b">
        <v>1</v>
      </c>
      <c r="B638" s="187" t="s">
        <v>418</v>
      </c>
      <c r="C638" s="188">
        <f t="shared" si="462"/>
        <v>633</v>
      </c>
      <c r="D638" s="164">
        <f t="shared" si="463"/>
        <v>7</v>
      </c>
      <c r="E638" s="188">
        <f t="shared" si="464"/>
        <v>10</v>
      </c>
      <c r="F638" s="164">
        <f>F637</f>
        <v>155101004</v>
      </c>
      <c r="G638" s="188">
        <f t="shared" si="465"/>
        <v>3</v>
      </c>
      <c r="H638" s="188" t="str">
        <f t="shared" si="465"/>
        <v>Gem</v>
      </c>
      <c r="I638" s="204">
        <f t="shared" si="421"/>
        <v>150</v>
      </c>
    </row>
    <row r="639" spans="1:9" ht="16.5" customHeight="1" x14ac:dyDescent="0.3">
      <c r="A639" s="164" t="b">
        <v>1</v>
      </c>
      <c r="B639" s="187" t="s">
        <v>418</v>
      </c>
      <c r="C639" s="188">
        <f t="shared" si="462"/>
        <v>634</v>
      </c>
      <c r="D639" s="164">
        <f t="shared" si="463"/>
        <v>7</v>
      </c>
      <c r="E639" s="188">
        <f t="shared" si="464"/>
        <v>6</v>
      </c>
      <c r="F639" s="164">
        <f>F638</f>
        <v>155101004</v>
      </c>
      <c r="G639" s="188">
        <f t="shared" si="465"/>
        <v>1</v>
      </c>
      <c r="H639" s="188" t="str">
        <f t="shared" si="465"/>
        <v>Gold</v>
      </c>
      <c r="I639" s="204">
        <f t="shared" si="421"/>
        <v>10000</v>
      </c>
    </row>
    <row r="640" spans="1:9" ht="16.5" customHeight="1" x14ac:dyDescent="0.3">
      <c r="A640" s="164" t="b">
        <v>1</v>
      </c>
      <c r="B640" s="187" t="s">
        <v>418</v>
      </c>
      <c r="C640" s="188">
        <f t="shared" si="462"/>
        <v>635</v>
      </c>
      <c r="D640" s="164">
        <f t="shared" si="463"/>
        <v>7</v>
      </c>
      <c r="E640" s="188">
        <f t="shared" si="464"/>
        <v>6</v>
      </c>
      <c r="F640" s="164">
        <f>F639</f>
        <v>155101004</v>
      </c>
      <c r="G640" s="188">
        <f t="shared" si="465"/>
        <v>2</v>
      </c>
      <c r="H640" s="188" t="str">
        <f t="shared" si="465"/>
        <v>Gold</v>
      </c>
      <c r="I640" s="204">
        <f t="shared" si="421"/>
        <v>20000</v>
      </c>
    </row>
    <row r="641" spans="1:9" ht="16.5" customHeight="1" x14ac:dyDescent="0.3">
      <c r="A641" s="164" t="b">
        <v>1</v>
      </c>
      <c r="B641" s="187" t="s">
        <v>418</v>
      </c>
      <c r="C641" s="188">
        <f t="shared" si="462"/>
        <v>636</v>
      </c>
      <c r="D641" s="164">
        <f t="shared" si="463"/>
        <v>7</v>
      </c>
      <c r="E641" s="188">
        <f t="shared" si="464"/>
        <v>6</v>
      </c>
      <c r="F641" s="164">
        <f>F640</f>
        <v>155101004</v>
      </c>
      <c r="G641" s="188">
        <f t="shared" si="465"/>
        <v>3</v>
      </c>
      <c r="H641" s="188" t="str">
        <f t="shared" si="465"/>
        <v>Gold</v>
      </c>
      <c r="I641" s="204">
        <f t="shared" si="421"/>
        <v>30000</v>
      </c>
    </row>
    <row r="642" spans="1:9" ht="16.5" customHeight="1" x14ac:dyDescent="0.3">
      <c r="A642" s="168" t="b">
        <v>1</v>
      </c>
      <c r="B642" s="183" t="s">
        <v>418</v>
      </c>
      <c r="C642" s="184">
        <f t="shared" si="462"/>
        <v>637</v>
      </c>
      <c r="D642" s="168">
        <f t="shared" si="463"/>
        <v>7</v>
      </c>
      <c r="E642" s="184">
        <f>E636</f>
        <v>10</v>
      </c>
      <c r="F642" s="184">
        <f>F636+1</f>
        <v>155101005</v>
      </c>
      <c r="G642" s="184">
        <v>1</v>
      </c>
      <c r="H642" s="184" t="s">
        <v>104</v>
      </c>
      <c r="I642" s="203">
        <f t="shared" si="421"/>
        <v>50</v>
      </c>
    </row>
    <row r="643" spans="1:9" ht="16.5" customHeight="1" x14ac:dyDescent="0.3">
      <c r="A643" s="168" t="b">
        <v>1</v>
      </c>
      <c r="B643" s="183" t="s">
        <v>418</v>
      </c>
      <c r="C643" s="184">
        <f t="shared" ref="C643:C648" si="466">C642+1</f>
        <v>638</v>
      </c>
      <c r="D643" s="168">
        <f t="shared" si="463"/>
        <v>7</v>
      </c>
      <c r="E643" s="168">
        <f t="shared" ref="E643:E647" si="467">E637</f>
        <v>10</v>
      </c>
      <c r="F643" s="168">
        <f>F642</f>
        <v>155101005</v>
      </c>
      <c r="G643" s="168">
        <f>G642+1</f>
        <v>2</v>
      </c>
      <c r="H643" s="168" t="str">
        <f>H642</f>
        <v>Gem</v>
      </c>
      <c r="I643" s="203">
        <f t="shared" si="421"/>
        <v>100</v>
      </c>
    </row>
    <row r="644" spans="1:9" ht="16.5" customHeight="1" x14ac:dyDescent="0.3">
      <c r="A644" s="168" t="b">
        <v>1</v>
      </c>
      <c r="B644" s="183" t="s">
        <v>418</v>
      </c>
      <c r="C644" s="184">
        <f t="shared" si="466"/>
        <v>639</v>
      </c>
      <c r="D644" s="168">
        <f t="shared" si="463"/>
        <v>7</v>
      </c>
      <c r="E644" s="168">
        <f t="shared" si="467"/>
        <v>10</v>
      </c>
      <c r="F644" s="168">
        <f>F643</f>
        <v>155101005</v>
      </c>
      <c r="G644" s="168">
        <f>G643+1</f>
        <v>3</v>
      </c>
      <c r="H644" s="168" t="str">
        <f>H643</f>
        <v>Gem</v>
      </c>
      <c r="I644" s="203">
        <f t="shared" si="421"/>
        <v>150</v>
      </c>
    </row>
    <row r="645" spans="1:9" ht="16.5" customHeight="1" x14ac:dyDescent="0.3">
      <c r="A645" s="168" t="b">
        <v>1</v>
      </c>
      <c r="B645" s="183" t="s">
        <v>418</v>
      </c>
      <c r="C645" s="184">
        <f t="shared" si="466"/>
        <v>640</v>
      </c>
      <c r="D645" s="168">
        <f t="shared" si="463"/>
        <v>7</v>
      </c>
      <c r="E645" s="168">
        <f t="shared" si="467"/>
        <v>6</v>
      </c>
      <c r="F645" s="168">
        <f>F644</f>
        <v>155101005</v>
      </c>
      <c r="G645" s="168">
        <v>1</v>
      </c>
      <c r="H645" s="168" t="s">
        <v>335</v>
      </c>
      <c r="I645" s="203">
        <f t="shared" si="421"/>
        <v>10000</v>
      </c>
    </row>
    <row r="646" spans="1:9" ht="16.5" customHeight="1" x14ac:dyDescent="0.3">
      <c r="A646" s="168" t="b">
        <v>1</v>
      </c>
      <c r="B646" s="183" t="s">
        <v>418</v>
      </c>
      <c r="C646" s="184">
        <f t="shared" si="466"/>
        <v>641</v>
      </c>
      <c r="D646" s="168">
        <f t="shared" si="463"/>
        <v>7</v>
      </c>
      <c r="E646" s="168">
        <f t="shared" si="467"/>
        <v>6</v>
      </c>
      <c r="F646" s="168">
        <f>F645</f>
        <v>155101005</v>
      </c>
      <c r="G646" s="168">
        <f>G645+1</f>
        <v>2</v>
      </c>
      <c r="H646" s="168" t="str">
        <f t="shared" ref="H646:H647" si="468">H645</f>
        <v>Gold</v>
      </c>
      <c r="I646" s="203">
        <f t="shared" ref="I646:I709" si="469">IF(H646="Gem",$H$1*G646,IF(H646="Gold",$I$1*G646))</f>
        <v>20000</v>
      </c>
    </row>
    <row r="647" spans="1:9" ht="16.5" customHeight="1" x14ac:dyDescent="0.3">
      <c r="A647" s="168" t="b">
        <v>1</v>
      </c>
      <c r="B647" s="183" t="s">
        <v>418</v>
      </c>
      <c r="C647" s="184">
        <f t="shared" si="466"/>
        <v>642</v>
      </c>
      <c r="D647" s="168">
        <f t="shared" si="463"/>
        <v>7</v>
      </c>
      <c r="E647" s="168">
        <f t="shared" si="467"/>
        <v>6</v>
      </c>
      <c r="F647" s="168">
        <f>F646</f>
        <v>155101005</v>
      </c>
      <c r="G647" s="168">
        <f>G646+1</f>
        <v>3</v>
      </c>
      <c r="H647" s="168" t="str">
        <f t="shared" si="468"/>
        <v>Gold</v>
      </c>
      <c r="I647" s="203">
        <f t="shared" si="469"/>
        <v>30000</v>
      </c>
    </row>
    <row r="648" spans="1:9" ht="16.5" customHeight="1" x14ac:dyDescent="0.3">
      <c r="A648" s="164" t="b">
        <v>1</v>
      </c>
      <c r="B648" s="187" t="s">
        <v>418</v>
      </c>
      <c r="C648" s="164">
        <f t="shared" si="466"/>
        <v>643</v>
      </c>
      <c r="D648" s="164">
        <f>D644</f>
        <v>7</v>
      </c>
      <c r="E648" s="188">
        <f>E642</f>
        <v>10</v>
      </c>
      <c r="F648" s="164">
        <f>F642+1</f>
        <v>155101006</v>
      </c>
      <c r="G648" s="188">
        <f>G642</f>
        <v>1</v>
      </c>
      <c r="H648" s="188" t="str">
        <f>H642</f>
        <v>Gem</v>
      </c>
      <c r="I648" s="204">
        <f t="shared" si="469"/>
        <v>50</v>
      </c>
    </row>
    <row r="649" spans="1:9" ht="16.5" customHeight="1" x14ac:dyDescent="0.3">
      <c r="A649" s="164" t="b">
        <v>1</v>
      </c>
      <c r="B649" s="187" t="s">
        <v>418</v>
      </c>
      <c r="C649" s="188">
        <f t="shared" ref="C649:C654" si="470">C648+1</f>
        <v>644</v>
      </c>
      <c r="D649" s="164">
        <f t="shared" ref="D649:D659" si="471">D648</f>
        <v>7</v>
      </c>
      <c r="E649" s="188">
        <f t="shared" ref="E649:E653" si="472">E643</f>
        <v>10</v>
      </c>
      <c r="F649" s="164">
        <f>F648</f>
        <v>155101006</v>
      </c>
      <c r="G649" s="188">
        <f t="shared" ref="G649:H653" si="473">G643</f>
        <v>2</v>
      </c>
      <c r="H649" s="188" t="str">
        <f t="shared" si="473"/>
        <v>Gem</v>
      </c>
      <c r="I649" s="204">
        <f t="shared" si="469"/>
        <v>100</v>
      </c>
    </row>
    <row r="650" spans="1:9" ht="16.5" customHeight="1" x14ac:dyDescent="0.3">
      <c r="A650" s="164" t="b">
        <v>1</v>
      </c>
      <c r="B650" s="187" t="s">
        <v>418</v>
      </c>
      <c r="C650" s="188">
        <f t="shared" si="470"/>
        <v>645</v>
      </c>
      <c r="D650" s="164">
        <f t="shared" si="471"/>
        <v>7</v>
      </c>
      <c r="E650" s="188">
        <f t="shared" si="472"/>
        <v>10</v>
      </c>
      <c r="F650" s="164">
        <f>F649</f>
        <v>155101006</v>
      </c>
      <c r="G650" s="188">
        <f t="shared" si="473"/>
        <v>3</v>
      </c>
      <c r="H650" s="188" t="str">
        <f t="shared" si="473"/>
        <v>Gem</v>
      </c>
      <c r="I650" s="204">
        <f t="shared" si="469"/>
        <v>150</v>
      </c>
    </row>
    <row r="651" spans="1:9" ht="16.5" customHeight="1" x14ac:dyDescent="0.3">
      <c r="A651" s="164" t="b">
        <v>1</v>
      </c>
      <c r="B651" s="187" t="s">
        <v>418</v>
      </c>
      <c r="C651" s="188">
        <f t="shared" si="470"/>
        <v>646</v>
      </c>
      <c r="D651" s="164">
        <f t="shared" si="471"/>
        <v>7</v>
      </c>
      <c r="E651" s="188">
        <f t="shared" si="472"/>
        <v>6</v>
      </c>
      <c r="F651" s="164">
        <f>F650</f>
        <v>155101006</v>
      </c>
      <c r="G651" s="188">
        <f t="shared" si="473"/>
        <v>1</v>
      </c>
      <c r="H651" s="188" t="str">
        <f t="shared" si="473"/>
        <v>Gold</v>
      </c>
      <c r="I651" s="204">
        <f t="shared" si="469"/>
        <v>10000</v>
      </c>
    </row>
    <row r="652" spans="1:9" ht="16.5" customHeight="1" x14ac:dyDescent="0.3">
      <c r="A652" s="164" t="b">
        <v>1</v>
      </c>
      <c r="B652" s="187" t="s">
        <v>418</v>
      </c>
      <c r="C652" s="188">
        <f t="shared" si="470"/>
        <v>647</v>
      </c>
      <c r="D652" s="164">
        <f t="shared" si="471"/>
        <v>7</v>
      </c>
      <c r="E652" s="188">
        <f t="shared" si="472"/>
        <v>6</v>
      </c>
      <c r="F652" s="164">
        <f>F651</f>
        <v>155101006</v>
      </c>
      <c r="G652" s="188">
        <f t="shared" si="473"/>
        <v>2</v>
      </c>
      <c r="H652" s="188" t="str">
        <f t="shared" si="473"/>
        <v>Gold</v>
      </c>
      <c r="I652" s="204">
        <f t="shared" si="469"/>
        <v>20000</v>
      </c>
    </row>
    <row r="653" spans="1:9" ht="16.5" customHeight="1" x14ac:dyDescent="0.3">
      <c r="A653" s="164" t="b">
        <v>1</v>
      </c>
      <c r="B653" s="187" t="s">
        <v>418</v>
      </c>
      <c r="C653" s="188">
        <f t="shared" si="470"/>
        <v>648</v>
      </c>
      <c r="D653" s="164">
        <f t="shared" si="471"/>
        <v>7</v>
      </c>
      <c r="E653" s="188">
        <f t="shared" si="472"/>
        <v>6</v>
      </c>
      <c r="F653" s="164">
        <f>F652</f>
        <v>155101006</v>
      </c>
      <c r="G653" s="188">
        <f t="shared" si="473"/>
        <v>3</v>
      </c>
      <c r="H653" s="188" t="str">
        <f t="shared" si="473"/>
        <v>Gold</v>
      </c>
      <c r="I653" s="204">
        <f t="shared" si="469"/>
        <v>30000</v>
      </c>
    </row>
    <row r="654" spans="1:9" ht="16.5" customHeight="1" x14ac:dyDescent="0.3">
      <c r="A654" s="168" t="b">
        <v>1</v>
      </c>
      <c r="B654" s="183" t="s">
        <v>418</v>
      </c>
      <c r="C654" s="184">
        <f t="shared" si="470"/>
        <v>649</v>
      </c>
      <c r="D654" s="168">
        <f t="shared" si="471"/>
        <v>7</v>
      </c>
      <c r="E654" s="185">
        <v>10</v>
      </c>
      <c r="F654" s="186">
        <v>155102001</v>
      </c>
      <c r="G654" s="185">
        <v>1</v>
      </c>
      <c r="H654" s="185" t="s">
        <v>104</v>
      </c>
      <c r="I654" s="203">
        <f t="shared" si="469"/>
        <v>50</v>
      </c>
    </row>
    <row r="655" spans="1:9" ht="16.5" customHeight="1" x14ac:dyDescent="0.3">
      <c r="A655" s="168" t="b">
        <v>1</v>
      </c>
      <c r="B655" s="183" t="s">
        <v>418</v>
      </c>
      <c r="C655" s="184">
        <f t="shared" ref="C655:C660" si="474">C654+1</f>
        <v>650</v>
      </c>
      <c r="D655" s="168">
        <f t="shared" si="471"/>
        <v>7</v>
      </c>
      <c r="E655" s="185">
        <v>10</v>
      </c>
      <c r="F655" s="168">
        <f>F654</f>
        <v>155102001</v>
      </c>
      <c r="G655" s="184">
        <f>G654+1</f>
        <v>2</v>
      </c>
      <c r="H655" s="184" t="str">
        <f>H654</f>
        <v>Gem</v>
      </c>
      <c r="I655" s="203">
        <f t="shared" si="469"/>
        <v>100</v>
      </c>
    </row>
    <row r="656" spans="1:9" ht="16.5" customHeight="1" x14ac:dyDescent="0.3">
      <c r="A656" s="168" t="b">
        <v>1</v>
      </c>
      <c r="B656" s="183" t="s">
        <v>418</v>
      </c>
      <c r="C656" s="184">
        <f t="shared" si="474"/>
        <v>651</v>
      </c>
      <c r="D656" s="168">
        <f t="shared" si="471"/>
        <v>7</v>
      </c>
      <c r="E656" s="185">
        <v>10</v>
      </c>
      <c r="F656" s="168">
        <f>F655</f>
        <v>155102001</v>
      </c>
      <c r="G656" s="184">
        <f>G655+1</f>
        <v>3</v>
      </c>
      <c r="H656" s="184" t="str">
        <f>H655</f>
        <v>Gem</v>
      </c>
      <c r="I656" s="203">
        <f t="shared" si="469"/>
        <v>150</v>
      </c>
    </row>
    <row r="657" spans="1:9" ht="16.5" customHeight="1" x14ac:dyDescent="0.3">
      <c r="A657" s="168" t="b">
        <v>1</v>
      </c>
      <c r="B657" s="183" t="s">
        <v>418</v>
      </c>
      <c r="C657" s="184">
        <f t="shared" si="474"/>
        <v>652</v>
      </c>
      <c r="D657" s="168">
        <f t="shared" si="471"/>
        <v>7</v>
      </c>
      <c r="E657" s="185">
        <v>6</v>
      </c>
      <c r="F657" s="168">
        <f>F656</f>
        <v>155102001</v>
      </c>
      <c r="G657" s="185">
        <v>1</v>
      </c>
      <c r="H657" s="185" t="s">
        <v>335</v>
      </c>
      <c r="I657" s="203">
        <f t="shared" si="469"/>
        <v>10000</v>
      </c>
    </row>
    <row r="658" spans="1:9" ht="16.5" customHeight="1" x14ac:dyDescent="0.3">
      <c r="A658" s="168" t="b">
        <v>1</v>
      </c>
      <c r="B658" s="183" t="s">
        <v>418</v>
      </c>
      <c r="C658" s="184">
        <f t="shared" si="474"/>
        <v>653</v>
      </c>
      <c r="D658" s="168">
        <f t="shared" si="471"/>
        <v>7</v>
      </c>
      <c r="E658" s="185">
        <v>6</v>
      </c>
      <c r="F658" s="168">
        <f>F657</f>
        <v>155102001</v>
      </c>
      <c r="G658" s="184">
        <f>G657+1</f>
        <v>2</v>
      </c>
      <c r="H658" s="184" t="str">
        <f t="shared" ref="H658:H659" si="475">H657</f>
        <v>Gold</v>
      </c>
      <c r="I658" s="203">
        <f t="shared" si="469"/>
        <v>20000</v>
      </c>
    </row>
    <row r="659" spans="1:9" ht="16.5" customHeight="1" x14ac:dyDescent="0.3">
      <c r="A659" s="168" t="b">
        <v>1</v>
      </c>
      <c r="B659" s="183" t="s">
        <v>418</v>
      </c>
      <c r="C659" s="184">
        <f t="shared" si="474"/>
        <v>654</v>
      </c>
      <c r="D659" s="168">
        <f t="shared" si="471"/>
        <v>7</v>
      </c>
      <c r="E659" s="185">
        <v>6</v>
      </c>
      <c r="F659" s="168">
        <f>F658</f>
        <v>155102001</v>
      </c>
      <c r="G659" s="184">
        <f>G658+1</f>
        <v>3</v>
      </c>
      <c r="H659" s="184" t="str">
        <f t="shared" si="475"/>
        <v>Gold</v>
      </c>
      <c r="I659" s="203">
        <f t="shared" si="469"/>
        <v>30000</v>
      </c>
    </row>
    <row r="660" spans="1:9" ht="16.5" customHeight="1" x14ac:dyDescent="0.3">
      <c r="A660" s="164" t="b">
        <v>1</v>
      </c>
      <c r="B660" s="187" t="s">
        <v>418</v>
      </c>
      <c r="C660" s="164">
        <f t="shared" si="474"/>
        <v>655</v>
      </c>
      <c r="D660" s="164">
        <f>D656</f>
        <v>7</v>
      </c>
      <c r="E660" s="188">
        <f t="shared" ref="E660:E689" si="476">E654</f>
        <v>10</v>
      </c>
      <c r="F660" s="164">
        <f>F654+1</f>
        <v>155102002</v>
      </c>
      <c r="G660" s="188">
        <f t="shared" ref="G660:H665" si="477">G654</f>
        <v>1</v>
      </c>
      <c r="H660" s="188" t="str">
        <f t="shared" si="477"/>
        <v>Gem</v>
      </c>
      <c r="I660" s="204">
        <f t="shared" si="469"/>
        <v>50</v>
      </c>
    </row>
    <row r="661" spans="1:9" ht="16.5" customHeight="1" x14ac:dyDescent="0.3">
      <c r="A661" s="164" t="b">
        <v>1</v>
      </c>
      <c r="B661" s="187" t="s">
        <v>418</v>
      </c>
      <c r="C661" s="188">
        <f t="shared" ref="C661:C665" si="478">C660+1</f>
        <v>656</v>
      </c>
      <c r="D661" s="164">
        <f t="shared" ref="D661:D671" si="479">D660</f>
        <v>7</v>
      </c>
      <c r="E661" s="188">
        <f t="shared" si="476"/>
        <v>10</v>
      </c>
      <c r="F661" s="164">
        <f>F660</f>
        <v>155102002</v>
      </c>
      <c r="G661" s="188">
        <f t="shared" si="477"/>
        <v>2</v>
      </c>
      <c r="H661" s="188" t="str">
        <f t="shared" si="477"/>
        <v>Gem</v>
      </c>
      <c r="I661" s="204">
        <f t="shared" si="469"/>
        <v>100</v>
      </c>
    </row>
    <row r="662" spans="1:9" ht="16.5" customHeight="1" x14ac:dyDescent="0.3">
      <c r="A662" s="164" t="b">
        <v>1</v>
      </c>
      <c r="B662" s="187" t="s">
        <v>418</v>
      </c>
      <c r="C662" s="188">
        <f t="shared" si="478"/>
        <v>657</v>
      </c>
      <c r="D662" s="164">
        <f t="shared" si="479"/>
        <v>7</v>
      </c>
      <c r="E662" s="188">
        <f t="shared" si="476"/>
        <v>10</v>
      </c>
      <c r="F662" s="164">
        <f>F661</f>
        <v>155102002</v>
      </c>
      <c r="G662" s="188">
        <f t="shared" si="477"/>
        <v>3</v>
      </c>
      <c r="H662" s="188" t="str">
        <f t="shared" si="477"/>
        <v>Gem</v>
      </c>
      <c r="I662" s="204">
        <f t="shared" si="469"/>
        <v>150</v>
      </c>
    </row>
    <row r="663" spans="1:9" ht="16.5" customHeight="1" x14ac:dyDescent="0.3">
      <c r="A663" s="164" t="b">
        <v>1</v>
      </c>
      <c r="B663" s="187" t="s">
        <v>418</v>
      </c>
      <c r="C663" s="188">
        <f t="shared" si="478"/>
        <v>658</v>
      </c>
      <c r="D663" s="164">
        <f t="shared" si="479"/>
        <v>7</v>
      </c>
      <c r="E663" s="188">
        <f t="shared" si="476"/>
        <v>6</v>
      </c>
      <c r="F663" s="164">
        <f>F662</f>
        <v>155102002</v>
      </c>
      <c r="G663" s="188">
        <f t="shared" si="477"/>
        <v>1</v>
      </c>
      <c r="H663" s="188" t="str">
        <f t="shared" si="477"/>
        <v>Gold</v>
      </c>
      <c r="I663" s="204">
        <f t="shared" si="469"/>
        <v>10000</v>
      </c>
    </row>
    <row r="664" spans="1:9" ht="16.5" customHeight="1" x14ac:dyDescent="0.3">
      <c r="A664" s="164" t="b">
        <v>1</v>
      </c>
      <c r="B664" s="187" t="s">
        <v>418</v>
      </c>
      <c r="C664" s="188">
        <f t="shared" si="478"/>
        <v>659</v>
      </c>
      <c r="D664" s="164">
        <f t="shared" si="479"/>
        <v>7</v>
      </c>
      <c r="E664" s="188">
        <f t="shared" si="476"/>
        <v>6</v>
      </c>
      <c r="F664" s="164">
        <f>F663</f>
        <v>155102002</v>
      </c>
      <c r="G664" s="188">
        <f t="shared" si="477"/>
        <v>2</v>
      </c>
      <c r="H664" s="188" t="str">
        <f t="shared" si="477"/>
        <v>Gold</v>
      </c>
      <c r="I664" s="204">
        <f t="shared" si="469"/>
        <v>20000</v>
      </c>
    </row>
    <row r="665" spans="1:9" ht="16.5" customHeight="1" x14ac:dyDescent="0.3">
      <c r="A665" s="164" t="b">
        <v>1</v>
      </c>
      <c r="B665" s="187" t="s">
        <v>418</v>
      </c>
      <c r="C665" s="188">
        <f t="shared" si="478"/>
        <v>660</v>
      </c>
      <c r="D665" s="164">
        <f t="shared" si="479"/>
        <v>7</v>
      </c>
      <c r="E665" s="188">
        <f t="shared" si="476"/>
        <v>6</v>
      </c>
      <c r="F665" s="164">
        <f>F664</f>
        <v>155102002</v>
      </c>
      <c r="G665" s="188">
        <f t="shared" si="477"/>
        <v>3</v>
      </c>
      <c r="H665" s="188" t="str">
        <f t="shared" si="477"/>
        <v>Gold</v>
      </c>
      <c r="I665" s="204">
        <f t="shared" si="469"/>
        <v>30000</v>
      </c>
    </row>
    <row r="666" spans="1:9" ht="16.5" customHeight="1" x14ac:dyDescent="0.3">
      <c r="A666" s="168" t="b">
        <v>1</v>
      </c>
      <c r="B666" s="183" t="s">
        <v>418</v>
      </c>
      <c r="C666" s="184">
        <f t="shared" ref="C666:C672" si="480">C665+1</f>
        <v>661</v>
      </c>
      <c r="D666" s="168">
        <f t="shared" si="479"/>
        <v>7</v>
      </c>
      <c r="E666" s="184">
        <f t="shared" si="476"/>
        <v>10</v>
      </c>
      <c r="F666" s="184">
        <f>F660+1</f>
        <v>155102003</v>
      </c>
      <c r="G666" s="184">
        <v>1</v>
      </c>
      <c r="H666" s="184" t="s">
        <v>104</v>
      </c>
      <c r="I666" s="203">
        <f t="shared" si="469"/>
        <v>50</v>
      </c>
    </row>
    <row r="667" spans="1:9" ht="16.5" customHeight="1" x14ac:dyDescent="0.3">
      <c r="A667" s="168" t="b">
        <v>1</v>
      </c>
      <c r="B667" s="183" t="s">
        <v>418</v>
      </c>
      <c r="C667" s="184">
        <f t="shared" si="480"/>
        <v>662</v>
      </c>
      <c r="D667" s="168">
        <f t="shared" si="479"/>
        <v>7</v>
      </c>
      <c r="E667" s="168">
        <f t="shared" si="476"/>
        <v>10</v>
      </c>
      <c r="F667" s="168">
        <f>F666</f>
        <v>155102003</v>
      </c>
      <c r="G667" s="168">
        <f>G666+1</f>
        <v>2</v>
      </c>
      <c r="H667" s="168" t="str">
        <f>H666</f>
        <v>Gem</v>
      </c>
      <c r="I667" s="203">
        <f t="shared" si="469"/>
        <v>100</v>
      </c>
    </row>
    <row r="668" spans="1:9" ht="16.5" customHeight="1" x14ac:dyDescent="0.3">
      <c r="A668" s="168" t="b">
        <v>1</v>
      </c>
      <c r="B668" s="183" t="s">
        <v>418</v>
      </c>
      <c r="C668" s="184">
        <f t="shared" si="480"/>
        <v>663</v>
      </c>
      <c r="D668" s="168">
        <f t="shared" si="479"/>
        <v>7</v>
      </c>
      <c r="E668" s="168">
        <f t="shared" si="476"/>
        <v>10</v>
      </c>
      <c r="F668" s="168">
        <f>F667</f>
        <v>155102003</v>
      </c>
      <c r="G668" s="168">
        <f>G667+1</f>
        <v>3</v>
      </c>
      <c r="H668" s="168" t="str">
        <f>H667</f>
        <v>Gem</v>
      </c>
      <c r="I668" s="203">
        <f t="shared" si="469"/>
        <v>150</v>
      </c>
    </row>
    <row r="669" spans="1:9" ht="16.5" customHeight="1" x14ac:dyDescent="0.3">
      <c r="A669" s="168" t="b">
        <v>1</v>
      </c>
      <c r="B669" s="183" t="s">
        <v>418</v>
      </c>
      <c r="C669" s="184">
        <f t="shared" si="480"/>
        <v>664</v>
      </c>
      <c r="D669" s="168">
        <f t="shared" si="479"/>
        <v>7</v>
      </c>
      <c r="E669" s="168">
        <f t="shared" si="476"/>
        <v>6</v>
      </c>
      <c r="F669" s="168">
        <f>F668</f>
        <v>155102003</v>
      </c>
      <c r="G669" s="168">
        <v>1</v>
      </c>
      <c r="H669" s="168" t="s">
        <v>335</v>
      </c>
      <c r="I669" s="203">
        <f t="shared" si="469"/>
        <v>10000</v>
      </c>
    </row>
    <row r="670" spans="1:9" ht="16.5" customHeight="1" x14ac:dyDescent="0.3">
      <c r="A670" s="168" t="b">
        <v>1</v>
      </c>
      <c r="B670" s="183" t="s">
        <v>418</v>
      </c>
      <c r="C670" s="184">
        <f t="shared" si="480"/>
        <v>665</v>
      </c>
      <c r="D670" s="168">
        <f t="shared" si="479"/>
        <v>7</v>
      </c>
      <c r="E670" s="168">
        <f t="shared" si="476"/>
        <v>6</v>
      </c>
      <c r="F670" s="168">
        <f>F669</f>
        <v>155102003</v>
      </c>
      <c r="G670" s="168">
        <f>G669+1</f>
        <v>2</v>
      </c>
      <c r="H670" s="168" t="str">
        <f t="shared" ref="H670:H671" si="481">H669</f>
        <v>Gold</v>
      </c>
      <c r="I670" s="203">
        <f t="shared" si="469"/>
        <v>20000</v>
      </c>
    </row>
    <row r="671" spans="1:9" ht="16.5" customHeight="1" x14ac:dyDescent="0.3">
      <c r="A671" s="168" t="b">
        <v>1</v>
      </c>
      <c r="B671" s="183" t="s">
        <v>418</v>
      </c>
      <c r="C671" s="184">
        <f t="shared" si="480"/>
        <v>666</v>
      </c>
      <c r="D671" s="168">
        <f t="shared" si="479"/>
        <v>7</v>
      </c>
      <c r="E671" s="168">
        <f t="shared" si="476"/>
        <v>6</v>
      </c>
      <c r="F671" s="168">
        <f>F670</f>
        <v>155102003</v>
      </c>
      <c r="G671" s="168">
        <f>G670+1</f>
        <v>3</v>
      </c>
      <c r="H671" s="168" t="str">
        <f t="shared" si="481"/>
        <v>Gold</v>
      </c>
      <c r="I671" s="203">
        <f t="shared" si="469"/>
        <v>30000</v>
      </c>
    </row>
    <row r="672" spans="1:9" ht="16.5" customHeight="1" x14ac:dyDescent="0.3">
      <c r="A672" s="164" t="b">
        <v>1</v>
      </c>
      <c r="B672" s="187" t="s">
        <v>418</v>
      </c>
      <c r="C672" s="164">
        <f t="shared" si="480"/>
        <v>667</v>
      </c>
      <c r="D672" s="164">
        <f>D668</f>
        <v>7</v>
      </c>
      <c r="E672" s="188">
        <f t="shared" si="476"/>
        <v>10</v>
      </c>
      <c r="F672" s="164">
        <f>F666+1</f>
        <v>155102004</v>
      </c>
      <c r="G672" s="188">
        <f t="shared" ref="G672:H677" si="482">G666</f>
        <v>1</v>
      </c>
      <c r="H672" s="188" t="str">
        <f t="shared" si="482"/>
        <v>Gem</v>
      </c>
      <c r="I672" s="204">
        <f t="shared" si="469"/>
        <v>50</v>
      </c>
    </row>
    <row r="673" spans="1:9" ht="16.5" customHeight="1" x14ac:dyDescent="0.3">
      <c r="A673" s="164" t="b">
        <v>1</v>
      </c>
      <c r="B673" s="187" t="s">
        <v>418</v>
      </c>
      <c r="C673" s="188">
        <f t="shared" ref="C673:C677" si="483">C672+1</f>
        <v>668</v>
      </c>
      <c r="D673" s="164">
        <f t="shared" ref="D673:D683" si="484">D672</f>
        <v>7</v>
      </c>
      <c r="E673" s="188">
        <f t="shared" si="476"/>
        <v>10</v>
      </c>
      <c r="F673" s="164">
        <f>F672</f>
        <v>155102004</v>
      </c>
      <c r="G673" s="188">
        <f t="shared" si="482"/>
        <v>2</v>
      </c>
      <c r="H673" s="188" t="str">
        <f t="shared" si="482"/>
        <v>Gem</v>
      </c>
      <c r="I673" s="204">
        <f t="shared" si="469"/>
        <v>100</v>
      </c>
    </row>
    <row r="674" spans="1:9" ht="16.5" customHeight="1" x14ac:dyDescent="0.3">
      <c r="A674" s="164" t="b">
        <v>1</v>
      </c>
      <c r="B674" s="187" t="s">
        <v>418</v>
      </c>
      <c r="C674" s="188">
        <f t="shared" si="483"/>
        <v>669</v>
      </c>
      <c r="D674" s="164">
        <f t="shared" si="484"/>
        <v>7</v>
      </c>
      <c r="E674" s="188">
        <f t="shared" si="476"/>
        <v>10</v>
      </c>
      <c r="F674" s="164">
        <f>F673</f>
        <v>155102004</v>
      </c>
      <c r="G674" s="188">
        <f t="shared" si="482"/>
        <v>3</v>
      </c>
      <c r="H674" s="188" t="str">
        <f t="shared" si="482"/>
        <v>Gem</v>
      </c>
      <c r="I674" s="204">
        <f t="shared" si="469"/>
        <v>150</v>
      </c>
    </row>
    <row r="675" spans="1:9" ht="16.5" customHeight="1" x14ac:dyDescent="0.3">
      <c r="A675" s="164" t="b">
        <v>1</v>
      </c>
      <c r="B675" s="187" t="s">
        <v>418</v>
      </c>
      <c r="C675" s="188">
        <f t="shared" si="483"/>
        <v>670</v>
      </c>
      <c r="D675" s="164">
        <f t="shared" si="484"/>
        <v>7</v>
      </c>
      <c r="E675" s="188">
        <f t="shared" si="476"/>
        <v>6</v>
      </c>
      <c r="F675" s="164">
        <f>F674</f>
        <v>155102004</v>
      </c>
      <c r="G675" s="188">
        <f t="shared" si="482"/>
        <v>1</v>
      </c>
      <c r="H675" s="188" t="str">
        <f t="shared" si="482"/>
        <v>Gold</v>
      </c>
      <c r="I675" s="204">
        <f t="shared" si="469"/>
        <v>10000</v>
      </c>
    </row>
    <row r="676" spans="1:9" ht="16.5" customHeight="1" x14ac:dyDescent="0.3">
      <c r="A676" s="164" t="b">
        <v>1</v>
      </c>
      <c r="B676" s="187" t="s">
        <v>418</v>
      </c>
      <c r="C676" s="188">
        <f t="shared" si="483"/>
        <v>671</v>
      </c>
      <c r="D676" s="164">
        <f t="shared" si="484"/>
        <v>7</v>
      </c>
      <c r="E676" s="188">
        <f t="shared" si="476"/>
        <v>6</v>
      </c>
      <c r="F676" s="164">
        <f>F675</f>
        <v>155102004</v>
      </c>
      <c r="G676" s="188">
        <f t="shared" si="482"/>
        <v>2</v>
      </c>
      <c r="H676" s="188" t="str">
        <f t="shared" si="482"/>
        <v>Gold</v>
      </c>
      <c r="I676" s="204">
        <f t="shared" si="469"/>
        <v>20000</v>
      </c>
    </row>
    <row r="677" spans="1:9" ht="16.5" customHeight="1" x14ac:dyDescent="0.3">
      <c r="A677" s="164" t="b">
        <v>1</v>
      </c>
      <c r="B677" s="187" t="s">
        <v>418</v>
      </c>
      <c r="C677" s="188">
        <f t="shared" si="483"/>
        <v>672</v>
      </c>
      <c r="D677" s="164">
        <f t="shared" si="484"/>
        <v>7</v>
      </c>
      <c r="E677" s="188">
        <f t="shared" si="476"/>
        <v>6</v>
      </c>
      <c r="F677" s="164">
        <f>F676</f>
        <v>155102004</v>
      </c>
      <c r="G677" s="188">
        <f t="shared" si="482"/>
        <v>3</v>
      </c>
      <c r="H677" s="188" t="str">
        <f t="shared" si="482"/>
        <v>Gold</v>
      </c>
      <c r="I677" s="204">
        <f t="shared" si="469"/>
        <v>30000</v>
      </c>
    </row>
    <row r="678" spans="1:9" ht="16.5" customHeight="1" x14ac:dyDescent="0.3">
      <c r="A678" s="168" t="b">
        <v>1</v>
      </c>
      <c r="B678" s="183" t="s">
        <v>418</v>
      </c>
      <c r="C678" s="184">
        <f t="shared" ref="C678:C684" si="485">C677+1</f>
        <v>673</v>
      </c>
      <c r="D678" s="168">
        <f t="shared" si="484"/>
        <v>7</v>
      </c>
      <c r="E678" s="184">
        <f t="shared" si="476"/>
        <v>10</v>
      </c>
      <c r="F678" s="184">
        <f>F672+1</f>
        <v>155102005</v>
      </c>
      <c r="G678" s="184">
        <v>1</v>
      </c>
      <c r="H678" s="184" t="s">
        <v>104</v>
      </c>
      <c r="I678" s="203">
        <f t="shared" si="469"/>
        <v>50</v>
      </c>
    </row>
    <row r="679" spans="1:9" ht="16.5" customHeight="1" x14ac:dyDescent="0.3">
      <c r="A679" s="168" t="b">
        <v>1</v>
      </c>
      <c r="B679" s="183" t="s">
        <v>418</v>
      </c>
      <c r="C679" s="184">
        <f t="shared" si="485"/>
        <v>674</v>
      </c>
      <c r="D679" s="168">
        <f t="shared" si="484"/>
        <v>7</v>
      </c>
      <c r="E679" s="168">
        <f t="shared" si="476"/>
        <v>10</v>
      </c>
      <c r="F679" s="168">
        <f>F678</f>
        <v>155102005</v>
      </c>
      <c r="G679" s="168">
        <f>G678+1</f>
        <v>2</v>
      </c>
      <c r="H679" s="168" t="str">
        <f>H678</f>
        <v>Gem</v>
      </c>
      <c r="I679" s="203">
        <f t="shared" si="469"/>
        <v>100</v>
      </c>
    </row>
    <row r="680" spans="1:9" ht="16.5" customHeight="1" x14ac:dyDescent="0.3">
      <c r="A680" s="168" t="b">
        <v>1</v>
      </c>
      <c r="B680" s="183" t="s">
        <v>418</v>
      </c>
      <c r="C680" s="184">
        <f t="shared" si="485"/>
        <v>675</v>
      </c>
      <c r="D680" s="168">
        <f t="shared" si="484"/>
        <v>7</v>
      </c>
      <c r="E680" s="168">
        <f t="shared" si="476"/>
        <v>10</v>
      </c>
      <c r="F680" s="168">
        <f>F679</f>
        <v>155102005</v>
      </c>
      <c r="G680" s="168">
        <f>G679+1</f>
        <v>3</v>
      </c>
      <c r="H680" s="168" t="str">
        <f>H679</f>
        <v>Gem</v>
      </c>
      <c r="I680" s="203">
        <f t="shared" si="469"/>
        <v>150</v>
      </c>
    </row>
    <row r="681" spans="1:9" ht="16.5" customHeight="1" x14ac:dyDescent="0.3">
      <c r="A681" s="168" t="b">
        <v>1</v>
      </c>
      <c r="B681" s="183" t="s">
        <v>418</v>
      </c>
      <c r="C681" s="184">
        <f t="shared" si="485"/>
        <v>676</v>
      </c>
      <c r="D681" s="168">
        <f t="shared" si="484"/>
        <v>7</v>
      </c>
      <c r="E681" s="168">
        <f t="shared" si="476"/>
        <v>6</v>
      </c>
      <c r="F681" s="168">
        <f>F680</f>
        <v>155102005</v>
      </c>
      <c r="G681" s="168">
        <v>1</v>
      </c>
      <c r="H681" s="168" t="s">
        <v>335</v>
      </c>
      <c r="I681" s="203">
        <f t="shared" si="469"/>
        <v>10000</v>
      </c>
    </row>
    <row r="682" spans="1:9" ht="16.5" customHeight="1" x14ac:dyDescent="0.3">
      <c r="A682" s="168" t="b">
        <v>1</v>
      </c>
      <c r="B682" s="183" t="s">
        <v>418</v>
      </c>
      <c r="C682" s="184">
        <f t="shared" si="485"/>
        <v>677</v>
      </c>
      <c r="D682" s="168">
        <f t="shared" si="484"/>
        <v>7</v>
      </c>
      <c r="E682" s="168">
        <f t="shared" si="476"/>
        <v>6</v>
      </c>
      <c r="F682" s="168">
        <f>F681</f>
        <v>155102005</v>
      </c>
      <c r="G682" s="168">
        <f>G681+1</f>
        <v>2</v>
      </c>
      <c r="H682" s="168" t="str">
        <f t="shared" ref="H682:H683" si="486">H681</f>
        <v>Gold</v>
      </c>
      <c r="I682" s="203">
        <f t="shared" si="469"/>
        <v>20000</v>
      </c>
    </row>
    <row r="683" spans="1:9" ht="16.5" customHeight="1" x14ac:dyDescent="0.3">
      <c r="A683" s="168" t="b">
        <v>1</v>
      </c>
      <c r="B683" s="183" t="s">
        <v>418</v>
      </c>
      <c r="C683" s="184">
        <f t="shared" si="485"/>
        <v>678</v>
      </c>
      <c r="D683" s="168">
        <f t="shared" si="484"/>
        <v>7</v>
      </c>
      <c r="E683" s="168">
        <f t="shared" si="476"/>
        <v>6</v>
      </c>
      <c r="F683" s="168">
        <f>F682</f>
        <v>155102005</v>
      </c>
      <c r="G683" s="168">
        <f>G682+1</f>
        <v>3</v>
      </c>
      <c r="H683" s="168" t="str">
        <f t="shared" si="486"/>
        <v>Gold</v>
      </c>
      <c r="I683" s="203">
        <f t="shared" si="469"/>
        <v>30000</v>
      </c>
    </row>
    <row r="684" spans="1:9" ht="16.5" customHeight="1" x14ac:dyDescent="0.3">
      <c r="A684" s="164" t="b">
        <v>1</v>
      </c>
      <c r="B684" s="187" t="s">
        <v>418</v>
      </c>
      <c r="C684" s="164">
        <f t="shared" si="485"/>
        <v>679</v>
      </c>
      <c r="D684" s="164">
        <f>D680</f>
        <v>7</v>
      </c>
      <c r="E684" s="188">
        <f t="shared" si="476"/>
        <v>10</v>
      </c>
      <c r="F684" s="164">
        <f>F678+1</f>
        <v>155102006</v>
      </c>
      <c r="G684" s="188">
        <f t="shared" ref="G684:H689" si="487">G678</f>
        <v>1</v>
      </c>
      <c r="H684" s="188" t="str">
        <f t="shared" si="487"/>
        <v>Gem</v>
      </c>
      <c r="I684" s="204">
        <f t="shared" si="469"/>
        <v>50</v>
      </c>
    </row>
    <row r="685" spans="1:9" ht="16.5" customHeight="1" x14ac:dyDescent="0.3">
      <c r="A685" s="164" t="b">
        <v>1</v>
      </c>
      <c r="B685" s="187" t="s">
        <v>418</v>
      </c>
      <c r="C685" s="188">
        <f t="shared" ref="C685:C689" si="488">C684+1</f>
        <v>680</v>
      </c>
      <c r="D685" s="164">
        <f t="shared" ref="D685:D695" si="489">D684</f>
        <v>7</v>
      </c>
      <c r="E685" s="188">
        <f t="shared" si="476"/>
        <v>10</v>
      </c>
      <c r="F685" s="164">
        <f>F684</f>
        <v>155102006</v>
      </c>
      <c r="G685" s="188">
        <f t="shared" si="487"/>
        <v>2</v>
      </c>
      <c r="H685" s="188" t="str">
        <f t="shared" si="487"/>
        <v>Gem</v>
      </c>
      <c r="I685" s="204">
        <f t="shared" si="469"/>
        <v>100</v>
      </c>
    </row>
    <row r="686" spans="1:9" ht="16.5" customHeight="1" x14ac:dyDescent="0.3">
      <c r="A686" s="164" t="b">
        <v>1</v>
      </c>
      <c r="B686" s="187" t="s">
        <v>418</v>
      </c>
      <c r="C686" s="188">
        <f t="shared" si="488"/>
        <v>681</v>
      </c>
      <c r="D686" s="164">
        <f t="shared" si="489"/>
        <v>7</v>
      </c>
      <c r="E686" s="188">
        <f t="shared" si="476"/>
        <v>10</v>
      </c>
      <c r="F686" s="164">
        <f>F685</f>
        <v>155102006</v>
      </c>
      <c r="G686" s="188">
        <f t="shared" si="487"/>
        <v>3</v>
      </c>
      <c r="H686" s="188" t="str">
        <f t="shared" si="487"/>
        <v>Gem</v>
      </c>
      <c r="I686" s="204">
        <f t="shared" si="469"/>
        <v>150</v>
      </c>
    </row>
    <row r="687" spans="1:9" ht="16.5" customHeight="1" x14ac:dyDescent="0.3">
      <c r="A687" s="164" t="b">
        <v>1</v>
      </c>
      <c r="B687" s="187" t="s">
        <v>418</v>
      </c>
      <c r="C687" s="188">
        <f t="shared" si="488"/>
        <v>682</v>
      </c>
      <c r="D687" s="164">
        <f t="shared" si="489"/>
        <v>7</v>
      </c>
      <c r="E687" s="188">
        <f t="shared" si="476"/>
        <v>6</v>
      </c>
      <c r="F687" s="164">
        <f>F686</f>
        <v>155102006</v>
      </c>
      <c r="G687" s="188">
        <f t="shared" si="487"/>
        <v>1</v>
      </c>
      <c r="H687" s="188" t="str">
        <f t="shared" si="487"/>
        <v>Gold</v>
      </c>
      <c r="I687" s="204">
        <f t="shared" si="469"/>
        <v>10000</v>
      </c>
    </row>
    <row r="688" spans="1:9" ht="16.5" customHeight="1" x14ac:dyDescent="0.3">
      <c r="A688" s="164" t="b">
        <v>1</v>
      </c>
      <c r="B688" s="187" t="s">
        <v>418</v>
      </c>
      <c r="C688" s="188">
        <f t="shared" si="488"/>
        <v>683</v>
      </c>
      <c r="D688" s="164">
        <f t="shared" si="489"/>
        <v>7</v>
      </c>
      <c r="E688" s="188">
        <f t="shared" si="476"/>
        <v>6</v>
      </c>
      <c r="F688" s="164">
        <f>F687</f>
        <v>155102006</v>
      </c>
      <c r="G688" s="188">
        <f t="shared" si="487"/>
        <v>2</v>
      </c>
      <c r="H688" s="188" t="str">
        <f t="shared" si="487"/>
        <v>Gold</v>
      </c>
      <c r="I688" s="204">
        <f t="shared" si="469"/>
        <v>20000</v>
      </c>
    </row>
    <row r="689" spans="1:9" ht="16.5" customHeight="1" x14ac:dyDescent="0.3">
      <c r="A689" s="164" t="b">
        <v>1</v>
      </c>
      <c r="B689" s="187" t="s">
        <v>418</v>
      </c>
      <c r="C689" s="188">
        <f t="shared" si="488"/>
        <v>684</v>
      </c>
      <c r="D689" s="164">
        <f t="shared" si="489"/>
        <v>7</v>
      </c>
      <c r="E689" s="188">
        <f t="shared" si="476"/>
        <v>6</v>
      </c>
      <c r="F689" s="164">
        <f>F688</f>
        <v>155102006</v>
      </c>
      <c r="G689" s="188">
        <f t="shared" si="487"/>
        <v>3</v>
      </c>
      <c r="H689" s="188" t="str">
        <f t="shared" si="487"/>
        <v>Gold</v>
      </c>
      <c r="I689" s="204">
        <f t="shared" si="469"/>
        <v>30000</v>
      </c>
    </row>
    <row r="690" spans="1:9" ht="16.5" customHeight="1" x14ac:dyDescent="0.3">
      <c r="A690" s="168" t="b">
        <v>1</v>
      </c>
      <c r="B690" s="183" t="s">
        <v>418</v>
      </c>
      <c r="C690" s="184">
        <f t="shared" ref="C690:C696" si="490">C689+1</f>
        <v>685</v>
      </c>
      <c r="D690" s="168">
        <f t="shared" si="489"/>
        <v>7</v>
      </c>
      <c r="E690" s="185">
        <v>10</v>
      </c>
      <c r="F690" s="186">
        <v>155103001</v>
      </c>
      <c r="G690" s="185">
        <v>1</v>
      </c>
      <c r="H690" s="185" t="s">
        <v>104</v>
      </c>
      <c r="I690" s="203">
        <f t="shared" si="469"/>
        <v>50</v>
      </c>
    </row>
    <row r="691" spans="1:9" ht="16.5" customHeight="1" x14ac:dyDescent="0.3">
      <c r="A691" s="168" t="b">
        <v>1</v>
      </c>
      <c r="B691" s="183" t="s">
        <v>418</v>
      </c>
      <c r="C691" s="184">
        <f t="shared" si="490"/>
        <v>686</v>
      </c>
      <c r="D691" s="168">
        <f t="shared" si="489"/>
        <v>7</v>
      </c>
      <c r="E691" s="185">
        <v>10</v>
      </c>
      <c r="F691" s="168">
        <f>F690</f>
        <v>155103001</v>
      </c>
      <c r="G691" s="184">
        <f>G690+1</f>
        <v>2</v>
      </c>
      <c r="H691" s="184" t="str">
        <f>H690</f>
        <v>Gem</v>
      </c>
      <c r="I691" s="203">
        <f t="shared" si="469"/>
        <v>100</v>
      </c>
    </row>
    <row r="692" spans="1:9" ht="16.5" customHeight="1" x14ac:dyDescent="0.3">
      <c r="A692" s="168" t="b">
        <v>1</v>
      </c>
      <c r="B692" s="183" t="s">
        <v>418</v>
      </c>
      <c r="C692" s="184">
        <f t="shared" si="490"/>
        <v>687</v>
      </c>
      <c r="D692" s="168">
        <f t="shared" si="489"/>
        <v>7</v>
      </c>
      <c r="E692" s="185">
        <v>10</v>
      </c>
      <c r="F692" s="168">
        <f>F691</f>
        <v>155103001</v>
      </c>
      <c r="G692" s="184">
        <f>G691+1</f>
        <v>3</v>
      </c>
      <c r="H692" s="184" t="str">
        <f>H691</f>
        <v>Gem</v>
      </c>
      <c r="I692" s="203">
        <f t="shared" si="469"/>
        <v>150</v>
      </c>
    </row>
    <row r="693" spans="1:9" ht="16.5" customHeight="1" x14ac:dyDescent="0.3">
      <c r="A693" s="168" t="b">
        <v>1</v>
      </c>
      <c r="B693" s="183" t="s">
        <v>418</v>
      </c>
      <c r="C693" s="184">
        <f t="shared" si="490"/>
        <v>688</v>
      </c>
      <c r="D693" s="168">
        <f t="shared" si="489"/>
        <v>7</v>
      </c>
      <c r="E693" s="185">
        <v>6</v>
      </c>
      <c r="F693" s="168">
        <f>F692</f>
        <v>155103001</v>
      </c>
      <c r="G693" s="185">
        <v>1</v>
      </c>
      <c r="H693" s="185" t="s">
        <v>335</v>
      </c>
      <c r="I693" s="203">
        <f t="shared" si="469"/>
        <v>10000</v>
      </c>
    </row>
    <row r="694" spans="1:9" ht="16.5" customHeight="1" x14ac:dyDescent="0.3">
      <c r="A694" s="168" t="b">
        <v>1</v>
      </c>
      <c r="B694" s="183" t="s">
        <v>418</v>
      </c>
      <c r="C694" s="184">
        <f t="shared" si="490"/>
        <v>689</v>
      </c>
      <c r="D694" s="168">
        <f t="shared" si="489"/>
        <v>7</v>
      </c>
      <c r="E694" s="185">
        <v>6</v>
      </c>
      <c r="F694" s="168">
        <f>F693</f>
        <v>155103001</v>
      </c>
      <c r="G694" s="184">
        <f>G693+1</f>
        <v>2</v>
      </c>
      <c r="H694" s="184" t="str">
        <f t="shared" ref="H694:H695" si="491">H693</f>
        <v>Gold</v>
      </c>
      <c r="I694" s="203">
        <f t="shared" si="469"/>
        <v>20000</v>
      </c>
    </row>
    <row r="695" spans="1:9" ht="16.5" customHeight="1" x14ac:dyDescent="0.3">
      <c r="A695" s="168" t="b">
        <v>1</v>
      </c>
      <c r="B695" s="183" t="s">
        <v>418</v>
      </c>
      <c r="C695" s="184">
        <f t="shared" si="490"/>
        <v>690</v>
      </c>
      <c r="D695" s="168">
        <f t="shared" si="489"/>
        <v>7</v>
      </c>
      <c r="E695" s="185">
        <v>6</v>
      </c>
      <c r="F695" s="168">
        <f>F694</f>
        <v>155103001</v>
      </c>
      <c r="G695" s="184">
        <f>G694+1</f>
        <v>3</v>
      </c>
      <c r="H695" s="184" t="str">
        <f t="shared" si="491"/>
        <v>Gold</v>
      </c>
      <c r="I695" s="203">
        <f t="shared" si="469"/>
        <v>30000</v>
      </c>
    </row>
    <row r="696" spans="1:9" ht="16.5" customHeight="1" x14ac:dyDescent="0.3">
      <c r="A696" s="164" t="b">
        <v>1</v>
      </c>
      <c r="B696" s="187" t="s">
        <v>418</v>
      </c>
      <c r="C696" s="164">
        <f t="shared" si="490"/>
        <v>691</v>
      </c>
      <c r="D696" s="164">
        <f>D692</f>
        <v>7</v>
      </c>
      <c r="E696" s="188">
        <f t="shared" ref="E696:E708" si="492">E690</f>
        <v>10</v>
      </c>
      <c r="F696" s="164">
        <f>F690+1</f>
        <v>155103002</v>
      </c>
      <c r="G696" s="188">
        <f t="shared" ref="G696:H701" si="493">G690</f>
        <v>1</v>
      </c>
      <c r="H696" s="188" t="str">
        <f t="shared" si="493"/>
        <v>Gem</v>
      </c>
      <c r="I696" s="204">
        <f t="shared" si="469"/>
        <v>50</v>
      </c>
    </row>
    <row r="697" spans="1:9" ht="16.5" customHeight="1" x14ac:dyDescent="0.3">
      <c r="A697" s="164" t="b">
        <v>1</v>
      </c>
      <c r="B697" s="187" t="s">
        <v>418</v>
      </c>
      <c r="C697" s="188">
        <f t="shared" ref="C697:C701" si="494">C696+1</f>
        <v>692</v>
      </c>
      <c r="D697" s="164">
        <f t="shared" ref="D697:D707" si="495">D696</f>
        <v>7</v>
      </c>
      <c r="E697" s="188">
        <f t="shared" si="492"/>
        <v>10</v>
      </c>
      <c r="F697" s="164">
        <f>F696</f>
        <v>155103002</v>
      </c>
      <c r="G697" s="188">
        <f t="shared" si="493"/>
        <v>2</v>
      </c>
      <c r="H697" s="188" t="str">
        <f t="shared" si="493"/>
        <v>Gem</v>
      </c>
      <c r="I697" s="204">
        <f t="shared" si="469"/>
        <v>100</v>
      </c>
    </row>
    <row r="698" spans="1:9" ht="16.5" customHeight="1" x14ac:dyDescent="0.3">
      <c r="A698" s="164" t="b">
        <v>1</v>
      </c>
      <c r="B698" s="187" t="s">
        <v>418</v>
      </c>
      <c r="C698" s="188">
        <f t="shared" si="494"/>
        <v>693</v>
      </c>
      <c r="D698" s="164">
        <f t="shared" si="495"/>
        <v>7</v>
      </c>
      <c r="E698" s="188">
        <f t="shared" si="492"/>
        <v>10</v>
      </c>
      <c r="F698" s="164">
        <f>F697</f>
        <v>155103002</v>
      </c>
      <c r="G698" s="188">
        <f t="shared" si="493"/>
        <v>3</v>
      </c>
      <c r="H698" s="188" t="str">
        <f t="shared" si="493"/>
        <v>Gem</v>
      </c>
      <c r="I698" s="204">
        <f t="shared" si="469"/>
        <v>150</v>
      </c>
    </row>
    <row r="699" spans="1:9" ht="16.5" customHeight="1" x14ac:dyDescent="0.3">
      <c r="A699" s="164" t="b">
        <v>1</v>
      </c>
      <c r="B699" s="187" t="s">
        <v>418</v>
      </c>
      <c r="C699" s="188">
        <f t="shared" si="494"/>
        <v>694</v>
      </c>
      <c r="D699" s="164">
        <f t="shared" si="495"/>
        <v>7</v>
      </c>
      <c r="E699" s="188">
        <f t="shared" si="492"/>
        <v>6</v>
      </c>
      <c r="F699" s="164">
        <f>F698</f>
        <v>155103002</v>
      </c>
      <c r="G699" s="188">
        <f t="shared" si="493"/>
        <v>1</v>
      </c>
      <c r="H699" s="188" t="str">
        <f t="shared" si="493"/>
        <v>Gold</v>
      </c>
      <c r="I699" s="204">
        <f t="shared" si="469"/>
        <v>10000</v>
      </c>
    </row>
    <row r="700" spans="1:9" ht="16.5" customHeight="1" x14ac:dyDescent="0.3">
      <c r="A700" s="164" t="b">
        <v>1</v>
      </c>
      <c r="B700" s="187" t="s">
        <v>418</v>
      </c>
      <c r="C700" s="188">
        <f t="shared" si="494"/>
        <v>695</v>
      </c>
      <c r="D700" s="164">
        <f t="shared" si="495"/>
        <v>7</v>
      </c>
      <c r="E700" s="188">
        <f t="shared" si="492"/>
        <v>6</v>
      </c>
      <c r="F700" s="164">
        <f>F699</f>
        <v>155103002</v>
      </c>
      <c r="G700" s="188">
        <f t="shared" si="493"/>
        <v>2</v>
      </c>
      <c r="H700" s="188" t="str">
        <f t="shared" si="493"/>
        <v>Gold</v>
      </c>
      <c r="I700" s="204">
        <f t="shared" si="469"/>
        <v>20000</v>
      </c>
    </row>
    <row r="701" spans="1:9" ht="16.5" customHeight="1" x14ac:dyDescent="0.3">
      <c r="A701" s="164" t="b">
        <v>1</v>
      </c>
      <c r="B701" s="187" t="s">
        <v>418</v>
      </c>
      <c r="C701" s="188">
        <f t="shared" si="494"/>
        <v>696</v>
      </c>
      <c r="D701" s="164">
        <f t="shared" si="495"/>
        <v>7</v>
      </c>
      <c r="E701" s="188">
        <f t="shared" si="492"/>
        <v>6</v>
      </c>
      <c r="F701" s="164">
        <f>F700</f>
        <v>155103002</v>
      </c>
      <c r="G701" s="188">
        <f t="shared" si="493"/>
        <v>3</v>
      </c>
      <c r="H701" s="188" t="str">
        <f t="shared" si="493"/>
        <v>Gold</v>
      </c>
      <c r="I701" s="204">
        <f t="shared" si="469"/>
        <v>30000</v>
      </c>
    </row>
    <row r="702" spans="1:9" ht="16.5" customHeight="1" x14ac:dyDescent="0.3">
      <c r="A702" s="168" t="b">
        <v>1</v>
      </c>
      <c r="B702" s="183" t="s">
        <v>418</v>
      </c>
      <c r="C702" s="184">
        <f t="shared" ref="C702:C708" si="496">C701+1</f>
        <v>697</v>
      </c>
      <c r="D702" s="168">
        <f t="shared" si="495"/>
        <v>7</v>
      </c>
      <c r="E702" s="184">
        <f t="shared" si="492"/>
        <v>10</v>
      </c>
      <c r="F702" s="184">
        <f>F696+1</f>
        <v>155103003</v>
      </c>
      <c r="G702" s="184">
        <v>1</v>
      </c>
      <c r="H702" s="184" t="s">
        <v>104</v>
      </c>
      <c r="I702" s="203">
        <f t="shared" si="469"/>
        <v>50</v>
      </c>
    </row>
    <row r="703" spans="1:9" ht="16.5" customHeight="1" x14ac:dyDescent="0.3">
      <c r="A703" s="168" t="b">
        <v>1</v>
      </c>
      <c r="B703" s="183" t="s">
        <v>418</v>
      </c>
      <c r="C703" s="184">
        <f t="shared" si="496"/>
        <v>698</v>
      </c>
      <c r="D703" s="168">
        <f t="shared" si="495"/>
        <v>7</v>
      </c>
      <c r="E703" s="168">
        <f t="shared" si="492"/>
        <v>10</v>
      </c>
      <c r="F703" s="168">
        <f>F702</f>
        <v>155103003</v>
      </c>
      <c r="G703" s="168">
        <f>G702+1</f>
        <v>2</v>
      </c>
      <c r="H703" s="168" t="str">
        <f>H702</f>
        <v>Gem</v>
      </c>
      <c r="I703" s="203">
        <f t="shared" si="469"/>
        <v>100</v>
      </c>
    </row>
    <row r="704" spans="1:9" ht="16.5" customHeight="1" x14ac:dyDescent="0.3">
      <c r="A704" s="168" t="b">
        <v>1</v>
      </c>
      <c r="B704" s="183" t="s">
        <v>418</v>
      </c>
      <c r="C704" s="184">
        <f t="shared" si="496"/>
        <v>699</v>
      </c>
      <c r="D704" s="168">
        <f t="shared" si="495"/>
        <v>7</v>
      </c>
      <c r="E704" s="168">
        <f t="shared" si="492"/>
        <v>10</v>
      </c>
      <c r="F704" s="168">
        <f>F703</f>
        <v>155103003</v>
      </c>
      <c r="G704" s="168">
        <f>G703+1</f>
        <v>3</v>
      </c>
      <c r="H704" s="168" t="str">
        <f>H703</f>
        <v>Gem</v>
      </c>
      <c r="I704" s="203">
        <f t="shared" si="469"/>
        <v>150</v>
      </c>
    </row>
    <row r="705" spans="1:9" ht="16.5" customHeight="1" x14ac:dyDescent="0.3">
      <c r="A705" s="168" t="b">
        <v>1</v>
      </c>
      <c r="B705" s="183" t="s">
        <v>418</v>
      </c>
      <c r="C705" s="184">
        <f t="shared" si="496"/>
        <v>700</v>
      </c>
      <c r="D705" s="168">
        <f t="shared" si="495"/>
        <v>7</v>
      </c>
      <c r="E705" s="168">
        <f t="shared" si="492"/>
        <v>6</v>
      </c>
      <c r="F705" s="168">
        <f>F704</f>
        <v>155103003</v>
      </c>
      <c r="G705" s="168">
        <v>1</v>
      </c>
      <c r="H705" s="168" t="s">
        <v>335</v>
      </c>
      <c r="I705" s="203">
        <f t="shared" si="469"/>
        <v>10000</v>
      </c>
    </row>
    <row r="706" spans="1:9" ht="16.5" customHeight="1" x14ac:dyDescent="0.3">
      <c r="A706" s="168" t="b">
        <v>1</v>
      </c>
      <c r="B706" s="183" t="s">
        <v>418</v>
      </c>
      <c r="C706" s="184">
        <f t="shared" si="496"/>
        <v>701</v>
      </c>
      <c r="D706" s="168">
        <f t="shared" si="495"/>
        <v>7</v>
      </c>
      <c r="E706" s="168">
        <f t="shared" si="492"/>
        <v>6</v>
      </c>
      <c r="F706" s="168">
        <f>F705</f>
        <v>155103003</v>
      </c>
      <c r="G706" s="168">
        <f>G705+1</f>
        <v>2</v>
      </c>
      <c r="H706" s="168" t="str">
        <f t="shared" ref="H706:H707" si="497">H705</f>
        <v>Gold</v>
      </c>
      <c r="I706" s="203">
        <f t="shared" si="469"/>
        <v>20000</v>
      </c>
    </row>
    <row r="707" spans="1:9" ht="16.5" customHeight="1" x14ac:dyDescent="0.3">
      <c r="A707" s="168" t="b">
        <v>1</v>
      </c>
      <c r="B707" s="183" t="s">
        <v>418</v>
      </c>
      <c r="C707" s="184">
        <f t="shared" si="496"/>
        <v>702</v>
      </c>
      <c r="D707" s="168">
        <f t="shared" si="495"/>
        <v>7</v>
      </c>
      <c r="E707" s="168">
        <f t="shared" si="492"/>
        <v>6</v>
      </c>
      <c r="F707" s="168">
        <f>F706</f>
        <v>155103003</v>
      </c>
      <c r="G707" s="168">
        <f>G706+1</f>
        <v>3</v>
      </c>
      <c r="H707" s="168" t="str">
        <f t="shared" si="497"/>
        <v>Gold</v>
      </c>
      <c r="I707" s="203">
        <f t="shared" si="469"/>
        <v>30000</v>
      </c>
    </row>
    <row r="708" spans="1:9" ht="16.5" customHeight="1" x14ac:dyDescent="0.3">
      <c r="A708" s="164" t="b">
        <v>1</v>
      </c>
      <c r="B708" s="187" t="s">
        <v>418</v>
      </c>
      <c r="C708" s="164">
        <f t="shared" si="496"/>
        <v>703</v>
      </c>
      <c r="D708" s="164">
        <f>D704</f>
        <v>7</v>
      </c>
      <c r="E708" s="188">
        <f t="shared" si="492"/>
        <v>10</v>
      </c>
      <c r="F708" s="164">
        <f>F702+1</f>
        <v>155103004</v>
      </c>
      <c r="G708" s="188">
        <f>G702</f>
        <v>1</v>
      </c>
      <c r="H708" s="188" t="str">
        <f>H702</f>
        <v>Gem</v>
      </c>
      <c r="I708" s="204">
        <f t="shared" si="469"/>
        <v>50</v>
      </c>
    </row>
    <row r="709" spans="1:9" ht="16.5" customHeight="1" x14ac:dyDescent="0.3">
      <c r="A709" s="164" t="b">
        <v>1</v>
      </c>
      <c r="B709" s="187" t="s">
        <v>418</v>
      </c>
      <c r="C709" s="188">
        <f t="shared" ref="C709:C714" si="498">C708+1</f>
        <v>704</v>
      </c>
      <c r="D709" s="164">
        <f t="shared" ref="D709:D719" si="499">D708</f>
        <v>7</v>
      </c>
      <c r="E709" s="188">
        <f t="shared" ref="E709:E713" si="500">E703</f>
        <v>10</v>
      </c>
      <c r="F709" s="164">
        <f>F708</f>
        <v>155103004</v>
      </c>
      <c r="G709" s="188">
        <f t="shared" ref="G709:H713" si="501">G703</f>
        <v>2</v>
      </c>
      <c r="H709" s="188" t="str">
        <f t="shared" si="501"/>
        <v>Gem</v>
      </c>
      <c r="I709" s="204">
        <f t="shared" si="469"/>
        <v>100</v>
      </c>
    </row>
    <row r="710" spans="1:9" ht="16.5" customHeight="1" x14ac:dyDescent="0.3">
      <c r="A710" s="164" t="b">
        <v>1</v>
      </c>
      <c r="B710" s="187" t="s">
        <v>418</v>
      </c>
      <c r="C710" s="188">
        <f t="shared" si="498"/>
        <v>705</v>
      </c>
      <c r="D710" s="164">
        <f t="shared" si="499"/>
        <v>7</v>
      </c>
      <c r="E710" s="188">
        <f t="shared" si="500"/>
        <v>10</v>
      </c>
      <c r="F710" s="164">
        <f>F709</f>
        <v>155103004</v>
      </c>
      <c r="G710" s="188">
        <f t="shared" si="501"/>
        <v>3</v>
      </c>
      <c r="H710" s="188" t="str">
        <f t="shared" si="501"/>
        <v>Gem</v>
      </c>
      <c r="I710" s="204">
        <f t="shared" ref="I710:I761" si="502">IF(H710="Gem",$H$1*G710,IF(H710="Gold",$I$1*G710))</f>
        <v>150</v>
      </c>
    </row>
    <row r="711" spans="1:9" ht="16.5" customHeight="1" x14ac:dyDescent="0.3">
      <c r="A711" s="164" t="b">
        <v>1</v>
      </c>
      <c r="B711" s="187" t="s">
        <v>418</v>
      </c>
      <c r="C711" s="188">
        <f t="shared" si="498"/>
        <v>706</v>
      </c>
      <c r="D711" s="164">
        <f t="shared" si="499"/>
        <v>7</v>
      </c>
      <c r="E711" s="188">
        <f t="shared" si="500"/>
        <v>6</v>
      </c>
      <c r="F711" s="164">
        <f>F710</f>
        <v>155103004</v>
      </c>
      <c r="G711" s="188">
        <f t="shared" si="501"/>
        <v>1</v>
      </c>
      <c r="H711" s="188" t="str">
        <f t="shared" si="501"/>
        <v>Gold</v>
      </c>
      <c r="I711" s="204">
        <f t="shared" si="502"/>
        <v>10000</v>
      </c>
    </row>
    <row r="712" spans="1:9" ht="16.5" customHeight="1" x14ac:dyDescent="0.3">
      <c r="A712" s="164" t="b">
        <v>1</v>
      </c>
      <c r="B712" s="187" t="s">
        <v>418</v>
      </c>
      <c r="C712" s="188">
        <f t="shared" si="498"/>
        <v>707</v>
      </c>
      <c r="D712" s="164">
        <f t="shared" si="499"/>
        <v>7</v>
      </c>
      <c r="E712" s="188">
        <f t="shared" si="500"/>
        <v>6</v>
      </c>
      <c r="F712" s="164">
        <f>F711</f>
        <v>155103004</v>
      </c>
      <c r="G712" s="188">
        <f t="shared" si="501"/>
        <v>2</v>
      </c>
      <c r="H712" s="188" t="str">
        <f t="shared" si="501"/>
        <v>Gold</v>
      </c>
      <c r="I712" s="204">
        <f t="shared" si="502"/>
        <v>20000</v>
      </c>
    </row>
    <row r="713" spans="1:9" ht="16.5" customHeight="1" x14ac:dyDescent="0.3">
      <c r="A713" s="164" t="b">
        <v>1</v>
      </c>
      <c r="B713" s="187" t="s">
        <v>418</v>
      </c>
      <c r="C713" s="188">
        <f t="shared" si="498"/>
        <v>708</v>
      </c>
      <c r="D713" s="164">
        <f t="shared" si="499"/>
        <v>7</v>
      </c>
      <c r="E713" s="188">
        <f t="shared" si="500"/>
        <v>6</v>
      </c>
      <c r="F713" s="164">
        <f>F712</f>
        <v>155103004</v>
      </c>
      <c r="G713" s="188">
        <f t="shared" si="501"/>
        <v>3</v>
      </c>
      <c r="H713" s="188" t="str">
        <f t="shared" si="501"/>
        <v>Gold</v>
      </c>
      <c r="I713" s="204">
        <f t="shared" si="502"/>
        <v>30000</v>
      </c>
    </row>
    <row r="714" spans="1:9" ht="16.5" customHeight="1" x14ac:dyDescent="0.3">
      <c r="A714" s="176" t="b">
        <v>0</v>
      </c>
      <c r="B714" s="189" t="s">
        <v>418</v>
      </c>
      <c r="C714" s="190">
        <f t="shared" si="498"/>
        <v>709</v>
      </c>
      <c r="D714" s="176">
        <f t="shared" si="499"/>
        <v>7</v>
      </c>
      <c r="E714" s="190">
        <f>E708</f>
        <v>10</v>
      </c>
      <c r="F714" s="190">
        <f>F708+1</f>
        <v>155103005</v>
      </c>
      <c r="G714" s="190">
        <v>1</v>
      </c>
      <c r="H714" s="190" t="s">
        <v>104</v>
      </c>
      <c r="I714" s="205">
        <f t="shared" si="502"/>
        <v>50</v>
      </c>
    </row>
    <row r="715" spans="1:9" ht="16.5" customHeight="1" x14ac:dyDescent="0.3">
      <c r="A715" s="176" t="b">
        <v>0</v>
      </c>
      <c r="B715" s="189" t="s">
        <v>418</v>
      </c>
      <c r="C715" s="190">
        <f t="shared" ref="C715:C720" si="503">C714+1</f>
        <v>710</v>
      </c>
      <c r="D715" s="176">
        <f t="shared" si="499"/>
        <v>7</v>
      </c>
      <c r="E715" s="176">
        <f t="shared" ref="E715:E719" si="504">E709</f>
        <v>10</v>
      </c>
      <c r="F715" s="176">
        <f>F714</f>
        <v>155103005</v>
      </c>
      <c r="G715" s="176">
        <f>G714+1</f>
        <v>2</v>
      </c>
      <c r="H715" s="176" t="str">
        <f>H714</f>
        <v>Gem</v>
      </c>
      <c r="I715" s="205">
        <f t="shared" si="502"/>
        <v>100</v>
      </c>
    </row>
    <row r="716" spans="1:9" ht="16.5" customHeight="1" x14ac:dyDescent="0.3">
      <c r="A716" s="176" t="b">
        <v>0</v>
      </c>
      <c r="B716" s="189" t="s">
        <v>418</v>
      </c>
      <c r="C716" s="190">
        <f t="shared" si="503"/>
        <v>711</v>
      </c>
      <c r="D716" s="176">
        <f t="shared" si="499"/>
        <v>7</v>
      </c>
      <c r="E716" s="176">
        <f t="shared" si="504"/>
        <v>10</v>
      </c>
      <c r="F716" s="176">
        <f>F715</f>
        <v>155103005</v>
      </c>
      <c r="G716" s="176">
        <f>G715+1</f>
        <v>3</v>
      </c>
      <c r="H716" s="176" t="str">
        <f>H715</f>
        <v>Gem</v>
      </c>
      <c r="I716" s="205">
        <f t="shared" si="502"/>
        <v>150</v>
      </c>
    </row>
    <row r="717" spans="1:9" ht="16.5" customHeight="1" x14ac:dyDescent="0.3">
      <c r="A717" s="176" t="b">
        <v>0</v>
      </c>
      <c r="B717" s="189" t="s">
        <v>418</v>
      </c>
      <c r="C717" s="190">
        <f t="shared" si="503"/>
        <v>712</v>
      </c>
      <c r="D717" s="176">
        <f t="shared" si="499"/>
        <v>7</v>
      </c>
      <c r="E717" s="176">
        <f t="shared" si="504"/>
        <v>6</v>
      </c>
      <c r="F717" s="176">
        <f>F716</f>
        <v>155103005</v>
      </c>
      <c r="G717" s="176">
        <v>1</v>
      </c>
      <c r="H717" s="176" t="s">
        <v>339</v>
      </c>
      <c r="I717" s="205">
        <f t="shared" si="502"/>
        <v>10000</v>
      </c>
    </row>
    <row r="718" spans="1:9" ht="16.5" customHeight="1" x14ac:dyDescent="0.3">
      <c r="A718" s="176" t="b">
        <v>0</v>
      </c>
      <c r="B718" s="189" t="s">
        <v>418</v>
      </c>
      <c r="C718" s="190">
        <f t="shared" si="503"/>
        <v>713</v>
      </c>
      <c r="D718" s="176">
        <f t="shared" si="499"/>
        <v>7</v>
      </c>
      <c r="E718" s="176">
        <f t="shared" si="504"/>
        <v>6</v>
      </c>
      <c r="F718" s="176">
        <f>F717</f>
        <v>155103005</v>
      </c>
      <c r="G718" s="176">
        <f>G717+1</f>
        <v>2</v>
      </c>
      <c r="H718" s="176" t="str">
        <f t="shared" ref="H718:H719" si="505">H717</f>
        <v>Gold</v>
      </c>
      <c r="I718" s="205">
        <f t="shared" si="502"/>
        <v>20000</v>
      </c>
    </row>
    <row r="719" spans="1:9" ht="16.5" customHeight="1" x14ac:dyDescent="0.3">
      <c r="A719" s="176" t="b">
        <v>0</v>
      </c>
      <c r="B719" s="189" t="s">
        <v>418</v>
      </c>
      <c r="C719" s="190">
        <f t="shared" si="503"/>
        <v>714</v>
      </c>
      <c r="D719" s="176">
        <f t="shared" si="499"/>
        <v>7</v>
      </c>
      <c r="E719" s="176">
        <f t="shared" si="504"/>
        <v>6</v>
      </c>
      <c r="F719" s="176">
        <f>F718</f>
        <v>155103005</v>
      </c>
      <c r="G719" s="176">
        <f>G718+1</f>
        <v>3</v>
      </c>
      <c r="H719" s="176" t="str">
        <f t="shared" si="505"/>
        <v>Gold</v>
      </c>
      <c r="I719" s="205">
        <f t="shared" si="502"/>
        <v>30000</v>
      </c>
    </row>
    <row r="720" spans="1:9" ht="16.5" customHeight="1" x14ac:dyDescent="0.3">
      <c r="A720" s="173" t="b">
        <v>0</v>
      </c>
      <c r="B720" s="191" t="s">
        <v>418</v>
      </c>
      <c r="C720" s="173">
        <f t="shared" si="503"/>
        <v>715</v>
      </c>
      <c r="D720" s="173">
        <f>D716</f>
        <v>7</v>
      </c>
      <c r="E720" s="192">
        <f>E714</f>
        <v>10</v>
      </c>
      <c r="F720" s="173">
        <f>F714+1</f>
        <v>155103006</v>
      </c>
      <c r="G720" s="192">
        <f>G714</f>
        <v>1</v>
      </c>
      <c r="H720" s="192" t="str">
        <f>H714</f>
        <v>Gem</v>
      </c>
      <c r="I720" s="206">
        <f t="shared" si="502"/>
        <v>50</v>
      </c>
    </row>
    <row r="721" spans="1:9" ht="16.5" customHeight="1" x14ac:dyDescent="0.3">
      <c r="A721" s="173" t="b">
        <v>0</v>
      </c>
      <c r="B721" s="191" t="s">
        <v>418</v>
      </c>
      <c r="C721" s="192">
        <f t="shared" ref="C721:C726" si="506">C720+1</f>
        <v>716</v>
      </c>
      <c r="D721" s="173">
        <f t="shared" ref="D721:D731" si="507">D720</f>
        <v>7</v>
      </c>
      <c r="E721" s="192">
        <f t="shared" ref="E721:E725" si="508">E715</f>
        <v>10</v>
      </c>
      <c r="F721" s="173">
        <f>F720</f>
        <v>155103006</v>
      </c>
      <c r="G721" s="192">
        <f t="shared" ref="G721:H725" si="509">G715</f>
        <v>2</v>
      </c>
      <c r="H721" s="192" t="str">
        <f t="shared" si="509"/>
        <v>Gem</v>
      </c>
      <c r="I721" s="206">
        <f t="shared" si="502"/>
        <v>100</v>
      </c>
    </row>
    <row r="722" spans="1:9" ht="16.5" customHeight="1" x14ac:dyDescent="0.3">
      <c r="A722" s="173" t="b">
        <v>0</v>
      </c>
      <c r="B722" s="191" t="s">
        <v>418</v>
      </c>
      <c r="C722" s="192">
        <f t="shared" si="506"/>
        <v>717</v>
      </c>
      <c r="D722" s="173">
        <f t="shared" si="507"/>
        <v>7</v>
      </c>
      <c r="E722" s="192">
        <f t="shared" si="508"/>
        <v>10</v>
      </c>
      <c r="F722" s="173">
        <f>F721</f>
        <v>155103006</v>
      </c>
      <c r="G722" s="192">
        <f t="shared" si="509"/>
        <v>3</v>
      </c>
      <c r="H722" s="192" t="str">
        <f t="shared" si="509"/>
        <v>Gem</v>
      </c>
      <c r="I722" s="206">
        <f t="shared" si="502"/>
        <v>150</v>
      </c>
    </row>
    <row r="723" spans="1:9" ht="16.5" customHeight="1" x14ac:dyDescent="0.3">
      <c r="A723" s="173" t="b">
        <v>0</v>
      </c>
      <c r="B723" s="191" t="s">
        <v>418</v>
      </c>
      <c r="C723" s="192">
        <f t="shared" si="506"/>
        <v>718</v>
      </c>
      <c r="D723" s="173">
        <f t="shared" si="507"/>
        <v>7</v>
      </c>
      <c r="E723" s="192">
        <f t="shared" si="508"/>
        <v>6</v>
      </c>
      <c r="F723" s="173">
        <f>F722</f>
        <v>155103006</v>
      </c>
      <c r="G723" s="192">
        <f t="shared" si="509"/>
        <v>1</v>
      </c>
      <c r="H723" s="192" t="str">
        <f t="shared" si="509"/>
        <v>Gold</v>
      </c>
      <c r="I723" s="206">
        <f t="shared" si="502"/>
        <v>10000</v>
      </c>
    </row>
    <row r="724" spans="1:9" ht="16.5" customHeight="1" x14ac:dyDescent="0.3">
      <c r="A724" s="173" t="b">
        <v>0</v>
      </c>
      <c r="B724" s="191" t="s">
        <v>418</v>
      </c>
      <c r="C724" s="192">
        <f t="shared" si="506"/>
        <v>719</v>
      </c>
      <c r="D724" s="173">
        <f t="shared" si="507"/>
        <v>7</v>
      </c>
      <c r="E724" s="192">
        <f t="shared" si="508"/>
        <v>6</v>
      </c>
      <c r="F724" s="173">
        <f>F723</f>
        <v>155103006</v>
      </c>
      <c r="G724" s="192">
        <f t="shared" si="509"/>
        <v>2</v>
      </c>
      <c r="H724" s="192" t="str">
        <f t="shared" si="509"/>
        <v>Gold</v>
      </c>
      <c r="I724" s="206">
        <f t="shared" si="502"/>
        <v>20000</v>
      </c>
    </row>
    <row r="725" spans="1:9" ht="16.5" customHeight="1" x14ac:dyDescent="0.3">
      <c r="A725" s="173" t="b">
        <v>0</v>
      </c>
      <c r="B725" s="191" t="s">
        <v>418</v>
      </c>
      <c r="C725" s="192">
        <f t="shared" si="506"/>
        <v>720</v>
      </c>
      <c r="D725" s="173">
        <f t="shared" si="507"/>
        <v>7</v>
      </c>
      <c r="E725" s="192">
        <f t="shared" si="508"/>
        <v>6</v>
      </c>
      <c r="F725" s="173">
        <f>F724</f>
        <v>155103006</v>
      </c>
      <c r="G725" s="192">
        <f t="shared" si="509"/>
        <v>3</v>
      </c>
      <c r="H725" s="192" t="str">
        <f t="shared" si="509"/>
        <v>Gold</v>
      </c>
      <c r="I725" s="206">
        <f t="shared" si="502"/>
        <v>30000</v>
      </c>
    </row>
    <row r="726" spans="1:9" ht="16.5" customHeight="1" x14ac:dyDescent="0.3">
      <c r="A726" s="176" t="b">
        <v>0</v>
      </c>
      <c r="B726" s="189" t="s">
        <v>418</v>
      </c>
      <c r="C726" s="190">
        <f t="shared" si="506"/>
        <v>721</v>
      </c>
      <c r="D726" s="176">
        <f t="shared" si="507"/>
        <v>7</v>
      </c>
      <c r="E726" s="190">
        <f>E720</f>
        <v>10</v>
      </c>
      <c r="F726" s="190">
        <f>F720+1</f>
        <v>155103007</v>
      </c>
      <c r="G726" s="190">
        <v>1</v>
      </c>
      <c r="H726" s="190" t="s">
        <v>104</v>
      </c>
      <c r="I726" s="205">
        <f t="shared" si="502"/>
        <v>50</v>
      </c>
    </row>
    <row r="727" spans="1:9" ht="16.5" customHeight="1" x14ac:dyDescent="0.3">
      <c r="A727" s="176" t="b">
        <v>0</v>
      </c>
      <c r="B727" s="189" t="s">
        <v>418</v>
      </c>
      <c r="C727" s="190">
        <f t="shared" ref="C727:C732" si="510">C726+1</f>
        <v>722</v>
      </c>
      <c r="D727" s="176">
        <f t="shared" si="507"/>
        <v>7</v>
      </c>
      <c r="E727" s="176">
        <f t="shared" ref="E727:E731" si="511">E721</f>
        <v>10</v>
      </c>
      <c r="F727" s="176">
        <f>F726</f>
        <v>155103007</v>
      </c>
      <c r="G727" s="176">
        <f>G726+1</f>
        <v>2</v>
      </c>
      <c r="H727" s="176" t="str">
        <f>H726</f>
        <v>Gem</v>
      </c>
      <c r="I727" s="205">
        <f t="shared" si="502"/>
        <v>100</v>
      </c>
    </row>
    <row r="728" spans="1:9" ht="16.5" customHeight="1" x14ac:dyDescent="0.3">
      <c r="A728" s="176" t="b">
        <v>0</v>
      </c>
      <c r="B728" s="189" t="s">
        <v>418</v>
      </c>
      <c r="C728" s="190">
        <f t="shared" si="510"/>
        <v>723</v>
      </c>
      <c r="D728" s="176">
        <f t="shared" si="507"/>
        <v>7</v>
      </c>
      <c r="E728" s="176">
        <f t="shared" si="511"/>
        <v>10</v>
      </c>
      <c r="F728" s="176">
        <f>F727</f>
        <v>155103007</v>
      </c>
      <c r="G728" s="176">
        <f>G727+1</f>
        <v>3</v>
      </c>
      <c r="H728" s="176" t="str">
        <f>H727</f>
        <v>Gem</v>
      </c>
      <c r="I728" s="205">
        <f t="shared" si="502"/>
        <v>150</v>
      </c>
    </row>
    <row r="729" spans="1:9" ht="16.5" customHeight="1" x14ac:dyDescent="0.3">
      <c r="A729" s="176" t="b">
        <v>0</v>
      </c>
      <c r="B729" s="189" t="s">
        <v>418</v>
      </c>
      <c r="C729" s="190">
        <f t="shared" si="510"/>
        <v>724</v>
      </c>
      <c r="D729" s="176">
        <f t="shared" si="507"/>
        <v>7</v>
      </c>
      <c r="E729" s="176">
        <f t="shared" si="511"/>
        <v>6</v>
      </c>
      <c r="F729" s="176">
        <f>F728</f>
        <v>155103007</v>
      </c>
      <c r="G729" s="176">
        <v>1</v>
      </c>
      <c r="H729" s="176" t="s">
        <v>340</v>
      </c>
      <c r="I729" s="205">
        <f t="shared" si="502"/>
        <v>10000</v>
      </c>
    </row>
    <row r="730" spans="1:9" ht="16.5" customHeight="1" x14ac:dyDescent="0.3">
      <c r="A730" s="176" t="b">
        <v>0</v>
      </c>
      <c r="B730" s="189" t="s">
        <v>418</v>
      </c>
      <c r="C730" s="190">
        <f t="shared" si="510"/>
        <v>725</v>
      </c>
      <c r="D730" s="176">
        <f t="shared" si="507"/>
        <v>7</v>
      </c>
      <c r="E730" s="176">
        <f t="shared" si="511"/>
        <v>6</v>
      </c>
      <c r="F730" s="176">
        <f>F729</f>
        <v>155103007</v>
      </c>
      <c r="G730" s="176">
        <f>G729+1</f>
        <v>2</v>
      </c>
      <c r="H730" s="176" t="str">
        <f t="shared" ref="H730:H731" si="512">H729</f>
        <v>Gold</v>
      </c>
      <c r="I730" s="205">
        <f t="shared" si="502"/>
        <v>20000</v>
      </c>
    </row>
    <row r="731" spans="1:9" ht="16.5" customHeight="1" x14ac:dyDescent="0.3">
      <c r="A731" s="176" t="b">
        <v>0</v>
      </c>
      <c r="B731" s="189" t="s">
        <v>418</v>
      </c>
      <c r="C731" s="190">
        <f t="shared" si="510"/>
        <v>726</v>
      </c>
      <c r="D731" s="176">
        <f t="shared" si="507"/>
        <v>7</v>
      </c>
      <c r="E731" s="176">
        <f t="shared" si="511"/>
        <v>6</v>
      </c>
      <c r="F731" s="176">
        <f>F730</f>
        <v>155103007</v>
      </c>
      <c r="G731" s="176">
        <f>G730+1</f>
        <v>3</v>
      </c>
      <c r="H731" s="176" t="str">
        <f t="shared" si="512"/>
        <v>Gold</v>
      </c>
      <c r="I731" s="205">
        <f t="shared" si="502"/>
        <v>30000</v>
      </c>
    </row>
    <row r="732" spans="1:9" ht="16.5" customHeight="1" x14ac:dyDescent="0.3">
      <c r="A732" s="173" t="b">
        <v>0</v>
      </c>
      <c r="B732" s="191" t="s">
        <v>418</v>
      </c>
      <c r="C732" s="173">
        <f t="shared" si="510"/>
        <v>727</v>
      </c>
      <c r="D732" s="173">
        <f>D728</f>
        <v>7</v>
      </c>
      <c r="E732" s="192">
        <f>E726</f>
        <v>10</v>
      </c>
      <c r="F732" s="173">
        <f>F726+1</f>
        <v>155103008</v>
      </c>
      <c r="G732" s="192">
        <f>G726</f>
        <v>1</v>
      </c>
      <c r="H732" s="192" t="str">
        <f>H726</f>
        <v>Gem</v>
      </c>
      <c r="I732" s="206">
        <f t="shared" si="502"/>
        <v>50</v>
      </c>
    </row>
    <row r="733" spans="1:9" ht="16.5" customHeight="1" x14ac:dyDescent="0.3">
      <c r="A733" s="173" t="b">
        <v>0</v>
      </c>
      <c r="B733" s="191" t="s">
        <v>418</v>
      </c>
      <c r="C733" s="192">
        <f t="shared" ref="C733:C738" si="513">C732+1</f>
        <v>728</v>
      </c>
      <c r="D733" s="173">
        <f t="shared" ref="D733:D743" si="514">D732</f>
        <v>7</v>
      </c>
      <c r="E733" s="192">
        <f t="shared" ref="E733:E737" si="515">E727</f>
        <v>10</v>
      </c>
      <c r="F733" s="173">
        <f>F732</f>
        <v>155103008</v>
      </c>
      <c r="G733" s="192">
        <f t="shared" ref="G733:H737" si="516">G727</f>
        <v>2</v>
      </c>
      <c r="H733" s="192" t="str">
        <f t="shared" si="516"/>
        <v>Gem</v>
      </c>
      <c r="I733" s="206">
        <f t="shared" si="502"/>
        <v>100</v>
      </c>
    </row>
    <row r="734" spans="1:9" ht="16.5" customHeight="1" x14ac:dyDescent="0.3">
      <c r="A734" s="173" t="b">
        <v>0</v>
      </c>
      <c r="B734" s="191" t="s">
        <v>418</v>
      </c>
      <c r="C734" s="192">
        <f t="shared" si="513"/>
        <v>729</v>
      </c>
      <c r="D734" s="173">
        <f t="shared" si="514"/>
        <v>7</v>
      </c>
      <c r="E734" s="192">
        <f t="shared" si="515"/>
        <v>10</v>
      </c>
      <c r="F734" s="173">
        <f>F733</f>
        <v>155103008</v>
      </c>
      <c r="G734" s="192">
        <f t="shared" si="516"/>
        <v>3</v>
      </c>
      <c r="H734" s="192" t="str">
        <f t="shared" si="516"/>
        <v>Gem</v>
      </c>
      <c r="I734" s="206">
        <f t="shared" si="502"/>
        <v>150</v>
      </c>
    </row>
    <row r="735" spans="1:9" ht="16.5" customHeight="1" x14ac:dyDescent="0.3">
      <c r="A735" s="173" t="b">
        <v>0</v>
      </c>
      <c r="B735" s="191" t="s">
        <v>418</v>
      </c>
      <c r="C735" s="192">
        <f t="shared" si="513"/>
        <v>730</v>
      </c>
      <c r="D735" s="173">
        <f t="shared" si="514"/>
        <v>7</v>
      </c>
      <c r="E735" s="192">
        <f t="shared" si="515"/>
        <v>6</v>
      </c>
      <c r="F735" s="173">
        <f>F734</f>
        <v>155103008</v>
      </c>
      <c r="G735" s="192">
        <f t="shared" si="516"/>
        <v>1</v>
      </c>
      <c r="H735" s="192" t="str">
        <f t="shared" si="516"/>
        <v>Gold</v>
      </c>
      <c r="I735" s="206">
        <f t="shared" si="502"/>
        <v>10000</v>
      </c>
    </row>
    <row r="736" spans="1:9" ht="16.5" customHeight="1" x14ac:dyDescent="0.3">
      <c r="A736" s="173" t="b">
        <v>0</v>
      </c>
      <c r="B736" s="191" t="s">
        <v>418</v>
      </c>
      <c r="C736" s="192">
        <f t="shared" si="513"/>
        <v>731</v>
      </c>
      <c r="D736" s="173">
        <f t="shared" si="514"/>
        <v>7</v>
      </c>
      <c r="E736" s="192">
        <f t="shared" si="515"/>
        <v>6</v>
      </c>
      <c r="F736" s="173">
        <f>F735</f>
        <v>155103008</v>
      </c>
      <c r="G736" s="192">
        <f t="shared" si="516"/>
        <v>2</v>
      </c>
      <c r="H736" s="192" t="str">
        <f t="shared" si="516"/>
        <v>Gold</v>
      </c>
      <c r="I736" s="206">
        <f t="shared" si="502"/>
        <v>20000</v>
      </c>
    </row>
    <row r="737" spans="1:9" ht="16.5" customHeight="1" x14ac:dyDescent="0.3">
      <c r="A737" s="173" t="b">
        <v>0</v>
      </c>
      <c r="B737" s="191" t="s">
        <v>418</v>
      </c>
      <c r="C737" s="192">
        <f t="shared" si="513"/>
        <v>732</v>
      </c>
      <c r="D737" s="173">
        <f t="shared" si="514"/>
        <v>7</v>
      </c>
      <c r="E737" s="192">
        <f t="shared" si="515"/>
        <v>6</v>
      </c>
      <c r="F737" s="173">
        <f>F736</f>
        <v>155103008</v>
      </c>
      <c r="G737" s="192">
        <f t="shared" si="516"/>
        <v>3</v>
      </c>
      <c r="H737" s="192" t="str">
        <f t="shared" si="516"/>
        <v>Gold</v>
      </c>
      <c r="I737" s="206">
        <f t="shared" si="502"/>
        <v>30000</v>
      </c>
    </row>
    <row r="738" spans="1:9" ht="16.5" customHeight="1" x14ac:dyDescent="0.3">
      <c r="A738" s="176" t="b">
        <v>0</v>
      </c>
      <c r="B738" s="189" t="s">
        <v>418</v>
      </c>
      <c r="C738" s="190">
        <f t="shared" si="513"/>
        <v>733</v>
      </c>
      <c r="D738" s="176">
        <f t="shared" si="514"/>
        <v>7</v>
      </c>
      <c r="E738" s="190">
        <f>E732</f>
        <v>10</v>
      </c>
      <c r="F738" s="190">
        <f>F732+1</f>
        <v>155103009</v>
      </c>
      <c r="G738" s="190">
        <v>1</v>
      </c>
      <c r="H738" s="190" t="s">
        <v>104</v>
      </c>
      <c r="I738" s="205">
        <f t="shared" si="502"/>
        <v>50</v>
      </c>
    </row>
    <row r="739" spans="1:9" ht="16.5" customHeight="1" x14ac:dyDescent="0.3">
      <c r="A739" s="176" t="b">
        <v>0</v>
      </c>
      <c r="B739" s="189" t="s">
        <v>418</v>
      </c>
      <c r="C739" s="190">
        <f t="shared" ref="C739:C744" si="517">C738+1</f>
        <v>734</v>
      </c>
      <c r="D739" s="176">
        <f t="shared" si="514"/>
        <v>7</v>
      </c>
      <c r="E739" s="176">
        <f t="shared" ref="E739:E743" si="518">E733</f>
        <v>10</v>
      </c>
      <c r="F739" s="176">
        <f>F738</f>
        <v>155103009</v>
      </c>
      <c r="G739" s="176">
        <f>G738+1</f>
        <v>2</v>
      </c>
      <c r="H739" s="176" t="str">
        <f>H738</f>
        <v>Gem</v>
      </c>
      <c r="I739" s="205">
        <f t="shared" si="502"/>
        <v>100</v>
      </c>
    </row>
    <row r="740" spans="1:9" ht="16.5" customHeight="1" x14ac:dyDescent="0.3">
      <c r="A740" s="176" t="b">
        <v>0</v>
      </c>
      <c r="B740" s="189" t="s">
        <v>418</v>
      </c>
      <c r="C740" s="190">
        <f t="shared" si="517"/>
        <v>735</v>
      </c>
      <c r="D740" s="176">
        <f t="shared" si="514"/>
        <v>7</v>
      </c>
      <c r="E740" s="176">
        <f t="shared" si="518"/>
        <v>10</v>
      </c>
      <c r="F740" s="176">
        <f>F739</f>
        <v>155103009</v>
      </c>
      <c r="G740" s="176">
        <f>G739+1</f>
        <v>3</v>
      </c>
      <c r="H740" s="176" t="str">
        <f>H739</f>
        <v>Gem</v>
      </c>
      <c r="I740" s="205">
        <f t="shared" si="502"/>
        <v>150</v>
      </c>
    </row>
    <row r="741" spans="1:9" ht="16.5" customHeight="1" x14ac:dyDescent="0.3">
      <c r="A741" s="176" t="b">
        <v>0</v>
      </c>
      <c r="B741" s="189" t="s">
        <v>418</v>
      </c>
      <c r="C741" s="190">
        <f t="shared" si="517"/>
        <v>736</v>
      </c>
      <c r="D741" s="176">
        <f t="shared" si="514"/>
        <v>7</v>
      </c>
      <c r="E741" s="176">
        <f t="shared" si="518"/>
        <v>6</v>
      </c>
      <c r="F741" s="176">
        <f>F740</f>
        <v>155103009</v>
      </c>
      <c r="G741" s="176">
        <v>1</v>
      </c>
      <c r="H741" s="176" t="s">
        <v>335</v>
      </c>
      <c r="I741" s="205">
        <f t="shared" si="502"/>
        <v>10000</v>
      </c>
    </row>
    <row r="742" spans="1:9" ht="16.5" customHeight="1" x14ac:dyDescent="0.3">
      <c r="A742" s="176" t="b">
        <v>0</v>
      </c>
      <c r="B742" s="189" t="s">
        <v>418</v>
      </c>
      <c r="C742" s="190">
        <f t="shared" si="517"/>
        <v>737</v>
      </c>
      <c r="D742" s="176">
        <f t="shared" si="514"/>
        <v>7</v>
      </c>
      <c r="E742" s="176">
        <f t="shared" si="518"/>
        <v>6</v>
      </c>
      <c r="F742" s="176">
        <f>F741</f>
        <v>155103009</v>
      </c>
      <c r="G742" s="176">
        <f>G741+1</f>
        <v>2</v>
      </c>
      <c r="H742" s="176" t="str">
        <f t="shared" ref="H742:H743" si="519">H741</f>
        <v>Gold</v>
      </c>
      <c r="I742" s="205">
        <f t="shared" si="502"/>
        <v>20000</v>
      </c>
    </row>
    <row r="743" spans="1:9" ht="16.5" customHeight="1" x14ac:dyDescent="0.3">
      <c r="A743" s="176" t="b">
        <v>0</v>
      </c>
      <c r="B743" s="189" t="s">
        <v>418</v>
      </c>
      <c r="C743" s="190">
        <f t="shared" si="517"/>
        <v>738</v>
      </c>
      <c r="D743" s="176">
        <f t="shared" si="514"/>
        <v>7</v>
      </c>
      <c r="E743" s="176">
        <f t="shared" si="518"/>
        <v>6</v>
      </c>
      <c r="F743" s="176">
        <f>F742</f>
        <v>155103009</v>
      </c>
      <c r="G743" s="176">
        <f>G742+1</f>
        <v>3</v>
      </c>
      <c r="H743" s="176" t="str">
        <f t="shared" si="519"/>
        <v>Gold</v>
      </c>
      <c r="I743" s="205">
        <f t="shared" si="502"/>
        <v>30000</v>
      </c>
    </row>
    <row r="744" spans="1:9" ht="16.5" customHeight="1" x14ac:dyDescent="0.3">
      <c r="A744" s="173" t="b">
        <v>0</v>
      </c>
      <c r="B744" s="191" t="s">
        <v>418</v>
      </c>
      <c r="C744" s="173">
        <f t="shared" si="517"/>
        <v>739</v>
      </c>
      <c r="D744" s="173">
        <f>D740</f>
        <v>7</v>
      </c>
      <c r="E744" s="192">
        <f>E738</f>
        <v>10</v>
      </c>
      <c r="F744" s="173">
        <f>F738+1</f>
        <v>155103010</v>
      </c>
      <c r="G744" s="192">
        <f>G738</f>
        <v>1</v>
      </c>
      <c r="H744" s="192" t="str">
        <f>H738</f>
        <v>Gem</v>
      </c>
      <c r="I744" s="206">
        <f t="shared" si="502"/>
        <v>50</v>
      </c>
    </row>
    <row r="745" spans="1:9" ht="16.5" customHeight="1" x14ac:dyDescent="0.3">
      <c r="A745" s="173" t="b">
        <v>0</v>
      </c>
      <c r="B745" s="191" t="s">
        <v>418</v>
      </c>
      <c r="C745" s="192">
        <f t="shared" ref="C745:C750" si="520">C744+1</f>
        <v>740</v>
      </c>
      <c r="D745" s="173">
        <f t="shared" ref="D745:D755" si="521">D744</f>
        <v>7</v>
      </c>
      <c r="E745" s="192">
        <f t="shared" ref="E745:E749" si="522">E739</f>
        <v>10</v>
      </c>
      <c r="F745" s="173">
        <f>F744</f>
        <v>155103010</v>
      </c>
      <c r="G745" s="192">
        <f t="shared" ref="G745:H749" si="523">G739</f>
        <v>2</v>
      </c>
      <c r="H745" s="192" t="str">
        <f t="shared" si="523"/>
        <v>Gem</v>
      </c>
      <c r="I745" s="206">
        <f t="shared" si="502"/>
        <v>100</v>
      </c>
    </row>
    <row r="746" spans="1:9" ht="16.5" customHeight="1" x14ac:dyDescent="0.3">
      <c r="A746" s="173" t="b">
        <v>0</v>
      </c>
      <c r="B746" s="191" t="s">
        <v>418</v>
      </c>
      <c r="C746" s="192">
        <f t="shared" si="520"/>
        <v>741</v>
      </c>
      <c r="D746" s="173">
        <f t="shared" si="521"/>
        <v>7</v>
      </c>
      <c r="E746" s="192">
        <f t="shared" si="522"/>
        <v>10</v>
      </c>
      <c r="F746" s="173">
        <f>F745</f>
        <v>155103010</v>
      </c>
      <c r="G746" s="192">
        <f t="shared" si="523"/>
        <v>3</v>
      </c>
      <c r="H746" s="192" t="str">
        <f t="shared" si="523"/>
        <v>Gem</v>
      </c>
      <c r="I746" s="206">
        <f t="shared" si="502"/>
        <v>150</v>
      </c>
    </row>
    <row r="747" spans="1:9" ht="16.5" customHeight="1" x14ac:dyDescent="0.3">
      <c r="A747" s="173" t="b">
        <v>0</v>
      </c>
      <c r="B747" s="191" t="s">
        <v>418</v>
      </c>
      <c r="C747" s="192">
        <f t="shared" si="520"/>
        <v>742</v>
      </c>
      <c r="D747" s="173">
        <f t="shared" si="521"/>
        <v>7</v>
      </c>
      <c r="E747" s="192">
        <f t="shared" si="522"/>
        <v>6</v>
      </c>
      <c r="F747" s="173">
        <f>F746</f>
        <v>155103010</v>
      </c>
      <c r="G747" s="192">
        <f t="shared" si="523"/>
        <v>1</v>
      </c>
      <c r="H747" s="192" t="str">
        <f t="shared" si="523"/>
        <v>Gold</v>
      </c>
      <c r="I747" s="206">
        <f t="shared" si="502"/>
        <v>10000</v>
      </c>
    </row>
    <row r="748" spans="1:9" ht="16.5" customHeight="1" x14ac:dyDescent="0.3">
      <c r="A748" s="173" t="b">
        <v>0</v>
      </c>
      <c r="B748" s="191" t="s">
        <v>418</v>
      </c>
      <c r="C748" s="192">
        <f t="shared" si="520"/>
        <v>743</v>
      </c>
      <c r="D748" s="173">
        <f t="shared" si="521"/>
        <v>7</v>
      </c>
      <c r="E748" s="192">
        <f t="shared" si="522"/>
        <v>6</v>
      </c>
      <c r="F748" s="173">
        <f>F747</f>
        <v>155103010</v>
      </c>
      <c r="G748" s="192">
        <f t="shared" si="523"/>
        <v>2</v>
      </c>
      <c r="H748" s="192" t="str">
        <f t="shared" si="523"/>
        <v>Gold</v>
      </c>
      <c r="I748" s="206">
        <f t="shared" si="502"/>
        <v>20000</v>
      </c>
    </row>
    <row r="749" spans="1:9" ht="16.5" customHeight="1" x14ac:dyDescent="0.3">
      <c r="A749" s="173" t="b">
        <v>0</v>
      </c>
      <c r="B749" s="191" t="s">
        <v>418</v>
      </c>
      <c r="C749" s="192">
        <f t="shared" si="520"/>
        <v>744</v>
      </c>
      <c r="D749" s="173">
        <f t="shared" si="521"/>
        <v>7</v>
      </c>
      <c r="E749" s="192">
        <f t="shared" si="522"/>
        <v>6</v>
      </c>
      <c r="F749" s="173">
        <f>F748</f>
        <v>155103010</v>
      </c>
      <c r="G749" s="192">
        <f t="shared" si="523"/>
        <v>3</v>
      </c>
      <c r="H749" s="192" t="str">
        <f t="shared" si="523"/>
        <v>Gold</v>
      </c>
      <c r="I749" s="206">
        <f t="shared" si="502"/>
        <v>30000</v>
      </c>
    </row>
    <row r="750" spans="1:9" ht="16.5" customHeight="1" x14ac:dyDescent="0.3">
      <c r="A750" s="176" t="b">
        <v>0</v>
      </c>
      <c r="B750" s="189" t="s">
        <v>418</v>
      </c>
      <c r="C750" s="190">
        <f t="shared" si="520"/>
        <v>745</v>
      </c>
      <c r="D750" s="176">
        <f t="shared" si="521"/>
        <v>7</v>
      </c>
      <c r="E750" s="190">
        <f>E744</f>
        <v>10</v>
      </c>
      <c r="F750" s="190">
        <f>F744+1</f>
        <v>155103011</v>
      </c>
      <c r="G750" s="190">
        <v>1</v>
      </c>
      <c r="H750" s="190" t="s">
        <v>104</v>
      </c>
      <c r="I750" s="205">
        <f t="shared" si="502"/>
        <v>50</v>
      </c>
    </row>
    <row r="751" spans="1:9" ht="16.5" customHeight="1" x14ac:dyDescent="0.3">
      <c r="A751" s="176" t="b">
        <v>0</v>
      </c>
      <c r="B751" s="189" t="s">
        <v>418</v>
      </c>
      <c r="C751" s="190">
        <f t="shared" ref="C751:C756" si="524">C750+1</f>
        <v>746</v>
      </c>
      <c r="D751" s="176">
        <f t="shared" si="521"/>
        <v>7</v>
      </c>
      <c r="E751" s="176">
        <f t="shared" ref="E751:E755" si="525">E745</f>
        <v>10</v>
      </c>
      <c r="F751" s="176">
        <f>F750</f>
        <v>155103011</v>
      </c>
      <c r="G751" s="176">
        <f>G750+1</f>
        <v>2</v>
      </c>
      <c r="H751" s="176" t="str">
        <f>H750</f>
        <v>Gem</v>
      </c>
      <c r="I751" s="205">
        <f t="shared" si="502"/>
        <v>100</v>
      </c>
    </row>
    <row r="752" spans="1:9" ht="16.5" customHeight="1" x14ac:dyDescent="0.3">
      <c r="A752" s="176" t="b">
        <v>0</v>
      </c>
      <c r="B752" s="189" t="s">
        <v>418</v>
      </c>
      <c r="C752" s="190">
        <f t="shared" si="524"/>
        <v>747</v>
      </c>
      <c r="D752" s="176">
        <f t="shared" si="521"/>
        <v>7</v>
      </c>
      <c r="E752" s="176">
        <f t="shared" si="525"/>
        <v>10</v>
      </c>
      <c r="F752" s="176">
        <f>F751</f>
        <v>155103011</v>
      </c>
      <c r="G752" s="176">
        <f>G751+1</f>
        <v>3</v>
      </c>
      <c r="H752" s="176" t="str">
        <f>H751</f>
        <v>Gem</v>
      </c>
      <c r="I752" s="205">
        <f t="shared" si="502"/>
        <v>150</v>
      </c>
    </row>
    <row r="753" spans="1:9" ht="16.5" customHeight="1" x14ac:dyDescent="0.3">
      <c r="A753" s="176" t="b">
        <v>0</v>
      </c>
      <c r="B753" s="189" t="s">
        <v>418</v>
      </c>
      <c r="C753" s="190">
        <f t="shared" si="524"/>
        <v>748</v>
      </c>
      <c r="D753" s="176">
        <f t="shared" si="521"/>
        <v>7</v>
      </c>
      <c r="E753" s="176">
        <f t="shared" si="525"/>
        <v>6</v>
      </c>
      <c r="F753" s="176">
        <f>F752</f>
        <v>155103011</v>
      </c>
      <c r="G753" s="176">
        <v>1</v>
      </c>
      <c r="H753" s="176" t="s">
        <v>335</v>
      </c>
      <c r="I753" s="205">
        <f t="shared" si="502"/>
        <v>10000</v>
      </c>
    </row>
    <row r="754" spans="1:9" ht="16.5" customHeight="1" x14ac:dyDescent="0.3">
      <c r="A754" s="176" t="b">
        <v>0</v>
      </c>
      <c r="B754" s="189" t="s">
        <v>418</v>
      </c>
      <c r="C754" s="190">
        <f t="shared" si="524"/>
        <v>749</v>
      </c>
      <c r="D754" s="176">
        <f t="shared" si="521"/>
        <v>7</v>
      </c>
      <c r="E754" s="176">
        <f t="shared" si="525"/>
        <v>6</v>
      </c>
      <c r="F754" s="176">
        <f>F753</f>
        <v>155103011</v>
      </c>
      <c r="G754" s="176">
        <f>G753+1</f>
        <v>2</v>
      </c>
      <c r="H754" s="176" t="str">
        <f t="shared" ref="H754:H755" si="526">H753</f>
        <v>Gold</v>
      </c>
      <c r="I754" s="205">
        <f t="shared" si="502"/>
        <v>20000</v>
      </c>
    </row>
    <row r="755" spans="1:9" ht="16.5" customHeight="1" x14ac:dyDescent="0.3">
      <c r="A755" s="176" t="b">
        <v>0</v>
      </c>
      <c r="B755" s="189" t="s">
        <v>418</v>
      </c>
      <c r="C755" s="190">
        <f t="shared" si="524"/>
        <v>750</v>
      </c>
      <c r="D755" s="176">
        <f t="shared" si="521"/>
        <v>7</v>
      </c>
      <c r="E755" s="176">
        <f t="shared" si="525"/>
        <v>6</v>
      </c>
      <c r="F755" s="176">
        <f>F754</f>
        <v>155103011</v>
      </c>
      <c r="G755" s="176">
        <f>G754+1</f>
        <v>3</v>
      </c>
      <c r="H755" s="176" t="str">
        <f t="shared" si="526"/>
        <v>Gold</v>
      </c>
      <c r="I755" s="205">
        <f t="shared" si="502"/>
        <v>30000</v>
      </c>
    </row>
    <row r="756" spans="1:9" ht="16.5" customHeight="1" x14ac:dyDescent="0.3">
      <c r="A756" s="173" t="b">
        <v>0</v>
      </c>
      <c r="B756" s="191" t="s">
        <v>418</v>
      </c>
      <c r="C756" s="173">
        <f t="shared" si="524"/>
        <v>751</v>
      </c>
      <c r="D756" s="173">
        <f>D752</f>
        <v>7</v>
      </c>
      <c r="E756" s="192">
        <f>E750</f>
        <v>10</v>
      </c>
      <c r="F756" s="173">
        <f>F750+1</f>
        <v>155103012</v>
      </c>
      <c r="G756" s="192">
        <f>G750</f>
        <v>1</v>
      </c>
      <c r="H756" s="192" t="str">
        <f>H750</f>
        <v>Gem</v>
      </c>
      <c r="I756" s="206">
        <f t="shared" si="502"/>
        <v>50</v>
      </c>
    </row>
    <row r="757" spans="1:9" ht="16.5" customHeight="1" x14ac:dyDescent="0.3">
      <c r="A757" s="173" t="b">
        <v>0</v>
      </c>
      <c r="B757" s="191" t="s">
        <v>418</v>
      </c>
      <c r="C757" s="192">
        <f t="shared" ref="C757:C761" si="527">C756+1</f>
        <v>752</v>
      </c>
      <c r="D757" s="173">
        <f t="shared" ref="D757:D761" si="528">D756</f>
        <v>7</v>
      </c>
      <c r="E757" s="192">
        <f t="shared" ref="E757:E761" si="529">E751</f>
        <v>10</v>
      </c>
      <c r="F757" s="173">
        <f>F756</f>
        <v>155103012</v>
      </c>
      <c r="G757" s="192">
        <f t="shared" ref="G757:H761" si="530">G751</f>
        <v>2</v>
      </c>
      <c r="H757" s="192" t="str">
        <f t="shared" si="530"/>
        <v>Gem</v>
      </c>
      <c r="I757" s="206">
        <f t="shared" si="502"/>
        <v>100</v>
      </c>
    </row>
    <row r="758" spans="1:9" ht="16.5" customHeight="1" x14ac:dyDescent="0.3">
      <c r="A758" s="173" t="b">
        <v>0</v>
      </c>
      <c r="B758" s="191" t="s">
        <v>418</v>
      </c>
      <c r="C758" s="192">
        <f t="shared" si="527"/>
        <v>753</v>
      </c>
      <c r="D758" s="173">
        <f t="shared" si="528"/>
        <v>7</v>
      </c>
      <c r="E758" s="192">
        <f t="shared" si="529"/>
        <v>10</v>
      </c>
      <c r="F758" s="173">
        <f>F757</f>
        <v>155103012</v>
      </c>
      <c r="G758" s="192">
        <f t="shared" si="530"/>
        <v>3</v>
      </c>
      <c r="H758" s="192" t="str">
        <f t="shared" si="530"/>
        <v>Gem</v>
      </c>
      <c r="I758" s="206">
        <f t="shared" si="502"/>
        <v>150</v>
      </c>
    </row>
    <row r="759" spans="1:9" ht="16.5" customHeight="1" x14ac:dyDescent="0.3">
      <c r="A759" s="173" t="b">
        <v>0</v>
      </c>
      <c r="B759" s="191" t="s">
        <v>418</v>
      </c>
      <c r="C759" s="192">
        <f t="shared" si="527"/>
        <v>754</v>
      </c>
      <c r="D759" s="173">
        <f t="shared" si="528"/>
        <v>7</v>
      </c>
      <c r="E759" s="192">
        <f t="shared" si="529"/>
        <v>6</v>
      </c>
      <c r="F759" s="173">
        <f>F758</f>
        <v>155103012</v>
      </c>
      <c r="G759" s="192">
        <f t="shared" si="530"/>
        <v>1</v>
      </c>
      <c r="H759" s="192" t="str">
        <f t="shared" si="530"/>
        <v>Gold</v>
      </c>
      <c r="I759" s="206">
        <f t="shared" si="502"/>
        <v>10000</v>
      </c>
    </row>
    <row r="760" spans="1:9" ht="16.5" customHeight="1" x14ac:dyDescent="0.3">
      <c r="A760" s="173" t="b">
        <v>0</v>
      </c>
      <c r="B760" s="191" t="s">
        <v>418</v>
      </c>
      <c r="C760" s="192">
        <f t="shared" si="527"/>
        <v>755</v>
      </c>
      <c r="D760" s="173">
        <f t="shared" si="528"/>
        <v>7</v>
      </c>
      <c r="E760" s="192">
        <f t="shared" si="529"/>
        <v>6</v>
      </c>
      <c r="F760" s="173">
        <f>F759</f>
        <v>155103012</v>
      </c>
      <c r="G760" s="192">
        <f t="shared" si="530"/>
        <v>2</v>
      </c>
      <c r="H760" s="192" t="str">
        <f t="shared" si="530"/>
        <v>Gold</v>
      </c>
      <c r="I760" s="206">
        <f t="shared" si="502"/>
        <v>20000</v>
      </c>
    </row>
    <row r="761" spans="1:9" ht="16.5" customHeight="1" x14ac:dyDescent="0.3">
      <c r="A761" s="173" t="b">
        <v>0</v>
      </c>
      <c r="B761" s="191" t="s">
        <v>418</v>
      </c>
      <c r="C761" s="192">
        <f t="shared" si="527"/>
        <v>756</v>
      </c>
      <c r="D761" s="173">
        <f t="shared" si="528"/>
        <v>7</v>
      </c>
      <c r="E761" s="192">
        <f t="shared" si="529"/>
        <v>6</v>
      </c>
      <c r="F761" s="173">
        <f>F760</f>
        <v>155103012</v>
      </c>
      <c r="G761" s="192">
        <f t="shared" si="530"/>
        <v>3</v>
      </c>
      <c r="H761" s="192" t="str">
        <f t="shared" si="530"/>
        <v>Gold</v>
      </c>
      <c r="I761" s="206">
        <f t="shared" si="502"/>
        <v>30000</v>
      </c>
    </row>
    <row r="762" spans="1:9" ht="16.5" customHeight="1" x14ac:dyDescent="0.3">
      <c r="A762" s="172" t="b">
        <v>1</v>
      </c>
      <c r="B762" s="196" t="s">
        <v>421</v>
      </c>
      <c r="C762" s="196">
        <f t="shared" ref="C762:C774" si="531">C761+1</f>
        <v>757</v>
      </c>
      <c r="D762" s="185">
        <v>8</v>
      </c>
      <c r="E762" s="185">
        <v>10</v>
      </c>
      <c r="F762" s="186">
        <v>160001301</v>
      </c>
      <c r="G762" s="185">
        <v>100</v>
      </c>
      <c r="H762" s="185" t="s">
        <v>104</v>
      </c>
      <c r="I762" s="207">
        <v>25</v>
      </c>
    </row>
    <row r="763" spans="1:9" ht="16.5" customHeight="1" x14ac:dyDescent="0.3">
      <c r="A763" s="172" t="b">
        <v>1</v>
      </c>
      <c r="B763" s="196" t="s">
        <v>421</v>
      </c>
      <c r="C763" s="196">
        <f t="shared" si="531"/>
        <v>758</v>
      </c>
      <c r="D763" s="196">
        <f t="shared" ref="D763:D774" si="532">D762</f>
        <v>8</v>
      </c>
      <c r="E763" s="196">
        <f>E762</f>
        <v>10</v>
      </c>
      <c r="F763" s="196">
        <v>160001301</v>
      </c>
      <c r="G763" s="196">
        <v>200</v>
      </c>
      <c r="H763" s="196" t="s">
        <v>104</v>
      </c>
      <c r="I763" s="207">
        <v>50</v>
      </c>
    </row>
    <row r="764" spans="1:9" ht="16.5" customHeight="1" x14ac:dyDescent="0.3">
      <c r="A764" s="172" t="b">
        <v>1</v>
      </c>
      <c r="B764" s="197" t="s">
        <v>420</v>
      </c>
      <c r="C764" s="196">
        <f t="shared" si="531"/>
        <v>759</v>
      </c>
      <c r="D764" s="196">
        <f t="shared" si="532"/>
        <v>8</v>
      </c>
      <c r="E764" s="196">
        <f t="shared" ref="E764:E770" si="533">E763</f>
        <v>10</v>
      </c>
      <c r="F764" s="196">
        <v>160001302</v>
      </c>
      <c r="G764" s="196">
        <v>50</v>
      </c>
      <c r="H764" s="196" t="str">
        <f>H762</f>
        <v>Gem</v>
      </c>
      <c r="I764" s="207">
        <v>25</v>
      </c>
    </row>
    <row r="765" spans="1:9" ht="16.5" customHeight="1" x14ac:dyDescent="0.3">
      <c r="A765" s="172" t="b">
        <v>1</v>
      </c>
      <c r="B765" s="197" t="s">
        <v>420</v>
      </c>
      <c r="C765" s="196">
        <f t="shared" si="531"/>
        <v>760</v>
      </c>
      <c r="D765" s="196">
        <f t="shared" si="532"/>
        <v>8</v>
      </c>
      <c r="E765" s="196">
        <f t="shared" si="533"/>
        <v>10</v>
      </c>
      <c r="F765" s="196">
        <v>160001302</v>
      </c>
      <c r="G765" s="196">
        <v>100</v>
      </c>
      <c r="H765" s="196" t="str">
        <f t="shared" ref="H765:H770" si="534">H763</f>
        <v>Gem</v>
      </c>
      <c r="I765" s="207">
        <v>50</v>
      </c>
    </row>
    <row r="766" spans="1:9" ht="16.5" customHeight="1" x14ac:dyDescent="0.3">
      <c r="A766" s="172" t="b">
        <v>1</v>
      </c>
      <c r="B766" s="197" t="s">
        <v>420</v>
      </c>
      <c r="C766" s="196">
        <f t="shared" si="531"/>
        <v>761</v>
      </c>
      <c r="D766" s="196">
        <f t="shared" si="532"/>
        <v>8</v>
      </c>
      <c r="E766" s="196">
        <f t="shared" si="533"/>
        <v>10</v>
      </c>
      <c r="F766" s="196">
        <v>160001303</v>
      </c>
      <c r="G766" s="196">
        <v>20</v>
      </c>
      <c r="H766" s="196" t="str">
        <f t="shared" si="534"/>
        <v>Gem</v>
      </c>
      <c r="I766" s="207">
        <v>50</v>
      </c>
    </row>
    <row r="767" spans="1:9" ht="16.5" customHeight="1" x14ac:dyDescent="0.3">
      <c r="A767" s="172" t="b">
        <v>1</v>
      </c>
      <c r="B767" s="197" t="s">
        <v>420</v>
      </c>
      <c r="C767" s="196">
        <f t="shared" si="531"/>
        <v>762</v>
      </c>
      <c r="D767" s="196">
        <f t="shared" si="532"/>
        <v>8</v>
      </c>
      <c r="E767" s="196">
        <f t="shared" si="533"/>
        <v>10</v>
      </c>
      <c r="F767" s="196">
        <v>160001303</v>
      </c>
      <c r="G767" s="196">
        <v>40</v>
      </c>
      <c r="H767" s="196" t="str">
        <f t="shared" si="534"/>
        <v>Gem</v>
      </c>
      <c r="I767" s="207">
        <v>100</v>
      </c>
    </row>
    <row r="768" spans="1:9" ht="16.5" customHeight="1" x14ac:dyDescent="0.3">
      <c r="A768" s="172" t="b">
        <v>1</v>
      </c>
      <c r="B768" s="197" t="s">
        <v>420</v>
      </c>
      <c r="C768" s="196">
        <f t="shared" si="531"/>
        <v>763</v>
      </c>
      <c r="D768" s="196">
        <f t="shared" si="532"/>
        <v>8</v>
      </c>
      <c r="E768" s="196">
        <f t="shared" si="533"/>
        <v>10</v>
      </c>
      <c r="F768" s="196">
        <v>160001304</v>
      </c>
      <c r="G768" s="196">
        <v>10</v>
      </c>
      <c r="H768" s="196" t="str">
        <f t="shared" si="534"/>
        <v>Gem</v>
      </c>
      <c r="I768" s="207">
        <v>50</v>
      </c>
    </row>
    <row r="769" spans="1:9" ht="16.5" customHeight="1" x14ac:dyDescent="0.3">
      <c r="A769" s="172" t="b">
        <v>1</v>
      </c>
      <c r="B769" s="197" t="s">
        <v>420</v>
      </c>
      <c r="C769" s="196">
        <f t="shared" si="531"/>
        <v>764</v>
      </c>
      <c r="D769" s="196">
        <f t="shared" si="532"/>
        <v>8</v>
      </c>
      <c r="E769" s="196">
        <f t="shared" si="533"/>
        <v>10</v>
      </c>
      <c r="F769" s="196">
        <v>160001304</v>
      </c>
      <c r="G769" s="196">
        <v>20</v>
      </c>
      <c r="H769" s="196" t="str">
        <f t="shared" si="534"/>
        <v>Gem</v>
      </c>
      <c r="I769" s="207">
        <v>100</v>
      </c>
    </row>
    <row r="770" spans="1:9" ht="16.5" customHeight="1" x14ac:dyDescent="0.3">
      <c r="A770" s="172" t="b">
        <v>1</v>
      </c>
      <c r="B770" s="197" t="s">
        <v>420</v>
      </c>
      <c r="C770" s="196">
        <f t="shared" si="531"/>
        <v>765</v>
      </c>
      <c r="D770" s="196">
        <f t="shared" si="532"/>
        <v>8</v>
      </c>
      <c r="E770" s="196">
        <f t="shared" si="533"/>
        <v>10</v>
      </c>
      <c r="F770" s="196">
        <v>160001304</v>
      </c>
      <c r="G770" s="196">
        <v>40</v>
      </c>
      <c r="H770" s="196" t="str">
        <f t="shared" si="534"/>
        <v>Gem</v>
      </c>
      <c r="I770" s="207">
        <v>200</v>
      </c>
    </row>
    <row r="771" spans="1:9" ht="16.5" customHeight="1" x14ac:dyDescent="0.3">
      <c r="A771" s="172" t="b">
        <v>1</v>
      </c>
      <c r="B771" s="197" t="s">
        <v>420</v>
      </c>
      <c r="C771" s="196">
        <f t="shared" si="531"/>
        <v>766</v>
      </c>
      <c r="D771" s="196">
        <f t="shared" si="532"/>
        <v>8</v>
      </c>
      <c r="E771" s="185">
        <v>5</v>
      </c>
      <c r="F771" s="196">
        <f>F762</f>
        <v>160001301</v>
      </c>
      <c r="G771" s="196">
        <f>G762</f>
        <v>100</v>
      </c>
      <c r="H771" s="185" t="s">
        <v>422</v>
      </c>
      <c r="I771" s="207">
        <v>15000</v>
      </c>
    </row>
    <row r="772" spans="1:9" ht="16.5" customHeight="1" x14ac:dyDescent="0.3">
      <c r="A772" s="172" t="b">
        <v>1</v>
      </c>
      <c r="B772" s="197" t="s">
        <v>420</v>
      </c>
      <c r="C772" s="196">
        <f t="shared" si="531"/>
        <v>767</v>
      </c>
      <c r="D772" s="196">
        <f t="shared" si="532"/>
        <v>8</v>
      </c>
      <c r="E772" s="196">
        <f t="shared" ref="E772:E774" si="535">E771</f>
        <v>5</v>
      </c>
      <c r="F772" s="196">
        <f>F764</f>
        <v>160001302</v>
      </c>
      <c r="G772" s="196">
        <f>G764</f>
        <v>50</v>
      </c>
      <c r="H772" s="196" t="str">
        <f t="shared" ref="H772:H774" si="536">H771</f>
        <v>Gold</v>
      </c>
      <c r="I772" s="207">
        <v>15000</v>
      </c>
    </row>
    <row r="773" spans="1:9" ht="16.5" customHeight="1" x14ac:dyDescent="0.3">
      <c r="A773" s="172" t="b">
        <v>1</v>
      </c>
      <c r="B773" s="197" t="s">
        <v>420</v>
      </c>
      <c r="C773" s="196">
        <f t="shared" si="531"/>
        <v>768</v>
      </c>
      <c r="D773" s="196">
        <f t="shared" si="532"/>
        <v>8</v>
      </c>
      <c r="E773" s="196">
        <f t="shared" si="535"/>
        <v>5</v>
      </c>
      <c r="F773" s="196">
        <f>F766</f>
        <v>160001303</v>
      </c>
      <c r="G773" s="196">
        <f>G766</f>
        <v>20</v>
      </c>
      <c r="H773" s="196" t="str">
        <f t="shared" si="536"/>
        <v>Gold</v>
      </c>
      <c r="I773" s="207">
        <v>30000</v>
      </c>
    </row>
    <row r="774" spans="1:9" ht="16.5" customHeight="1" x14ac:dyDescent="0.3">
      <c r="A774" s="172" t="b">
        <v>1</v>
      </c>
      <c r="B774" s="197" t="s">
        <v>420</v>
      </c>
      <c r="C774" s="196">
        <f t="shared" si="531"/>
        <v>769</v>
      </c>
      <c r="D774" s="196">
        <f t="shared" si="532"/>
        <v>8</v>
      </c>
      <c r="E774" s="196">
        <f t="shared" si="535"/>
        <v>5</v>
      </c>
      <c r="F774" s="196">
        <f>F768</f>
        <v>160001304</v>
      </c>
      <c r="G774" s="196">
        <f t="shared" ref="G774" si="537">G768</f>
        <v>10</v>
      </c>
      <c r="H774" s="196" t="str">
        <f t="shared" si="536"/>
        <v>Gold</v>
      </c>
      <c r="I774" s="207">
        <v>30000</v>
      </c>
    </row>
  </sheetData>
  <phoneticPr fontId="31" type="noConversion"/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32" sqref="F32"/>
    </sheetView>
  </sheetViews>
  <sheetFormatPr defaultRowHeight="16.5" x14ac:dyDescent="0.3"/>
  <cols>
    <col min="1" max="1" width="17.875" bestFit="1" customWidth="1"/>
    <col min="2" max="2" width="20.5" bestFit="1" customWidth="1"/>
    <col min="3" max="3" width="15.5" bestFit="1" customWidth="1"/>
    <col min="4" max="4" width="13.5" bestFit="1" customWidth="1"/>
    <col min="5" max="5" width="13.625" bestFit="1" customWidth="1"/>
    <col min="6" max="6" width="28.75" bestFit="1" customWidth="1"/>
  </cols>
  <sheetData>
    <row r="1" spans="1:6" x14ac:dyDescent="0.3">
      <c r="A1" s="6" t="s">
        <v>206</v>
      </c>
      <c r="B1" s="2" t="s">
        <v>206</v>
      </c>
      <c r="C1" s="7"/>
    </row>
    <row r="2" spans="1:6" ht="27" x14ac:dyDescent="0.3">
      <c r="A2" s="9" t="s">
        <v>70</v>
      </c>
      <c r="B2" s="9" t="s">
        <v>70</v>
      </c>
      <c r="C2" s="9" t="s">
        <v>207</v>
      </c>
      <c r="D2" s="14" t="s">
        <v>208</v>
      </c>
      <c r="E2" s="14" t="s">
        <v>209</v>
      </c>
      <c r="F2" s="14" t="s">
        <v>210</v>
      </c>
    </row>
    <row r="3" spans="1:6" x14ac:dyDescent="0.3">
      <c r="A3" s="10" t="s">
        <v>23</v>
      </c>
      <c r="B3" s="11" t="s">
        <v>23</v>
      </c>
      <c r="C3" s="27" t="s">
        <v>24</v>
      </c>
      <c r="D3" s="27"/>
      <c r="E3" s="19"/>
      <c r="F3" s="19"/>
    </row>
    <row r="4" spans="1:6" x14ac:dyDescent="0.3">
      <c r="A4" s="28" t="s">
        <v>25</v>
      </c>
      <c r="B4" s="28" t="s">
        <v>26</v>
      </c>
      <c r="C4" s="28" t="s">
        <v>27</v>
      </c>
      <c r="D4" s="28" t="s">
        <v>27</v>
      </c>
      <c r="E4" s="28" t="s">
        <v>27</v>
      </c>
      <c r="F4" s="28" t="s">
        <v>27</v>
      </c>
    </row>
    <row r="5" spans="1:6" x14ac:dyDescent="0.3">
      <c r="A5" s="32" t="s">
        <v>29</v>
      </c>
      <c r="B5" s="32" t="s">
        <v>30</v>
      </c>
      <c r="C5" s="33" t="s">
        <v>31</v>
      </c>
      <c r="D5" s="33" t="s">
        <v>211</v>
      </c>
      <c r="E5" s="33" t="s">
        <v>212</v>
      </c>
      <c r="F5" s="32" t="s">
        <v>213</v>
      </c>
    </row>
    <row r="6" spans="1:6" x14ac:dyDescent="0.3">
      <c r="A6" s="12" t="b">
        <v>1</v>
      </c>
      <c r="B6" s="13" t="s">
        <v>169</v>
      </c>
      <c r="C6" s="15">
        <v>1010101</v>
      </c>
      <c r="D6" s="15">
        <v>1</v>
      </c>
      <c r="E6" s="16">
        <v>25</v>
      </c>
      <c r="F6" s="16">
        <f>C$6+10000</f>
        <v>1020101</v>
      </c>
    </row>
    <row r="7" spans="1:6" x14ac:dyDescent="0.3">
      <c r="A7" s="12" t="b">
        <v>1</v>
      </c>
      <c r="B7" s="13" t="s">
        <v>170</v>
      </c>
      <c r="C7" s="12">
        <f>C6+1</f>
        <v>1010102</v>
      </c>
      <c r="D7" s="12">
        <f>E6+1</f>
        <v>26</v>
      </c>
      <c r="E7" s="16">
        <v>40</v>
      </c>
      <c r="F7" s="16">
        <f>C$6+20000</f>
        <v>1030101</v>
      </c>
    </row>
    <row r="8" spans="1:6" x14ac:dyDescent="0.3">
      <c r="A8" s="12" t="b">
        <v>1</v>
      </c>
      <c r="B8" s="13" t="s">
        <v>171</v>
      </c>
      <c r="C8" s="12">
        <f>C7+1</f>
        <v>1010103</v>
      </c>
      <c r="D8" s="12">
        <f>E7+1</f>
        <v>41</v>
      </c>
      <c r="E8" s="16">
        <v>50</v>
      </c>
      <c r="F8" s="16">
        <f>C$6+30000</f>
        <v>1040101</v>
      </c>
    </row>
  </sheetData>
  <phoneticPr fontId="31" type="noConversion"/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"/>
  <sheetViews>
    <sheetView workbookViewId="0">
      <pane ySplit="5" topLeftCell="A6" activePane="bottomLeft" state="frozen"/>
      <selection pane="bottomLeft" activeCell="F32" sqref="F32"/>
    </sheetView>
  </sheetViews>
  <sheetFormatPr defaultColWidth="9" defaultRowHeight="16.5" customHeight="1" x14ac:dyDescent="0.3"/>
  <cols>
    <col min="1" max="1" width="24.5" bestFit="1" customWidth="1"/>
    <col min="2" max="2" width="30.375" style="1" bestFit="1" customWidth="1"/>
    <col min="3" max="3" width="15.5" style="1" bestFit="1" customWidth="1"/>
    <col min="4" max="4" width="20" style="1" bestFit="1" customWidth="1"/>
    <col min="5" max="5" width="10.5" bestFit="1" customWidth="1"/>
    <col min="6" max="6" width="27.625" customWidth="1"/>
    <col min="7" max="7" width="15.625" bestFit="1" customWidth="1"/>
    <col min="8" max="8" width="9.625" bestFit="1" customWidth="1"/>
    <col min="9" max="9" width="12.75" bestFit="1" customWidth="1"/>
    <col min="10" max="10" width="10.25" bestFit="1" customWidth="1"/>
  </cols>
  <sheetData>
    <row r="1" spans="1:10" ht="16.5" customHeight="1" x14ac:dyDescent="0.3">
      <c r="A1" s="6" t="s">
        <v>172</v>
      </c>
      <c r="B1" s="2" t="s">
        <v>172</v>
      </c>
      <c r="C1" s="7"/>
      <c r="D1" s="7"/>
    </row>
    <row r="2" spans="1:10" ht="50.1" customHeight="1" x14ac:dyDescent="0.3">
      <c r="A2" s="9" t="s">
        <v>70</v>
      </c>
      <c r="B2" s="9" t="s">
        <v>70</v>
      </c>
      <c r="C2" s="9" t="s">
        <v>173</v>
      </c>
      <c r="D2" s="14" t="s">
        <v>174</v>
      </c>
      <c r="E2" s="14" t="s">
        <v>175</v>
      </c>
      <c r="F2" s="17" t="s">
        <v>176</v>
      </c>
      <c r="G2" s="14" t="s">
        <v>177</v>
      </c>
      <c r="H2" s="18" t="s">
        <v>178</v>
      </c>
      <c r="I2" s="18" t="s">
        <v>179</v>
      </c>
      <c r="J2" s="18" t="s">
        <v>180</v>
      </c>
    </row>
    <row r="3" spans="1:10" ht="16.5" customHeight="1" x14ac:dyDescent="0.3">
      <c r="A3" s="10" t="s">
        <v>23</v>
      </c>
      <c r="B3" s="11" t="s">
        <v>23</v>
      </c>
      <c r="C3" s="27" t="s">
        <v>24</v>
      </c>
      <c r="D3" s="27"/>
      <c r="E3" s="27" t="s">
        <v>24</v>
      </c>
      <c r="F3" s="19" t="s">
        <v>24</v>
      </c>
      <c r="G3" s="19" t="s">
        <v>24</v>
      </c>
      <c r="H3" s="20" t="s">
        <v>24</v>
      </c>
      <c r="I3" s="19" t="s">
        <v>24</v>
      </c>
      <c r="J3" s="20" t="s">
        <v>24</v>
      </c>
    </row>
    <row r="4" spans="1:10" ht="40.5" x14ac:dyDescent="0.3">
      <c r="A4" s="28" t="s">
        <v>25</v>
      </c>
      <c r="B4" s="28" t="s">
        <v>26</v>
      </c>
      <c r="C4" s="28" t="s">
        <v>27</v>
      </c>
      <c r="D4" s="28"/>
      <c r="E4" s="28" t="s">
        <v>27</v>
      </c>
      <c r="F4" s="29" t="s">
        <v>27</v>
      </c>
      <c r="G4" s="30" t="s">
        <v>107</v>
      </c>
      <c r="H4" s="31" t="s">
        <v>101</v>
      </c>
      <c r="I4" s="30" t="s">
        <v>107</v>
      </c>
      <c r="J4" s="31" t="s">
        <v>101</v>
      </c>
    </row>
    <row r="5" spans="1:10" ht="16.5" customHeight="1" x14ac:dyDescent="0.3">
      <c r="A5" s="32" t="s">
        <v>29</v>
      </c>
      <c r="B5" s="32" t="s">
        <v>30</v>
      </c>
      <c r="C5" s="33" t="s">
        <v>31</v>
      </c>
      <c r="D5" s="33" t="s">
        <v>181</v>
      </c>
      <c r="E5" s="33" t="s">
        <v>182</v>
      </c>
      <c r="F5" s="34" t="s">
        <v>111</v>
      </c>
      <c r="G5" s="32" t="s">
        <v>183</v>
      </c>
      <c r="H5" s="35" t="s">
        <v>110</v>
      </c>
      <c r="I5" s="36" t="s">
        <v>184</v>
      </c>
      <c r="J5" s="35" t="s">
        <v>185</v>
      </c>
    </row>
    <row r="6" spans="1:10" ht="16.5" customHeight="1" x14ac:dyDescent="0.3">
      <c r="A6" s="37" t="b">
        <v>1</v>
      </c>
      <c r="B6" s="38" t="s">
        <v>186</v>
      </c>
      <c r="C6" s="39">
        <f>D6+1000000</f>
        <v>2020101</v>
      </c>
      <c r="D6" s="39">
        <f>ServantPieceStore_BackUp!$F$6</f>
        <v>1020101</v>
      </c>
      <c r="E6" s="39">
        <v>1</v>
      </c>
      <c r="F6" s="40">
        <v>50</v>
      </c>
      <c r="G6" s="41">
        <v>155101001</v>
      </c>
      <c r="H6" s="40">
        <v>1</v>
      </c>
      <c r="I6" s="40" t="str">
        <f t="shared" ref="I6:I69" si="0">IF(J6&lt;1000,"Gem",IF(J6&gt;1000,"Gold"))</f>
        <v>Gem</v>
      </c>
      <c r="J6" s="40">
        <f>H6*40</f>
        <v>40</v>
      </c>
    </row>
    <row r="7" spans="1:10" ht="16.5" customHeight="1" x14ac:dyDescent="0.3">
      <c r="A7" s="37" t="b">
        <v>1</v>
      </c>
      <c r="B7" s="38" t="s">
        <v>186</v>
      </c>
      <c r="C7" s="40">
        <f>C6+1</f>
        <v>2020102</v>
      </c>
      <c r="D7" s="40">
        <f>ServantPieceStore_BackUp!$F$6</f>
        <v>1020101</v>
      </c>
      <c r="E7" s="40">
        <f>E6</f>
        <v>1</v>
      </c>
      <c r="F7" s="40">
        <v>30</v>
      </c>
      <c r="G7" s="40">
        <f>G6+1</f>
        <v>155101002</v>
      </c>
      <c r="H7" s="40">
        <v>2</v>
      </c>
      <c r="I7" s="40" t="str">
        <f t="shared" si="0"/>
        <v>Gem</v>
      </c>
      <c r="J7" s="40">
        <f>H7*40</f>
        <v>80</v>
      </c>
    </row>
    <row r="8" spans="1:10" ht="16.5" customHeight="1" x14ac:dyDescent="0.3">
      <c r="A8" s="37" t="b">
        <v>1</v>
      </c>
      <c r="B8" s="38" t="s">
        <v>186</v>
      </c>
      <c r="C8" s="40">
        <f>C7+1</f>
        <v>2020103</v>
      </c>
      <c r="D8" s="40">
        <f>ServantPieceStore_BackUp!$F$6</f>
        <v>1020101</v>
      </c>
      <c r="E8" s="40">
        <f>E7</f>
        <v>1</v>
      </c>
      <c r="F8" s="40">
        <v>20</v>
      </c>
      <c r="G8" s="40">
        <f>G7+1</f>
        <v>155101003</v>
      </c>
      <c r="H8" s="40">
        <v>1</v>
      </c>
      <c r="I8" s="40" t="str">
        <f t="shared" si="0"/>
        <v>Gem</v>
      </c>
      <c r="J8" s="40">
        <f>H8*40</f>
        <v>40</v>
      </c>
    </row>
    <row r="9" spans="1:10" ht="16.5" customHeight="1" x14ac:dyDescent="0.3">
      <c r="A9" s="42" t="b">
        <v>1</v>
      </c>
      <c r="B9" s="43" t="s">
        <v>187</v>
      </c>
      <c r="C9" s="39">
        <f>C6+100</f>
        <v>2020201</v>
      </c>
      <c r="D9" s="44">
        <f>ServantPieceStore_BackUp!$F$6</f>
        <v>1020101</v>
      </c>
      <c r="E9" s="39">
        <f>E6+1</f>
        <v>2</v>
      </c>
      <c r="F9" s="44">
        <v>40</v>
      </c>
      <c r="G9" s="45">
        <v>155101001</v>
      </c>
      <c r="H9" s="44">
        <v>1</v>
      </c>
      <c r="I9" s="44" t="str">
        <f t="shared" si="0"/>
        <v>Gold</v>
      </c>
      <c r="J9" s="44">
        <f>H9*10000</f>
        <v>10000</v>
      </c>
    </row>
    <row r="10" spans="1:10" ht="16.5" customHeight="1" x14ac:dyDescent="0.3">
      <c r="A10" s="42" t="b">
        <v>1</v>
      </c>
      <c r="B10" s="43" t="s">
        <v>187</v>
      </c>
      <c r="C10" s="44">
        <f>C9+1</f>
        <v>2020202</v>
      </c>
      <c r="D10" s="44">
        <f>ServantPieceStore_BackUp!$F$6</f>
        <v>1020101</v>
      </c>
      <c r="E10" s="44">
        <f>E9</f>
        <v>2</v>
      </c>
      <c r="F10" s="44">
        <v>30</v>
      </c>
      <c r="G10" s="40">
        <f>G9+1</f>
        <v>155101002</v>
      </c>
      <c r="H10" s="44">
        <v>2</v>
      </c>
      <c r="I10" s="44" t="str">
        <f t="shared" si="0"/>
        <v>Gold</v>
      </c>
      <c r="J10" s="44">
        <f>H10*10000</f>
        <v>20000</v>
      </c>
    </row>
    <row r="11" spans="1:10" ht="16.5" customHeight="1" x14ac:dyDescent="0.3">
      <c r="A11" s="42" t="b">
        <v>1</v>
      </c>
      <c r="B11" s="43" t="s">
        <v>187</v>
      </c>
      <c r="C11" s="44">
        <f>C10+1</f>
        <v>2020203</v>
      </c>
      <c r="D11" s="44">
        <f>ServantPieceStore_BackUp!$F$6</f>
        <v>1020101</v>
      </c>
      <c r="E11" s="44">
        <f>E10</f>
        <v>2</v>
      </c>
      <c r="F11" s="44">
        <v>15</v>
      </c>
      <c r="G11" s="40">
        <f>G10+1</f>
        <v>155101003</v>
      </c>
      <c r="H11" s="44">
        <v>1</v>
      </c>
      <c r="I11" s="44" t="str">
        <f t="shared" si="0"/>
        <v>Gold</v>
      </c>
      <c r="J11" s="44">
        <f>H11*10000</f>
        <v>10000</v>
      </c>
    </row>
    <row r="12" spans="1:10" ht="16.5" customHeight="1" x14ac:dyDescent="0.3">
      <c r="A12" s="42" t="b">
        <v>1</v>
      </c>
      <c r="B12" s="43" t="s">
        <v>187</v>
      </c>
      <c r="C12" s="44">
        <f>C11+1</f>
        <v>2020204</v>
      </c>
      <c r="D12" s="44">
        <f>ServantPieceStore_BackUp!$F$6</f>
        <v>1020101</v>
      </c>
      <c r="E12" s="44">
        <f>E11</f>
        <v>2</v>
      </c>
      <c r="F12" s="44">
        <v>5</v>
      </c>
      <c r="G12" s="40">
        <f>G11+1</f>
        <v>155101004</v>
      </c>
      <c r="H12" s="44">
        <v>2</v>
      </c>
      <c r="I12" s="44" t="str">
        <f t="shared" si="0"/>
        <v>Gem</v>
      </c>
      <c r="J12" s="44">
        <f>H12*40</f>
        <v>80</v>
      </c>
    </row>
    <row r="13" spans="1:10" ht="16.5" customHeight="1" x14ac:dyDescent="0.3">
      <c r="A13" s="42" t="b">
        <v>1</v>
      </c>
      <c r="B13" s="43" t="s">
        <v>187</v>
      </c>
      <c r="C13" s="44">
        <f>C12+1</f>
        <v>2020205</v>
      </c>
      <c r="D13" s="44">
        <f>ServantPieceStore_BackUp!$F$6</f>
        <v>1020101</v>
      </c>
      <c r="E13" s="44">
        <f>E12</f>
        <v>2</v>
      </c>
      <c r="F13" s="44">
        <v>5</v>
      </c>
      <c r="G13" s="40">
        <f>G12+1</f>
        <v>155101005</v>
      </c>
      <c r="H13" s="44">
        <v>1</v>
      </c>
      <c r="I13" s="44" t="str">
        <f t="shared" si="0"/>
        <v>Gem</v>
      </c>
      <c r="J13" s="44">
        <f>H13*40</f>
        <v>40</v>
      </c>
    </row>
    <row r="14" spans="1:10" ht="16.5" customHeight="1" x14ac:dyDescent="0.3">
      <c r="A14" s="42" t="b">
        <v>1</v>
      </c>
      <c r="B14" s="43" t="s">
        <v>187</v>
      </c>
      <c r="C14" s="44">
        <f>C13+1</f>
        <v>2020206</v>
      </c>
      <c r="D14" s="44">
        <f>ServantPieceStore_BackUp!$F$6</f>
        <v>1020101</v>
      </c>
      <c r="E14" s="44">
        <f>E13</f>
        <v>2</v>
      </c>
      <c r="F14" s="44">
        <v>5</v>
      </c>
      <c r="G14" s="40">
        <f>G13+1</f>
        <v>155101006</v>
      </c>
      <c r="H14" s="44">
        <v>2</v>
      </c>
      <c r="I14" s="44" t="str">
        <f t="shared" si="0"/>
        <v>Gem</v>
      </c>
      <c r="J14" s="44">
        <f>H14*40</f>
        <v>80</v>
      </c>
    </row>
    <row r="15" spans="1:10" ht="16.5" customHeight="1" x14ac:dyDescent="0.3">
      <c r="A15" s="37" t="b">
        <v>1</v>
      </c>
      <c r="B15" s="38" t="s">
        <v>188</v>
      </c>
      <c r="C15" s="39">
        <f>C9+100</f>
        <v>2020301</v>
      </c>
      <c r="D15" s="40">
        <f>ServantPieceStore_BackUp!$F$6</f>
        <v>1020101</v>
      </c>
      <c r="E15" s="39">
        <f>E9+1</f>
        <v>3</v>
      </c>
      <c r="F15" s="40">
        <v>20</v>
      </c>
      <c r="G15" s="45">
        <v>155101001</v>
      </c>
      <c r="H15" s="40">
        <v>1</v>
      </c>
      <c r="I15" s="40" t="str">
        <f t="shared" si="0"/>
        <v>Gold</v>
      </c>
      <c r="J15" s="40">
        <f>H15*10000</f>
        <v>10000</v>
      </c>
    </row>
    <row r="16" spans="1:10" ht="16.5" customHeight="1" x14ac:dyDescent="0.3">
      <c r="A16" s="37" t="b">
        <v>1</v>
      </c>
      <c r="B16" s="38" t="s">
        <v>188</v>
      </c>
      <c r="C16" s="40">
        <f>C15+1</f>
        <v>2020302</v>
      </c>
      <c r="D16" s="40">
        <f>ServantPieceStore_BackUp!$F$6</f>
        <v>1020101</v>
      </c>
      <c r="E16" s="40">
        <f>E15</f>
        <v>3</v>
      </c>
      <c r="F16" s="40">
        <v>20</v>
      </c>
      <c r="G16" s="40">
        <f>G15+1</f>
        <v>155101002</v>
      </c>
      <c r="H16" s="40">
        <v>2</v>
      </c>
      <c r="I16" s="40" t="str">
        <f t="shared" si="0"/>
        <v>Gem</v>
      </c>
      <c r="J16" s="40">
        <f>H16*40</f>
        <v>80</v>
      </c>
    </row>
    <row r="17" spans="1:10" ht="16.5" customHeight="1" x14ac:dyDescent="0.3">
      <c r="A17" s="37" t="b">
        <v>1</v>
      </c>
      <c r="B17" s="38" t="s">
        <v>188</v>
      </c>
      <c r="C17" s="40">
        <f>C16+1</f>
        <v>2020303</v>
      </c>
      <c r="D17" s="40">
        <f>ServantPieceStore_BackUp!$F$6</f>
        <v>1020101</v>
      </c>
      <c r="E17" s="40">
        <f>E16</f>
        <v>3</v>
      </c>
      <c r="F17" s="40">
        <v>20</v>
      </c>
      <c r="G17" s="40">
        <f>G16+1</f>
        <v>155101003</v>
      </c>
      <c r="H17" s="40">
        <v>1</v>
      </c>
      <c r="I17" s="40" t="str">
        <f t="shared" si="0"/>
        <v>Gold</v>
      </c>
      <c r="J17" s="40">
        <f>H17*10000</f>
        <v>10000</v>
      </c>
    </row>
    <row r="18" spans="1:10" ht="16.5" customHeight="1" x14ac:dyDescent="0.3">
      <c r="A18" s="37" t="b">
        <v>1</v>
      </c>
      <c r="B18" s="38" t="s">
        <v>188</v>
      </c>
      <c r="C18" s="40">
        <f>C17+1</f>
        <v>2020304</v>
      </c>
      <c r="D18" s="40">
        <f>ServantPieceStore_BackUp!$F$6</f>
        <v>1020101</v>
      </c>
      <c r="E18" s="40">
        <f>E17</f>
        <v>3</v>
      </c>
      <c r="F18" s="40">
        <v>20</v>
      </c>
      <c r="G18" s="40">
        <f>G17+1</f>
        <v>155101004</v>
      </c>
      <c r="H18" s="40">
        <v>2</v>
      </c>
      <c r="I18" s="40" t="str">
        <f t="shared" si="0"/>
        <v>Gem</v>
      </c>
      <c r="J18" s="40">
        <f>H18*40</f>
        <v>80</v>
      </c>
    </row>
    <row r="19" spans="1:10" ht="16.5" customHeight="1" x14ac:dyDescent="0.3">
      <c r="A19" s="37" t="b">
        <v>1</v>
      </c>
      <c r="B19" s="38" t="s">
        <v>188</v>
      </c>
      <c r="C19" s="40">
        <f>C18+1</f>
        <v>2020305</v>
      </c>
      <c r="D19" s="40">
        <f>ServantPieceStore_BackUp!$F$6</f>
        <v>1020101</v>
      </c>
      <c r="E19" s="40">
        <f>E18</f>
        <v>3</v>
      </c>
      <c r="F19" s="40">
        <v>20</v>
      </c>
      <c r="G19" s="40">
        <f>G18+1</f>
        <v>155101005</v>
      </c>
      <c r="H19" s="40">
        <v>1</v>
      </c>
      <c r="I19" s="40" t="str">
        <f t="shared" si="0"/>
        <v>Gold</v>
      </c>
      <c r="J19" s="40">
        <f>H19*10000</f>
        <v>10000</v>
      </c>
    </row>
    <row r="20" spans="1:10" ht="16.5" customHeight="1" x14ac:dyDescent="0.3">
      <c r="A20" s="37" t="b">
        <v>1</v>
      </c>
      <c r="B20" s="38" t="s">
        <v>188</v>
      </c>
      <c r="C20" s="40">
        <f>C19+1</f>
        <v>2020306</v>
      </c>
      <c r="D20" s="40">
        <f>ServantPieceStore_BackUp!$F$6</f>
        <v>1020101</v>
      </c>
      <c r="E20" s="40">
        <f>E19</f>
        <v>3</v>
      </c>
      <c r="F20" s="40">
        <v>20</v>
      </c>
      <c r="G20" s="40">
        <f>G19+1</f>
        <v>155101006</v>
      </c>
      <c r="H20" s="40">
        <v>2</v>
      </c>
      <c r="I20" s="40" t="str">
        <f t="shared" si="0"/>
        <v>Gem</v>
      </c>
      <c r="J20" s="40">
        <f>H20*40</f>
        <v>80</v>
      </c>
    </row>
    <row r="21" spans="1:10" ht="16.5" customHeight="1" x14ac:dyDescent="0.3">
      <c r="A21" s="42" t="b">
        <v>1</v>
      </c>
      <c r="B21" s="43" t="s">
        <v>189</v>
      </c>
      <c r="C21" s="39">
        <f>C15+100</f>
        <v>2020401</v>
      </c>
      <c r="D21" s="44">
        <f>ServantPieceStore_BackUp!$F$6</f>
        <v>1020101</v>
      </c>
      <c r="E21" s="39">
        <f>E15+1</f>
        <v>4</v>
      </c>
      <c r="F21" s="44">
        <v>20</v>
      </c>
      <c r="G21" s="45">
        <v>155101001</v>
      </c>
      <c r="H21" s="44">
        <v>1</v>
      </c>
      <c r="I21" s="44" t="str">
        <f t="shared" si="0"/>
        <v>Gold</v>
      </c>
      <c r="J21" s="44">
        <f>H21*10000</f>
        <v>10000</v>
      </c>
    </row>
    <row r="22" spans="1:10" ht="16.5" customHeight="1" x14ac:dyDescent="0.3">
      <c r="A22" s="42" t="b">
        <v>1</v>
      </c>
      <c r="B22" s="43" t="s">
        <v>189</v>
      </c>
      <c r="C22" s="44">
        <f>C21+1</f>
        <v>2020402</v>
      </c>
      <c r="D22" s="44">
        <f>ServantPieceStore_BackUp!$F$6</f>
        <v>1020101</v>
      </c>
      <c r="E22" s="44">
        <f>E21</f>
        <v>4</v>
      </c>
      <c r="F22" s="44">
        <v>20</v>
      </c>
      <c r="G22" s="40">
        <f>G21+1</f>
        <v>155101002</v>
      </c>
      <c r="H22" s="44">
        <v>2</v>
      </c>
      <c r="I22" s="44" t="str">
        <f t="shared" si="0"/>
        <v>Gem</v>
      </c>
      <c r="J22" s="44">
        <f>H22*40</f>
        <v>80</v>
      </c>
    </row>
    <row r="23" spans="1:10" ht="16.5" customHeight="1" x14ac:dyDescent="0.3">
      <c r="A23" s="42" t="b">
        <v>1</v>
      </c>
      <c r="B23" s="43" t="s">
        <v>189</v>
      </c>
      <c r="C23" s="44">
        <f>C22+1</f>
        <v>2020403</v>
      </c>
      <c r="D23" s="44">
        <f>ServantPieceStore_BackUp!$F$6</f>
        <v>1020101</v>
      </c>
      <c r="E23" s="44">
        <f>E22</f>
        <v>4</v>
      </c>
      <c r="F23" s="44">
        <v>20</v>
      </c>
      <c r="G23" s="40">
        <f>G22+1</f>
        <v>155101003</v>
      </c>
      <c r="H23" s="44">
        <v>1</v>
      </c>
      <c r="I23" s="44" t="str">
        <f t="shared" si="0"/>
        <v>Gold</v>
      </c>
      <c r="J23" s="44">
        <f>H23*10000</f>
        <v>10000</v>
      </c>
    </row>
    <row r="24" spans="1:10" ht="16.5" customHeight="1" x14ac:dyDescent="0.3">
      <c r="A24" s="42" t="b">
        <v>1</v>
      </c>
      <c r="B24" s="43" t="s">
        <v>189</v>
      </c>
      <c r="C24" s="44">
        <f>C23+1</f>
        <v>2020404</v>
      </c>
      <c r="D24" s="44">
        <f>ServantPieceStore_BackUp!$F$6</f>
        <v>1020101</v>
      </c>
      <c r="E24" s="44">
        <f>E23</f>
        <v>4</v>
      </c>
      <c r="F24" s="44">
        <v>20</v>
      </c>
      <c r="G24" s="40">
        <f>G23+1</f>
        <v>155101004</v>
      </c>
      <c r="H24" s="44">
        <v>2</v>
      </c>
      <c r="I24" s="44" t="str">
        <f t="shared" si="0"/>
        <v>Gem</v>
      </c>
      <c r="J24" s="44">
        <f>H24*40</f>
        <v>80</v>
      </c>
    </row>
    <row r="25" spans="1:10" ht="16.5" customHeight="1" x14ac:dyDescent="0.3">
      <c r="A25" s="42" t="b">
        <v>1</v>
      </c>
      <c r="B25" s="43" t="s">
        <v>189</v>
      </c>
      <c r="C25" s="44">
        <f>C24+1</f>
        <v>2020405</v>
      </c>
      <c r="D25" s="44">
        <f>ServantPieceStore_BackUp!$F$6</f>
        <v>1020101</v>
      </c>
      <c r="E25" s="44">
        <f>E24</f>
        <v>4</v>
      </c>
      <c r="F25" s="44">
        <v>20</v>
      </c>
      <c r="G25" s="40">
        <f>G24+1</f>
        <v>155101005</v>
      </c>
      <c r="H25" s="44">
        <v>1</v>
      </c>
      <c r="I25" s="44" t="str">
        <f t="shared" si="0"/>
        <v>Gold</v>
      </c>
      <c r="J25" s="44">
        <f>H25*10000</f>
        <v>10000</v>
      </c>
    </row>
    <row r="26" spans="1:10" ht="16.5" customHeight="1" x14ac:dyDescent="0.3">
      <c r="A26" s="42" t="b">
        <v>1</v>
      </c>
      <c r="B26" s="43" t="s">
        <v>189</v>
      </c>
      <c r="C26" s="44">
        <f>C25+1</f>
        <v>2020406</v>
      </c>
      <c r="D26" s="44">
        <f>ServantPieceStore_BackUp!$F$6</f>
        <v>1020101</v>
      </c>
      <c r="E26" s="44">
        <f>E25</f>
        <v>4</v>
      </c>
      <c r="F26" s="44">
        <v>20</v>
      </c>
      <c r="G26" s="40">
        <f>G25+1</f>
        <v>155101006</v>
      </c>
      <c r="H26" s="44">
        <v>2</v>
      </c>
      <c r="I26" s="44" t="str">
        <f t="shared" si="0"/>
        <v>Gem</v>
      </c>
      <c r="J26" s="44">
        <f>H26*40</f>
        <v>80</v>
      </c>
    </row>
    <row r="27" spans="1:10" ht="16.5" customHeight="1" x14ac:dyDescent="0.3">
      <c r="A27" s="37" t="b">
        <v>1</v>
      </c>
      <c r="B27" s="38" t="s">
        <v>190</v>
      </c>
      <c r="C27" s="39">
        <f>C21+100</f>
        <v>2020501</v>
      </c>
      <c r="D27" s="40">
        <f>ServantPieceStore_BackUp!$F$6</f>
        <v>1020101</v>
      </c>
      <c r="E27" s="39">
        <f>E21+1</f>
        <v>5</v>
      </c>
      <c r="F27" s="40">
        <v>5</v>
      </c>
      <c r="G27" s="45">
        <v>155101001</v>
      </c>
      <c r="H27" s="40">
        <v>1</v>
      </c>
      <c r="I27" s="40" t="str">
        <f t="shared" si="0"/>
        <v>Gold</v>
      </c>
      <c r="J27" s="40">
        <f>H27*10000</f>
        <v>10000</v>
      </c>
    </row>
    <row r="28" spans="1:10" ht="16.5" customHeight="1" x14ac:dyDescent="0.3">
      <c r="A28" s="37" t="b">
        <v>1</v>
      </c>
      <c r="B28" s="38" t="s">
        <v>190</v>
      </c>
      <c r="C28" s="40">
        <f>C27+1</f>
        <v>2020502</v>
      </c>
      <c r="D28" s="40">
        <f>ServantPieceStore_BackUp!$F$6</f>
        <v>1020101</v>
      </c>
      <c r="E28" s="40">
        <f>E27</f>
        <v>5</v>
      </c>
      <c r="F28" s="40">
        <v>5</v>
      </c>
      <c r="G28" s="40">
        <f>G27+1</f>
        <v>155101002</v>
      </c>
      <c r="H28" s="40">
        <v>2</v>
      </c>
      <c r="I28" s="40" t="str">
        <f t="shared" si="0"/>
        <v>Gem</v>
      </c>
      <c r="J28" s="40">
        <f>H28*40</f>
        <v>80</v>
      </c>
    </row>
    <row r="29" spans="1:10" ht="16.5" customHeight="1" x14ac:dyDescent="0.3">
      <c r="A29" s="37" t="b">
        <v>1</v>
      </c>
      <c r="B29" s="38" t="s">
        <v>190</v>
      </c>
      <c r="C29" s="40">
        <f>C28+1</f>
        <v>2020503</v>
      </c>
      <c r="D29" s="40">
        <f>ServantPieceStore_BackUp!$F$6</f>
        <v>1020101</v>
      </c>
      <c r="E29" s="40">
        <f>E28</f>
        <v>5</v>
      </c>
      <c r="F29" s="40">
        <v>5</v>
      </c>
      <c r="G29" s="40">
        <f>G28+1</f>
        <v>155101003</v>
      </c>
      <c r="H29" s="40">
        <v>1</v>
      </c>
      <c r="I29" s="40" t="str">
        <f t="shared" si="0"/>
        <v>Gold</v>
      </c>
      <c r="J29" s="40">
        <f>H29*10000</f>
        <v>10000</v>
      </c>
    </row>
    <row r="30" spans="1:10" ht="16.5" customHeight="1" x14ac:dyDescent="0.3">
      <c r="A30" s="37" t="b">
        <v>1</v>
      </c>
      <c r="B30" s="38" t="s">
        <v>190</v>
      </c>
      <c r="C30" s="40">
        <f>C29+1</f>
        <v>2020504</v>
      </c>
      <c r="D30" s="40">
        <f>ServantPieceStore_BackUp!$F$6</f>
        <v>1020101</v>
      </c>
      <c r="E30" s="40">
        <f>E29</f>
        <v>5</v>
      </c>
      <c r="F30" s="40">
        <v>15</v>
      </c>
      <c r="G30" s="40">
        <f>G29+1</f>
        <v>155101004</v>
      </c>
      <c r="H30" s="40">
        <v>2</v>
      </c>
      <c r="I30" s="40" t="str">
        <f t="shared" si="0"/>
        <v>Gem</v>
      </c>
      <c r="J30" s="40">
        <f>H30*40</f>
        <v>80</v>
      </c>
    </row>
    <row r="31" spans="1:10" ht="16.5" customHeight="1" x14ac:dyDescent="0.3">
      <c r="A31" s="37" t="b">
        <v>1</v>
      </c>
      <c r="B31" s="38" t="s">
        <v>190</v>
      </c>
      <c r="C31" s="40">
        <f>C30+1</f>
        <v>2020505</v>
      </c>
      <c r="D31" s="40">
        <f>ServantPieceStore_BackUp!$F$6</f>
        <v>1020101</v>
      </c>
      <c r="E31" s="40">
        <f>E30</f>
        <v>5</v>
      </c>
      <c r="F31" s="40">
        <v>30</v>
      </c>
      <c r="G31" s="40">
        <f>G30+1</f>
        <v>155101005</v>
      </c>
      <c r="H31" s="40">
        <v>1</v>
      </c>
      <c r="I31" s="40" t="str">
        <f t="shared" si="0"/>
        <v>Gold</v>
      </c>
      <c r="J31" s="40">
        <f>H31*10000</f>
        <v>10000</v>
      </c>
    </row>
    <row r="32" spans="1:10" ht="16.5" customHeight="1" x14ac:dyDescent="0.3">
      <c r="A32" s="37" t="b">
        <v>1</v>
      </c>
      <c r="B32" s="38" t="s">
        <v>190</v>
      </c>
      <c r="C32" s="40">
        <f>C31+1</f>
        <v>2020506</v>
      </c>
      <c r="D32" s="40">
        <f>ServantPieceStore_BackUp!$F$6</f>
        <v>1020101</v>
      </c>
      <c r="E32" s="40">
        <f>E31</f>
        <v>5</v>
      </c>
      <c r="F32" s="40">
        <v>40</v>
      </c>
      <c r="G32" s="40">
        <f>G31+1</f>
        <v>155101006</v>
      </c>
      <c r="H32" s="40">
        <v>2</v>
      </c>
      <c r="I32" s="40" t="str">
        <f t="shared" si="0"/>
        <v>Gem</v>
      </c>
      <c r="J32" s="40">
        <f t="shared" ref="J32:J39" si="1">H32*40</f>
        <v>80</v>
      </c>
    </row>
    <row r="33" spans="1:10" ht="16.5" customHeight="1" x14ac:dyDescent="0.3">
      <c r="A33" s="42" t="b">
        <v>1</v>
      </c>
      <c r="B33" s="43" t="s">
        <v>191</v>
      </c>
      <c r="C33" s="39">
        <f>C27+100</f>
        <v>2020601</v>
      </c>
      <c r="D33" s="44">
        <f>ServantPieceStore_BackUp!$F$6</f>
        <v>1020101</v>
      </c>
      <c r="E33" s="39">
        <f>E27+1</f>
        <v>6</v>
      </c>
      <c r="F33" s="44">
        <v>50</v>
      </c>
      <c r="G33" s="45">
        <v>155101004</v>
      </c>
      <c r="H33" s="44">
        <v>1</v>
      </c>
      <c r="I33" s="44" t="str">
        <f t="shared" si="0"/>
        <v>Gem</v>
      </c>
      <c r="J33" s="44">
        <f t="shared" si="1"/>
        <v>40</v>
      </c>
    </row>
    <row r="34" spans="1:10" ht="16.5" customHeight="1" x14ac:dyDescent="0.3">
      <c r="A34" s="42" t="b">
        <v>1</v>
      </c>
      <c r="B34" s="43" t="s">
        <v>191</v>
      </c>
      <c r="C34" s="44">
        <f>C33+1</f>
        <v>2020602</v>
      </c>
      <c r="D34" s="44">
        <f>ServantPieceStore_BackUp!$F$6</f>
        <v>1020101</v>
      </c>
      <c r="E34" s="44">
        <f>E33</f>
        <v>6</v>
      </c>
      <c r="F34" s="44">
        <v>30</v>
      </c>
      <c r="G34" s="40">
        <f>G33+1</f>
        <v>155101005</v>
      </c>
      <c r="H34" s="44">
        <v>2</v>
      </c>
      <c r="I34" s="44" t="str">
        <f t="shared" si="0"/>
        <v>Gem</v>
      </c>
      <c r="J34" s="44">
        <f t="shared" si="1"/>
        <v>80</v>
      </c>
    </row>
    <row r="35" spans="1:10" ht="16.5" customHeight="1" x14ac:dyDescent="0.3">
      <c r="A35" s="42" t="b">
        <v>1</v>
      </c>
      <c r="B35" s="43" t="s">
        <v>191</v>
      </c>
      <c r="C35" s="44">
        <f>C34+1</f>
        <v>2020603</v>
      </c>
      <c r="D35" s="44">
        <f>ServantPieceStore_BackUp!$F$6</f>
        <v>1020101</v>
      </c>
      <c r="E35" s="44">
        <f>E34</f>
        <v>6</v>
      </c>
      <c r="F35" s="44">
        <v>20</v>
      </c>
      <c r="G35" s="40">
        <f>G34+1</f>
        <v>155101006</v>
      </c>
      <c r="H35" s="44">
        <v>1</v>
      </c>
      <c r="I35" s="44" t="str">
        <f t="shared" si="0"/>
        <v>Gem</v>
      </c>
      <c r="J35" s="44">
        <f t="shared" si="1"/>
        <v>40</v>
      </c>
    </row>
    <row r="36" spans="1:10" ht="16.5" customHeight="1" x14ac:dyDescent="0.3">
      <c r="A36" s="37" t="b">
        <v>1</v>
      </c>
      <c r="B36" s="38" t="s">
        <v>192</v>
      </c>
      <c r="C36" s="39">
        <f>D36+1000000</f>
        <v>2030101</v>
      </c>
      <c r="D36" s="39">
        <f>ServantPieceStore_BackUp!$F$7</f>
        <v>1030101</v>
      </c>
      <c r="E36" s="39">
        <v>1</v>
      </c>
      <c r="F36" s="40">
        <v>50</v>
      </c>
      <c r="G36" s="45" t="s">
        <v>130</v>
      </c>
      <c r="H36" s="40">
        <v>1</v>
      </c>
      <c r="I36" s="40" t="str">
        <f t="shared" si="0"/>
        <v>Gem</v>
      </c>
      <c r="J36" s="40">
        <f t="shared" si="1"/>
        <v>40</v>
      </c>
    </row>
    <row r="37" spans="1:10" ht="16.5" customHeight="1" x14ac:dyDescent="0.3">
      <c r="A37" s="37" t="b">
        <v>1</v>
      </c>
      <c r="B37" s="38" t="s">
        <v>192</v>
      </c>
      <c r="C37" s="40">
        <f>C36+1</f>
        <v>2030102</v>
      </c>
      <c r="D37" s="40">
        <f>ServantPieceStore_BackUp!$F$7</f>
        <v>1030101</v>
      </c>
      <c r="E37" s="40">
        <f>E36</f>
        <v>1</v>
      </c>
      <c r="F37" s="40">
        <v>30</v>
      </c>
      <c r="G37" s="40">
        <f>G36+1</f>
        <v>155102002</v>
      </c>
      <c r="H37" s="40">
        <v>2</v>
      </c>
      <c r="I37" s="40" t="str">
        <f t="shared" si="0"/>
        <v>Gem</v>
      </c>
      <c r="J37" s="40">
        <f t="shared" si="1"/>
        <v>80</v>
      </c>
    </row>
    <row r="38" spans="1:10" ht="16.5" customHeight="1" x14ac:dyDescent="0.3">
      <c r="A38" s="37" t="b">
        <v>1</v>
      </c>
      <c r="B38" s="38" t="s">
        <v>192</v>
      </c>
      <c r="C38" s="40">
        <f>C37+1</f>
        <v>2030103</v>
      </c>
      <c r="D38" s="40">
        <f>ServantPieceStore_BackUp!$F$7</f>
        <v>1030101</v>
      </c>
      <c r="E38" s="40">
        <f>E37</f>
        <v>1</v>
      </c>
      <c r="F38" s="40">
        <v>20</v>
      </c>
      <c r="G38" s="40">
        <f>G37+1</f>
        <v>155102003</v>
      </c>
      <c r="H38" s="40">
        <v>2</v>
      </c>
      <c r="I38" s="40" t="str">
        <f t="shared" si="0"/>
        <v>Gem</v>
      </c>
      <c r="J38" s="40">
        <f t="shared" si="1"/>
        <v>80</v>
      </c>
    </row>
    <row r="39" spans="1:10" ht="16.5" customHeight="1" x14ac:dyDescent="0.3">
      <c r="A39" s="46" t="b">
        <v>1</v>
      </c>
      <c r="B39" s="47" t="s">
        <v>193</v>
      </c>
      <c r="C39" s="39">
        <f>C36+100</f>
        <v>2030201</v>
      </c>
      <c r="D39" s="48">
        <f>ServantPieceStore_BackUp!$F$7</f>
        <v>1030101</v>
      </c>
      <c r="E39" s="39">
        <f>E36+1</f>
        <v>2</v>
      </c>
      <c r="F39" s="48">
        <v>40</v>
      </c>
      <c r="G39" s="45">
        <v>155101001</v>
      </c>
      <c r="H39" s="48">
        <v>1</v>
      </c>
      <c r="I39" s="48" t="str">
        <f t="shared" si="0"/>
        <v>Gem</v>
      </c>
      <c r="J39" s="48">
        <f t="shared" si="1"/>
        <v>40</v>
      </c>
    </row>
    <row r="40" spans="1:10" ht="16.5" customHeight="1" x14ac:dyDescent="0.3">
      <c r="A40" s="46" t="b">
        <v>1</v>
      </c>
      <c r="B40" s="47" t="s">
        <v>193</v>
      </c>
      <c r="C40" s="48">
        <f t="shared" ref="C40:C50" si="2">C39+1</f>
        <v>2030202</v>
      </c>
      <c r="D40" s="48">
        <f>ServantPieceStore_BackUp!$F$7</f>
        <v>1030101</v>
      </c>
      <c r="E40" s="48">
        <f t="shared" ref="E40:E50" si="3">E39</f>
        <v>2</v>
      </c>
      <c r="F40" s="48">
        <v>30</v>
      </c>
      <c r="G40" s="40">
        <f>G39+1</f>
        <v>155101002</v>
      </c>
      <c r="H40" s="48">
        <v>2</v>
      </c>
      <c r="I40" s="48" t="str">
        <f t="shared" si="0"/>
        <v>Gold</v>
      </c>
      <c r="J40" s="48">
        <f>H40*10000</f>
        <v>20000</v>
      </c>
    </row>
    <row r="41" spans="1:10" ht="16.5" customHeight="1" x14ac:dyDescent="0.3">
      <c r="A41" s="46" t="b">
        <v>1</v>
      </c>
      <c r="B41" s="47" t="s">
        <v>193</v>
      </c>
      <c r="C41" s="48">
        <f t="shared" si="2"/>
        <v>2030203</v>
      </c>
      <c r="D41" s="48">
        <f>ServantPieceStore_BackUp!$F$7</f>
        <v>1030101</v>
      </c>
      <c r="E41" s="48">
        <f t="shared" si="3"/>
        <v>2</v>
      </c>
      <c r="F41" s="48">
        <v>20</v>
      </c>
      <c r="G41" s="40">
        <f>G40+1</f>
        <v>155101003</v>
      </c>
      <c r="H41" s="48">
        <v>2</v>
      </c>
      <c r="I41" s="48" t="str">
        <f t="shared" si="0"/>
        <v>Gem</v>
      </c>
      <c r="J41" s="48">
        <f>H41*40</f>
        <v>80</v>
      </c>
    </row>
    <row r="42" spans="1:10" ht="16.5" customHeight="1" x14ac:dyDescent="0.3">
      <c r="A42" s="46" t="b">
        <v>1</v>
      </c>
      <c r="B42" s="47" t="s">
        <v>193</v>
      </c>
      <c r="C42" s="48">
        <f t="shared" si="2"/>
        <v>2030204</v>
      </c>
      <c r="D42" s="48">
        <f>ServantPieceStore_BackUp!$F$7</f>
        <v>1030101</v>
      </c>
      <c r="E42" s="48">
        <f t="shared" si="3"/>
        <v>2</v>
      </c>
      <c r="F42" s="48">
        <v>20</v>
      </c>
      <c r="G42" s="40">
        <f>G41+1</f>
        <v>155101004</v>
      </c>
      <c r="H42" s="48">
        <v>1</v>
      </c>
      <c r="I42" s="48" t="str">
        <f t="shared" si="0"/>
        <v>Gold</v>
      </c>
      <c r="J42" s="48">
        <f>H42*10000</f>
        <v>10000</v>
      </c>
    </row>
    <row r="43" spans="1:10" ht="16.5" customHeight="1" x14ac:dyDescent="0.3">
      <c r="A43" s="46" t="b">
        <v>1</v>
      </c>
      <c r="B43" s="47" t="s">
        <v>193</v>
      </c>
      <c r="C43" s="48">
        <f t="shared" si="2"/>
        <v>2030205</v>
      </c>
      <c r="D43" s="48">
        <f>ServantPieceStore_BackUp!$F$7</f>
        <v>1030101</v>
      </c>
      <c r="E43" s="48">
        <f t="shared" si="3"/>
        <v>2</v>
      </c>
      <c r="F43" s="48">
        <v>10</v>
      </c>
      <c r="G43" s="40">
        <f>G42+1</f>
        <v>155101005</v>
      </c>
      <c r="H43" s="48">
        <v>2</v>
      </c>
      <c r="I43" s="48" t="str">
        <f t="shared" si="0"/>
        <v>Gem</v>
      </c>
      <c r="J43" s="48">
        <f>H43*40</f>
        <v>80</v>
      </c>
    </row>
    <row r="44" spans="1:10" ht="16.5" customHeight="1" x14ac:dyDescent="0.3">
      <c r="A44" s="46" t="b">
        <v>1</v>
      </c>
      <c r="B44" s="47" t="s">
        <v>193</v>
      </c>
      <c r="C44" s="48">
        <f t="shared" si="2"/>
        <v>2030206</v>
      </c>
      <c r="D44" s="48">
        <f>ServantPieceStore_BackUp!$F$7</f>
        <v>1030101</v>
      </c>
      <c r="E44" s="48">
        <f t="shared" si="3"/>
        <v>2</v>
      </c>
      <c r="F44" s="48">
        <v>10</v>
      </c>
      <c r="G44" s="40">
        <f>G43+1</f>
        <v>155101006</v>
      </c>
      <c r="H44" s="48">
        <v>2</v>
      </c>
      <c r="I44" s="48" t="str">
        <f t="shared" si="0"/>
        <v>Gold</v>
      </c>
      <c r="J44" s="48">
        <f>H44*10000</f>
        <v>20000</v>
      </c>
    </row>
    <row r="45" spans="1:10" ht="16.5" customHeight="1" x14ac:dyDescent="0.3">
      <c r="A45" s="46" t="b">
        <v>1</v>
      </c>
      <c r="B45" s="47" t="s">
        <v>193</v>
      </c>
      <c r="C45" s="48">
        <f t="shared" si="2"/>
        <v>2030207</v>
      </c>
      <c r="D45" s="48">
        <f>ServantPieceStore_BackUp!$F$7</f>
        <v>1030101</v>
      </c>
      <c r="E45" s="48">
        <f t="shared" si="3"/>
        <v>2</v>
      </c>
      <c r="F45" s="48">
        <v>10</v>
      </c>
      <c r="G45" s="45" t="s">
        <v>130</v>
      </c>
      <c r="H45" s="48">
        <v>1</v>
      </c>
      <c r="I45" s="48" t="str">
        <f t="shared" si="0"/>
        <v>Gem</v>
      </c>
      <c r="J45" s="48">
        <f>H45*40</f>
        <v>40</v>
      </c>
    </row>
    <row r="46" spans="1:10" ht="16.5" customHeight="1" x14ac:dyDescent="0.3">
      <c r="A46" s="46" t="b">
        <v>1</v>
      </c>
      <c r="B46" s="47" t="s">
        <v>193</v>
      </c>
      <c r="C46" s="48">
        <f t="shared" si="2"/>
        <v>2030208</v>
      </c>
      <c r="D46" s="48">
        <f>ServantPieceStore_BackUp!$F$7</f>
        <v>1030101</v>
      </c>
      <c r="E46" s="48">
        <f t="shared" si="3"/>
        <v>2</v>
      </c>
      <c r="F46" s="48">
        <v>5</v>
      </c>
      <c r="G46" s="40">
        <f>G45+1</f>
        <v>155102002</v>
      </c>
      <c r="H46" s="48">
        <v>2</v>
      </c>
      <c r="I46" s="48" t="str">
        <f t="shared" si="0"/>
        <v>Gem</v>
      </c>
      <c r="J46" s="48">
        <f>H46*40</f>
        <v>80</v>
      </c>
    </row>
    <row r="47" spans="1:10" ht="16.5" customHeight="1" x14ac:dyDescent="0.3">
      <c r="A47" s="46" t="b">
        <v>1</v>
      </c>
      <c r="B47" s="47" t="s">
        <v>193</v>
      </c>
      <c r="C47" s="48">
        <f t="shared" si="2"/>
        <v>2030209</v>
      </c>
      <c r="D47" s="48">
        <f>ServantPieceStore_BackUp!$F$7</f>
        <v>1030101</v>
      </c>
      <c r="E47" s="48">
        <f t="shared" si="3"/>
        <v>2</v>
      </c>
      <c r="F47" s="48">
        <v>5</v>
      </c>
      <c r="G47" s="40">
        <f>G46+1</f>
        <v>155102003</v>
      </c>
      <c r="H47" s="48">
        <v>2</v>
      </c>
      <c r="I47" s="48" t="str">
        <f t="shared" si="0"/>
        <v>Gold</v>
      </c>
      <c r="J47" s="48">
        <f>H47*10000</f>
        <v>20000</v>
      </c>
    </row>
    <row r="48" spans="1:10" ht="16.5" customHeight="1" x14ac:dyDescent="0.3">
      <c r="A48" s="46" t="b">
        <v>1</v>
      </c>
      <c r="B48" s="47" t="s">
        <v>193</v>
      </c>
      <c r="C48" s="48">
        <f t="shared" si="2"/>
        <v>2030210</v>
      </c>
      <c r="D48" s="48">
        <f>ServantPieceStore_BackUp!$F$7</f>
        <v>1030101</v>
      </c>
      <c r="E48" s="48">
        <f t="shared" si="3"/>
        <v>2</v>
      </c>
      <c r="F48" s="48">
        <v>5</v>
      </c>
      <c r="G48" s="40">
        <f>G47+1</f>
        <v>155102004</v>
      </c>
      <c r="H48" s="48">
        <v>1</v>
      </c>
      <c r="I48" s="48" t="str">
        <f t="shared" si="0"/>
        <v>Gem</v>
      </c>
      <c r="J48" s="48">
        <f>H48*40</f>
        <v>40</v>
      </c>
    </row>
    <row r="49" spans="1:10" ht="16.5" customHeight="1" x14ac:dyDescent="0.3">
      <c r="A49" s="46" t="b">
        <v>1</v>
      </c>
      <c r="B49" s="47" t="s">
        <v>193</v>
      </c>
      <c r="C49" s="48">
        <f t="shared" si="2"/>
        <v>2030211</v>
      </c>
      <c r="D49" s="48">
        <f>ServantPieceStore_BackUp!$F$7</f>
        <v>1030101</v>
      </c>
      <c r="E49" s="48">
        <f t="shared" si="3"/>
        <v>2</v>
      </c>
      <c r="F49" s="48">
        <v>5</v>
      </c>
      <c r="G49" s="40">
        <f>G48+1</f>
        <v>155102005</v>
      </c>
      <c r="H49" s="48">
        <v>2</v>
      </c>
      <c r="I49" s="48" t="str">
        <f t="shared" si="0"/>
        <v>Gem</v>
      </c>
      <c r="J49" s="48">
        <f>H49*40</f>
        <v>80</v>
      </c>
    </row>
    <row r="50" spans="1:10" ht="16.5" customHeight="1" x14ac:dyDescent="0.3">
      <c r="A50" s="46" t="b">
        <v>1</v>
      </c>
      <c r="B50" s="47" t="s">
        <v>193</v>
      </c>
      <c r="C50" s="48">
        <f t="shared" si="2"/>
        <v>2030212</v>
      </c>
      <c r="D50" s="48">
        <f>ServantPieceStore_BackUp!$F$7</f>
        <v>1030101</v>
      </c>
      <c r="E50" s="48">
        <f t="shared" si="3"/>
        <v>2</v>
      </c>
      <c r="F50" s="48">
        <v>5</v>
      </c>
      <c r="G50" s="40">
        <f>G49+1</f>
        <v>155102006</v>
      </c>
      <c r="H50" s="48">
        <v>2</v>
      </c>
      <c r="I50" s="48" t="str">
        <f t="shared" si="0"/>
        <v>Gold</v>
      </c>
      <c r="J50" s="48">
        <f>H50*10000</f>
        <v>20000</v>
      </c>
    </row>
    <row r="51" spans="1:10" ht="16.5" customHeight="1" x14ac:dyDescent="0.3">
      <c r="A51" s="37" t="b">
        <v>1</v>
      </c>
      <c r="B51" s="38" t="s">
        <v>194</v>
      </c>
      <c r="C51" s="39">
        <f>C39+100</f>
        <v>2030301</v>
      </c>
      <c r="D51" s="40">
        <f>ServantPieceStore_BackUp!$F$7</f>
        <v>1030101</v>
      </c>
      <c r="E51" s="39">
        <f>E39+1</f>
        <v>3</v>
      </c>
      <c r="F51" s="40">
        <v>20</v>
      </c>
      <c r="G51" s="45">
        <v>155101001</v>
      </c>
      <c r="H51" s="40">
        <v>1</v>
      </c>
      <c r="I51" s="40" t="str">
        <f t="shared" si="0"/>
        <v>Gem</v>
      </c>
      <c r="J51" s="40">
        <f>H51*40</f>
        <v>40</v>
      </c>
    </row>
    <row r="52" spans="1:10" ht="16.5" customHeight="1" x14ac:dyDescent="0.3">
      <c r="A52" s="37" t="b">
        <v>1</v>
      </c>
      <c r="B52" s="38" t="s">
        <v>194</v>
      </c>
      <c r="C52" s="40">
        <f t="shared" ref="C52:C62" si="4">C51+1</f>
        <v>2030302</v>
      </c>
      <c r="D52" s="40">
        <f>ServantPieceStore_BackUp!$F$7</f>
        <v>1030101</v>
      </c>
      <c r="E52" s="40">
        <f t="shared" ref="E52:E62" si="5">E51</f>
        <v>3</v>
      </c>
      <c r="F52" s="40">
        <v>20</v>
      </c>
      <c r="G52" s="40">
        <f>G51+1</f>
        <v>155101002</v>
      </c>
      <c r="H52" s="40">
        <v>2</v>
      </c>
      <c r="I52" s="40" t="str">
        <f t="shared" si="0"/>
        <v>Gold</v>
      </c>
      <c r="J52" s="40">
        <f>H52*10000</f>
        <v>20000</v>
      </c>
    </row>
    <row r="53" spans="1:10" ht="16.5" customHeight="1" x14ac:dyDescent="0.3">
      <c r="A53" s="37" t="b">
        <v>1</v>
      </c>
      <c r="B53" s="38" t="s">
        <v>194</v>
      </c>
      <c r="C53" s="40">
        <f t="shared" si="4"/>
        <v>2030303</v>
      </c>
      <c r="D53" s="40">
        <f>ServantPieceStore_BackUp!$F$7</f>
        <v>1030101</v>
      </c>
      <c r="E53" s="40">
        <f t="shared" si="5"/>
        <v>3</v>
      </c>
      <c r="F53" s="40">
        <v>20</v>
      </c>
      <c r="G53" s="40">
        <f>G52+1</f>
        <v>155101003</v>
      </c>
      <c r="H53" s="40">
        <v>2</v>
      </c>
      <c r="I53" s="40" t="str">
        <f t="shared" si="0"/>
        <v>Gem</v>
      </c>
      <c r="J53" s="40">
        <f>H53*40</f>
        <v>80</v>
      </c>
    </row>
    <row r="54" spans="1:10" ht="16.5" customHeight="1" x14ac:dyDescent="0.3">
      <c r="A54" s="37" t="b">
        <v>1</v>
      </c>
      <c r="B54" s="38" t="s">
        <v>194</v>
      </c>
      <c r="C54" s="40">
        <f t="shared" si="4"/>
        <v>2030304</v>
      </c>
      <c r="D54" s="40">
        <f>ServantPieceStore_BackUp!$F$7</f>
        <v>1030101</v>
      </c>
      <c r="E54" s="40">
        <f t="shared" si="5"/>
        <v>3</v>
      </c>
      <c r="F54" s="40">
        <v>20</v>
      </c>
      <c r="G54" s="40">
        <f>G53+1</f>
        <v>155101004</v>
      </c>
      <c r="H54" s="40">
        <v>1</v>
      </c>
      <c r="I54" s="40" t="str">
        <f t="shared" si="0"/>
        <v>Gold</v>
      </c>
      <c r="J54" s="40">
        <f>H54*10000</f>
        <v>10000</v>
      </c>
    </row>
    <row r="55" spans="1:10" ht="16.5" customHeight="1" x14ac:dyDescent="0.3">
      <c r="A55" s="37" t="b">
        <v>1</v>
      </c>
      <c r="B55" s="38" t="s">
        <v>194</v>
      </c>
      <c r="C55" s="40">
        <f t="shared" si="4"/>
        <v>2030305</v>
      </c>
      <c r="D55" s="40">
        <f>ServantPieceStore_BackUp!$F$7</f>
        <v>1030101</v>
      </c>
      <c r="E55" s="40">
        <f t="shared" si="5"/>
        <v>3</v>
      </c>
      <c r="F55" s="40">
        <v>20</v>
      </c>
      <c r="G55" s="40">
        <f>G54+1</f>
        <v>155101005</v>
      </c>
      <c r="H55" s="40">
        <v>2</v>
      </c>
      <c r="I55" s="40" t="str">
        <f t="shared" si="0"/>
        <v>Gem</v>
      </c>
      <c r="J55" s="40">
        <f>H55*40</f>
        <v>80</v>
      </c>
    </row>
    <row r="56" spans="1:10" ht="16.5" customHeight="1" x14ac:dyDescent="0.3">
      <c r="A56" s="37" t="b">
        <v>1</v>
      </c>
      <c r="B56" s="38" t="s">
        <v>194</v>
      </c>
      <c r="C56" s="40">
        <f t="shared" si="4"/>
        <v>2030306</v>
      </c>
      <c r="D56" s="40">
        <f>ServantPieceStore_BackUp!$F$7</f>
        <v>1030101</v>
      </c>
      <c r="E56" s="40">
        <f t="shared" si="5"/>
        <v>3</v>
      </c>
      <c r="F56" s="40">
        <v>20</v>
      </c>
      <c r="G56" s="40">
        <f>G55+1</f>
        <v>155101006</v>
      </c>
      <c r="H56" s="40">
        <v>2</v>
      </c>
      <c r="I56" s="40" t="str">
        <f t="shared" si="0"/>
        <v>Gold</v>
      </c>
      <c r="J56" s="40">
        <f>H56*10000</f>
        <v>20000</v>
      </c>
    </row>
    <row r="57" spans="1:10" ht="16.5" customHeight="1" x14ac:dyDescent="0.3">
      <c r="A57" s="37" t="b">
        <v>1</v>
      </c>
      <c r="B57" s="38" t="s">
        <v>194</v>
      </c>
      <c r="C57" s="40">
        <f t="shared" si="4"/>
        <v>2030307</v>
      </c>
      <c r="D57" s="40">
        <f>ServantPieceStore_BackUp!$F$7</f>
        <v>1030101</v>
      </c>
      <c r="E57" s="40">
        <f t="shared" si="5"/>
        <v>3</v>
      </c>
      <c r="F57" s="40">
        <v>20</v>
      </c>
      <c r="G57" s="45" t="s">
        <v>130</v>
      </c>
      <c r="H57" s="40">
        <v>1</v>
      </c>
      <c r="I57" s="40" t="str">
        <f t="shared" si="0"/>
        <v>Gem</v>
      </c>
      <c r="J57" s="40">
        <f>H57*40</f>
        <v>40</v>
      </c>
    </row>
    <row r="58" spans="1:10" ht="16.5" customHeight="1" x14ac:dyDescent="0.3">
      <c r="A58" s="37" t="b">
        <v>1</v>
      </c>
      <c r="B58" s="38" t="s">
        <v>194</v>
      </c>
      <c r="C58" s="40">
        <f t="shared" si="4"/>
        <v>2030308</v>
      </c>
      <c r="D58" s="40">
        <f>ServantPieceStore_BackUp!$F$7</f>
        <v>1030101</v>
      </c>
      <c r="E58" s="40">
        <f t="shared" si="5"/>
        <v>3</v>
      </c>
      <c r="F58" s="40">
        <v>20</v>
      </c>
      <c r="G58" s="40">
        <f>G57+1</f>
        <v>155102002</v>
      </c>
      <c r="H58" s="40">
        <v>2</v>
      </c>
      <c r="I58" s="40" t="str">
        <f t="shared" si="0"/>
        <v>Gem</v>
      </c>
      <c r="J58" s="40">
        <f>H58*40</f>
        <v>80</v>
      </c>
    </row>
    <row r="59" spans="1:10" ht="16.5" customHeight="1" x14ac:dyDescent="0.3">
      <c r="A59" s="37" t="b">
        <v>1</v>
      </c>
      <c r="B59" s="38" t="s">
        <v>194</v>
      </c>
      <c r="C59" s="40">
        <f t="shared" si="4"/>
        <v>2030309</v>
      </c>
      <c r="D59" s="40">
        <f>ServantPieceStore_BackUp!$F$7</f>
        <v>1030101</v>
      </c>
      <c r="E59" s="40">
        <f t="shared" si="5"/>
        <v>3</v>
      </c>
      <c r="F59" s="40">
        <v>20</v>
      </c>
      <c r="G59" s="40">
        <f>G58+1</f>
        <v>155102003</v>
      </c>
      <c r="H59" s="40">
        <v>2</v>
      </c>
      <c r="I59" s="40" t="str">
        <f t="shared" si="0"/>
        <v>Gold</v>
      </c>
      <c r="J59" s="40">
        <f>H59*10000</f>
        <v>20000</v>
      </c>
    </row>
    <row r="60" spans="1:10" ht="16.5" customHeight="1" x14ac:dyDescent="0.3">
      <c r="A60" s="37" t="b">
        <v>1</v>
      </c>
      <c r="B60" s="38" t="s">
        <v>194</v>
      </c>
      <c r="C60" s="40">
        <f t="shared" si="4"/>
        <v>2030310</v>
      </c>
      <c r="D60" s="40">
        <f>ServantPieceStore_BackUp!$F$7</f>
        <v>1030101</v>
      </c>
      <c r="E60" s="40">
        <f t="shared" si="5"/>
        <v>3</v>
      </c>
      <c r="F60" s="40">
        <v>20</v>
      </c>
      <c r="G60" s="40">
        <f>G59+1</f>
        <v>155102004</v>
      </c>
      <c r="H60" s="40">
        <v>1</v>
      </c>
      <c r="I60" s="40" t="str">
        <f t="shared" si="0"/>
        <v>Gem</v>
      </c>
      <c r="J60" s="40">
        <f>H60*40</f>
        <v>40</v>
      </c>
    </row>
    <row r="61" spans="1:10" ht="16.5" customHeight="1" x14ac:dyDescent="0.3">
      <c r="A61" s="37" t="b">
        <v>1</v>
      </c>
      <c r="B61" s="38" t="s">
        <v>194</v>
      </c>
      <c r="C61" s="40">
        <f t="shared" si="4"/>
        <v>2030311</v>
      </c>
      <c r="D61" s="40">
        <f>ServantPieceStore_BackUp!$F$7</f>
        <v>1030101</v>
      </c>
      <c r="E61" s="40">
        <f t="shared" si="5"/>
        <v>3</v>
      </c>
      <c r="F61" s="40">
        <v>20</v>
      </c>
      <c r="G61" s="40">
        <f>G60+1</f>
        <v>155102005</v>
      </c>
      <c r="H61" s="40">
        <v>2</v>
      </c>
      <c r="I61" s="40" t="str">
        <f t="shared" si="0"/>
        <v>Gem</v>
      </c>
      <c r="J61" s="40">
        <f>H61*40</f>
        <v>80</v>
      </c>
    </row>
    <row r="62" spans="1:10" ht="16.5" customHeight="1" x14ac:dyDescent="0.3">
      <c r="A62" s="37" t="b">
        <v>1</v>
      </c>
      <c r="B62" s="38" t="s">
        <v>194</v>
      </c>
      <c r="C62" s="40">
        <f t="shared" si="4"/>
        <v>2030312</v>
      </c>
      <c r="D62" s="40">
        <f>ServantPieceStore_BackUp!$F$7</f>
        <v>1030101</v>
      </c>
      <c r="E62" s="40">
        <f t="shared" si="5"/>
        <v>3</v>
      </c>
      <c r="F62" s="40">
        <v>20</v>
      </c>
      <c r="G62" s="40">
        <f>G61+1</f>
        <v>155102006</v>
      </c>
      <c r="H62" s="40">
        <v>2</v>
      </c>
      <c r="I62" s="40" t="str">
        <f t="shared" si="0"/>
        <v>Gold</v>
      </c>
      <c r="J62" s="40">
        <f>H62*10000</f>
        <v>20000</v>
      </c>
    </row>
    <row r="63" spans="1:10" ht="16.5" customHeight="1" x14ac:dyDescent="0.3">
      <c r="A63" s="46" t="b">
        <v>1</v>
      </c>
      <c r="B63" s="47" t="s">
        <v>195</v>
      </c>
      <c r="C63" s="39">
        <f>C51+100</f>
        <v>2030401</v>
      </c>
      <c r="D63" s="48">
        <f>ServantPieceStore_BackUp!$F$7</f>
        <v>1030101</v>
      </c>
      <c r="E63" s="39">
        <f>E51+1</f>
        <v>4</v>
      </c>
      <c r="F63" s="48">
        <v>20</v>
      </c>
      <c r="G63" s="45">
        <v>155101001</v>
      </c>
      <c r="H63" s="48">
        <v>1</v>
      </c>
      <c r="I63" s="48" t="str">
        <f t="shared" si="0"/>
        <v>Gem</v>
      </c>
      <c r="J63" s="48">
        <f>H63*40</f>
        <v>40</v>
      </c>
    </row>
    <row r="64" spans="1:10" ht="16.5" customHeight="1" x14ac:dyDescent="0.3">
      <c r="A64" s="46" t="b">
        <v>1</v>
      </c>
      <c r="B64" s="47" t="s">
        <v>195</v>
      </c>
      <c r="C64" s="48">
        <f t="shared" ref="C64:C74" si="6">C63+1</f>
        <v>2030402</v>
      </c>
      <c r="D64" s="48">
        <f>ServantPieceStore_BackUp!$F$7</f>
        <v>1030101</v>
      </c>
      <c r="E64" s="48">
        <f t="shared" ref="E64:E74" si="7">E63</f>
        <v>4</v>
      </c>
      <c r="F64" s="48">
        <v>20</v>
      </c>
      <c r="G64" s="40">
        <f>G63+1</f>
        <v>155101002</v>
      </c>
      <c r="H64" s="48">
        <v>2</v>
      </c>
      <c r="I64" s="48" t="str">
        <f t="shared" si="0"/>
        <v>Gold</v>
      </c>
      <c r="J64" s="48">
        <f>H64*10000</f>
        <v>20000</v>
      </c>
    </row>
    <row r="65" spans="1:10" ht="16.5" customHeight="1" x14ac:dyDescent="0.3">
      <c r="A65" s="46" t="b">
        <v>1</v>
      </c>
      <c r="B65" s="47" t="s">
        <v>195</v>
      </c>
      <c r="C65" s="48">
        <f t="shared" si="6"/>
        <v>2030403</v>
      </c>
      <c r="D65" s="48">
        <f>ServantPieceStore_BackUp!$F$7</f>
        <v>1030101</v>
      </c>
      <c r="E65" s="48">
        <f t="shared" si="7"/>
        <v>4</v>
      </c>
      <c r="F65" s="48">
        <v>20</v>
      </c>
      <c r="G65" s="40">
        <f>G64+1</f>
        <v>155101003</v>
      </c>
      <c r="H65" s="48">
        <v>2</v>
      </c>
      <c r="I65" s="48" t="str">
        <f t="shared" si="0"/>
        <v>Gem</v>
      </c>
      <c r="J65" s="48">
        <f>H65*40</f>
        <v>80</v>
      </c>
    </row>
    <row r="66" spans="1:10" ht="16.5" customHeight="1" x14ac:dyDescent="0.3">
      <c r="A66" s="46" t="b">
        <v>1</v>
      </c>
      <c r="B66" s="47" t="s">
        <v>195</v>
      </c>
      <c r="C66" s="48">
        <f t="shared" si="6"/>
        <v>2030404</v>
      </c>
      <c r="D66" s="48">
        <f>ServantPieceStore_BackUp!$F$7</f>
        <v>1030101</v>
      </c>
      <c r="E66" s="48">
        <f t="shared" si="7"/>
        <v>4</v>
      </c>
      <c r="F66" s="48">
        <v>20</v>
      </c>
      <c r="G66" s="40">
        <f>G65+1</f>
        <v>155101004</v>
      </c>
      <c r="H66" s="48">
        <v>1</v>
      </c>
      <c r="I66" s="48" t="str">
        <f t="shared" si="0"/>
        <v>Gold</v>
      </c>
      <c r="J66" s="48">
        <f>H66*10000</f>
        <v>10000</v>
      </c>
    </row>
    <row r="67" spans="1:10" ht="16.5" customHeight="1" x14ac:dyDescent="0.3">
      <c r="A67" s="46" t="b">
        <v>1</v>
      </c>
      <c r="B67" s="47" t="s">
        <v>195</v>
      </c>
      <c r="C67" s="48">
        <f t="shared" si="6"/>
        <v>2030405</v>
      </c>
      <c r="D67" s="48">
        <f>ServantPieceStore_BackUp!$F$7</f>
        <v>1030101</v>
      </c>
      <c r="E67" s="48">
        <f t="shared" si="7"/>
        <v>4</v>
      </c>
      <c r="F67" s="48">
        <v>20</v>
      </c>
      <c r="G67" s="40">
        <f>G66+1</f>
        <v>155101005</v>
      </c>
      <c r="H67" s="48">
        <v>2</v>
      </c>
      <c r="I67" s="48" t="str">
        <f t="shared" si="0"/>
        <v>Gem</v>
      </c>
      <c r="J67" s="48">
        <f>H67*40</f>
        <v>80</v>
      </c>
    </row>
    <row r="68" spans="1:10" ht="16.5" customHeight="1" x14ac:dyDescent="0.3">
      <c r="A68" s="46" t="b">
        <v>1</v>
      </c>
      <c r="B68" s="47" t="s">
        <v>195</v>
      </c>
      <c r="C68" s="48">
        <f t="shared" si="6"/>
        <v>2030406</v>
      </c>
      <c r="D68" s="48">
        <f>ServantPieceStore_BackUp!$F$7</f>
        <v>1030101</v>
      </c>
      <c r="E68" s="48">
        <f t="shared" si="7"/>
        <v>4</v>
      </c>
      <c r="F68" s="48">
        <v>20</v>
      </c>
      <c r="G68" s="40">
        <f>G67+1</f>
        <v>155101006</v>
      </c>
      <c r="H68" s="48">
        <v>2</v>
      </c>
      <c r="I68" s="48" t="str">
        <f t="shared" si="0"/>
        <v>Gold</v>
      </c>
      <c r="J68" s="48">
        <f>H68*10000</f>
        <v>20000</v>
      </c>
    </row>
    <row r="69" spans="1:10" ht="16.5" customHeight="1" x14ac:dyDescent="0.3">
      <c r="A69" s="46" t="b">
        <v>1</v>
      </c>
      <c r="B69" s="47" t="s">
        <v>195</v>
      </c>
      <c r="C69" s="48">
        <f t="shared" si="6"/>
        <v>2030407</v>
      </c>
      <c r="D69" s="48">
        <f>ServantPieceStore_BackUp!$F$7</f>
        <v>1030101</v>
      </c>
      <c r="E69" s="48">
        <f t="shared" si="7"/>
        <v>4</v>
      </c>
      <c r="F69" s="48">
        <v>20</v>
      </c>
      <c r="G69" s="45" t="s">
        <v>130</v>
      </c>
      <c r="H69" s="48">
        <v>1</v>
      </c>
      <c r="I69" s="48" t="str">
        <f t="shared" si="0"/>
        <v>Gem</v>
      </c>
      <c r="J69" s="48">
        <f>H69*40</f>
        <v>40</v>
      </c>
    </row>
    <row r="70" spans="1:10" ht="16.5" customHeight="1" x14ac:dyDescent="0.3">
      <c r="A70" s="46" t="b">
        <v>1</v>
      </c>
      <c r="B70" s="47" t="s">
        <v>195</v>
      </c>
      <c r="C70" s="48">
        <f t="shared" si="6"/>
        <v>2030408</v>
      </c>
      <c r="D70" s="48">
        <f>ServantPieceStore_BackUp!$F$7</f>
        <v>1030101</v>
      </c>
      <c r="E70" s="48">
        <f t="shared" si="7"/>
        <v>4</v>
      </c>
      <c r="F70" s="48">
        <v>20</v>
      </c>
      <c r="G70" s="40">
        <f>G69+1</f>
        <v>155102002</v>
      </c>
      <c r="H70" s="48">
        <v>2</v>
      </c>
      <c r="I70" s="48" t="str">
        <f t="shared" ref="I70:I133" si="8">IF(J70&lt;1000,"Gem",IF(J70&gt;1000,"Gold"))</f>
        <v>Gem</v>
      </c>
      <c r="J70" s="48">
        <f>H70*40</f>
        <v>80</v>
      </c>
    </row>
    <row r="71" spans="1:10" ht="16.5" customHeight="1" x14ac:dyDescent="0.3">
      <c r="A71" s="46" t="b">
        <v>1</v>
      </c>
      <c r="B71" s="47" t="s">
        <v>195</v>
      </c>
      <c r="C71" s="48">
        <f t="shared" si="6"/>
        <v>2030409</v>
      </c>
      <c r="D71" s="48">
        <f>ServantPieceStore_BackUp!$F$7</f>
        <v>1030101</v>
      </c>
      <c r="E71" s="48">
        <f t="shared" si="7"/>
        <v>4</v>
      </c>
      <c r="F71" s="48">
        <v>20</v>
      </c>
      <c r="G71" s="40">
        <f>G70+1</f>
        <v>155102003</v>
      </c>
      <c r="H71" s="48">
        <v>2</v>
      </c>
      <c r="I71" s="48" t="str">
        <f t="shared" si="8"/>
        <v>Gold</v>
      </c>
      <c r="J71" s="48">
        <f>H71*10000</f>
        <v>20000</v>
      </c>
    </row>
    <row r="72" spans="1:10" ht="16.5" customHeight="1" x14ac:dyDescent="0.3">
      <c r="A72" s="46" t="b">
        <v>1</v>
      </c>
      <c r="B72" s="47" t="s">
        <v>195</v>
      </c>
      <c r="C72" s="48">
        <f t="shared" si="6"/>
        <v>2030410</v>
      </c>
      <c r="D72" s="48">
        <f>ServantPieceStore_BackUp!$F$7</f>
        <v>1030101</v>
      </c>
      <c r="E72" s="48">
        <f t="shared" si="7"/>
        <v>4</v>
      </c>
      <c r="F72" s="48">
        <v>20</v>
      </c>
      <c r="G72" s="40">
        <f>G71+1</f>
        <v>155102004</v>
      </c>
      <c r="H72" s="48">
        <v>1</v>
      </c>
      <c r="I72" s="48" t="str">
        <f t="shared" si="8"/>
        <v>Gem</v>
      </c>
      <c r="J72" s="48">
        <f>H72*40</f>
        <v>40</v>
      </c>
    </row>
    <row r="73" spans="1:10" ht="16.5" customHeight="1" x14ac:dyDescent="0.3">
      <c r="A73" s="46" t="b">
        <v>1</v>
      </c>
      <c r="B73" s="47" t="s">
        <v>195</v>
      </c>
      <c r="C73" s="48">
        <f t="shared" si="6"/>
        <v>2030411</v>
      </c>
      <c r="D73" s="48">
        <f>ServantPieceStore_BackUp!$F$7</f>
        <v>1030101</v>
      </c>
      <c r="E73" s="48">
        <f t="shared" si="7"/>
        <v>4</v>
      </c>
      <c r="F73" s="48">
        <v>20</v>
      </c>
      <c r="G73" s="40">
        <f>G72+1</f>
        <v>155102005</v>
      </c>
      <c r="H73" s="48">
        <v>2</v>
      </c>
      <c r="I73" s="48" t="str">
        <f t="shared" si="8"/>
        <v>Gem</v>
      </c>
      <c r="J73" s="48">
        <f>H73*40</f>
        <v>80</v>
      </c>
    </row>
    <row r="74" spans="1:10" ht="16.5" customHeight="1" x14ac:dyDescent="0.3">
      <c r="A74" s="46" t="b">
        <v>1</v>
      </c>
      <c r="B74" s="47" t="s">
        <v>195</v>
      </c>
      <c r="C74" s="48">
        <f t="shared" si="6"/>
        <v>2030412</v>
      </c>
      <c r="D74" s="48">
        <f>ServantPieceStore_BackUp!$F$7</f>
        <v>1030101</v>
      </c>
      <c r="E74" s="48">
        <f t="shared" si="7"/>
        <v>4</v>
      </c>
      <c r="F74" s="48">
        <v>20</v>
      </c>
      <c r="G74" s="40">
        <f>G73+1</f>
        <v>155102006</v>
      </c>
      <c r="H74" s="48">
        <v>2</v>
      </c>
      <c r="I74" s="48" t="str">
        <f t="shared" si="8"/>
        <v>Gold</v>
      </c>
      <c r="J74" s="48">
        <f>H74*10000</f>
        <v>20000</v>
      </c>
    </row>
    <row r="75" spans="1:10" ht="16.5" customHeight="1" x14ac:dyDescent="0.3">
      <c r="A75" s="37" t="b">
        <v>1</v>
      </c>
      <c r="B75" s="38" t="s">
        <v>196</v>
      </c>
      <c r="C75" s="39">
        <f>C63+100</f>
        <v>2030501</v>
      </c>
      <c r="D75" s="40">
        <f>ServantPieceStore_BackUp!$F$7</f>
        <v>1030101</v>
      </c>
      <c r="E75" s="39">
        <f>E63+1</f>
        <v>5</v>
      </c>
      <c r="F75" s="40">
        <v>5</v>
      </c>
      <c r="G75" s="45">
        <v>155101001</v>
      </c>
      <c r="H75" s="40">
        <v>1</v>
      </c>
      <c r="I75" s="40" t="str">
        <f t="shared" si="8"/>
        <v>Gem</v>
      </c>
      <c r="J75" s="40">
        <f>H75*40</f>
        <v>40</v>
      </c>
    </row>
    <row r="76" spans="1:10" ht="16.5" customHeight="1" x14ac:dyDescent="0.3">
      <c r="A76" s="37" t="b">
        <v>1</v>
      </c>
      <c r="B76" s="38" t="s">
        <v>196</v>
      </c>
      <c r="C76" s="40">
        <f t="shared" ref="C76:C86" si="9">C75+1</f>
        <v>2030502</v>
      </c>
      <c r="D76" s="40">
        <f>ServantPieceStore_BackUp!$F$7</f>
        <v>1030101</v>
      </c>
      <c r="E76" s="40">
        <f t="shared" ref="E76:E86" si="10">E75</f>
        <v>5</v>
      </c>
      <c r="F76" s="40">
        <v>5</v>
      </c>
      <c r="G76" s="40">
        <f>G75+1</f>
        <v>155101002</v>
      </c>
      <c r="H76" s="40">
        <v>2</v>
      </c>
      <c r="I76" s="40" t="str">
        <f t="shared" si="8"/>
        <v>Gold</v>
      </c>
      <c r="J76" s="40">
        <f>H76*10000</f>
        <v>20000</v>
      </c>
    </row>
    <row r="77" spans="1:10" ht="16.5" customHeight="1" x14ac:dyDescent="0.3">
      <c r="A77" s="37" t="b">
        <v>1</v>
      </c>
      <c r="B77" s="38" t="s">
        <v>196</v>
      </c>
      <c r="C77" s="40">
        <f t="shared" si="9"/>
        <v>2030503</v>
      </c>
      <c r="D77" s="40">
        <f>ServantPieceStore_BackUp!$F$7</f>
        <v>1030101</v>
      </c>
      <c r="E77" s="40">
        <f t="shared" si="10"/>
        <v>5</v>
      </c>
      <c r="F77" s="40">
        <v>5</v>
      </c>
      <c r="G77" s="40">
        <f>G76+1</f>
        <v>155101003</v>
      </c>
      <c r="H77" s="40">
        <v>2</v>
      </c>
      <c r="I77" s="40" t="str">
        <f t="shared" si="8"/>
        <v>Gem</v>
      </c>
      <c r="J77" s="40">
        <f>H77*40</f>
        <v>80</v>
      </c>
    </row>
    <row r="78" spans="1:10" ht="16.5" customHeight="1" x14ac:dyDescent="0.3">
      <c r="A78" s="37" t="b">
        <v>1</v>
      </c>
      <c r="B78" s="38" t="s">
        <v>196</v>
      </c>
      <c r="C78" s="40">
        <f t="shared" si="9"/>
        <v>2030504</v>
      </c>
      <c r="D78" s="40">
        <f>ServantPieceStore_BackUp!$F$7</f>
        <v>1030101</v>
      </c>
      <c r="E78" s="40">
        <f t="shared" si="10"/>
        <v>5</v>
      </c>
      <c r="F78" s="40">
        <v>5</v>
      </c>
      <c r="G78" s="40">
        <f>G77+1</f>
        <v>155101004</v>
      </c>
      <c r="H78" s="40">
        <v>1</v>
      </c>
      <c r="I78" s="40" t="str">
        <f t="shared" si="8"/>
        <v>Gold</v>
      </c>
      <c r="J78" s="40">
        <f>H78*10000</f>
        <v>10000</v>
      </c>
    </row>
    <row r="79" spans="1:10" ht="16.5" customHeight="1" x14ac:dyDescent="0.3">
      <c r="A79" s="37" t="b">
        <v>1</v>
      </c>
      <c r="B79" s="38" t="s">
        <v>196</v>
      </c>
      <c r="C79" s="40">
        <f t="shared" si="9"/>
        <v>2030505</v>
      </c>
      <c r="D79" s="40">
        <f>ServantPieceStore_BackUp!$F$7</f>
        <v>1030101</v>
      </c>
      <c r="E79" s="40">
        <f t="shared" si="10"/>
        <v>5</v>
      </c>
      <c r="F79" s="40">
        <v>5</v>
      </c>
      <c r="G79" s="40">
        <f>G78+1</f>
        <v>155101005</v>
      </c>
      <c r="H79" s="40">
        <v>2</v>
      </c>
      <c r="I79" s="40" t="str">
        <f t="shared" si="8"/>
        <v>Gem</v>
      </c>
      <c r="J79" s="40">
        <f>H79*40</f>
        <v>80</v>
      </c>
    </row>
    <row r="80" spans="1:10" ht="16.5" customHeight="1" x14ac:dyDescent="0.3">
      <c r="A80" s="37" t="b">
        <v>1</v>
      </c>
      <c r="B80" s="38" t="s">
        <v>196</v>
      </c>
      <c r="C80" s="40">
        <f t="shared" si="9"/>
        <v>2030506</v>
      </c>
      <c r="D80" s="40">
        <f>ServantPieceStore_BackUp!$F$7</f>
        <v>1030101</v>
      </c>
      <c r="E80" s="40">
        <f t="shared" si="10"/>
        <v>5</v>
      </c>
      <c r="F80" s="40">
        <v>10</v>
      </c>
      <c r="G80" s="40">
        <f>G79+1</f>
        <v>155101006</v>
      </c>
      <c r="H80" s="40">
        <v>2</v>
      </c>
      <c r="I80" s="40" t="str">
        <f t="shared" si="8"/>
        <v>Gold</v>
      </c>
      <c r="J80" s="40">
        <f>H80*10000</f>
        <v>20000</v>
      </c>
    </row>
    <row r="81" spans="1:10" ht="16.5" customHeight="1" x14ac:dyDescent="0.3">
      <c r="A81" s="37" t="b">
        <v>1</v>
      </c>
      <c r="B81" s="38" t="s">
        <v>196</v>
      </c>
      <c r="C81" s="40">
        <f t="shared" si="9"/>
        <v>2030507</v>
      </c>
      <c r="D81" s="40">
        <f>ServantPieceStore_BackUp!$F$7</f>
        <v>1030101</v>
      </c>
      <c r="E81" s="40">
        <f t="shared" si="10"/>
        <v>5</v>
      </c>
      <c r="F81" s="40">
        <v>10</v>
      </c>
      <c r="G81" s="45" t="s">
        <v>130</v>
      </c>
      <c r="H81" s="40">
        <v>1</v>
      </c>
      <c r="I81" s="40" t="str">
        <f t="shared" si="8"/>
        <v>Gem</v>
      </c>
      <c r="J81" s="40">
        <f>H81*40</f>
        <v>40</v>
      </c>
    </row>
    <row r="82" spans="1:10" ht="16.5" customHeight="1" x14ac:dyDescent="0.3">
      <c r="A82" s="37" t="b">
        <v>1</v>
      </c>
      <c r="B82" s="38" t="s">
        <v>196</v>
      </c>
      <c r="C82" s="40">
        <f t="shared" si="9"/>
        <v>2030508</v>
      </c>
      <c r="D82" s="40">
        <f>ServantPieceStore_BackUp!$F$7</f>
        <v>1030101</v>
      </c>
      <c r="E82" s="40">
        <f t="shared" si="10"/>
        <v>5</v>
      </c>
      <c r="F82" s="40">
        <v>10</v>
      </c>
      <c r="G82" s="40">
        <f>G81+1</f>
        <v>155102002</v>
      </c>
      <c r="H82" s="40">
        <v>2</v>
      </c>
      <c r="I82" s="40" t="str">
        <f t="shared" si="8"/>
        <v>Gem</v>
      </c>
      <c r="J82" s="40">
        <f>H82*40</f>
        <v>80</v>
      </c>
    </row>
    <row r="83" spans="1:10" ht="16.5" customHeight="1" x14ac:dyDescent="0.3">
      <c r="A83" s="37" t="b">
        <v>1</v>
      </c>
      <c r="B83" s="38" t="s">
        <v>196</v>
      </c>
      <c r="C83" s="40">
        <f t="shared" si="9"/>
        <v>2030509</v>
      </c>
      <c r="D83" s="40">
        <f>ServantPieceStore_BackUp!$F$7</f>
        <v>1030101</v>
      </c>
      <c r="E83" s="40">
        <f t="shared" si="10"/>
        <v>5</v>
      </c>
      <c r="F83" s="40">
        <v>20</v>
      </c>
      <c r="G83" s="40">
        <f>G82+1</f>
        <v>155102003</v>
      </c>
      <c r="H83" s="40">
        <v>2</v>
      </c>
      <c r="I83" s="40" t="str">
        <f t="shared" si="8"/>
        <v>Gold</v>
      </c>
      <c r="J83" s="40">
        <f>H83*10000</f>
        <v>20000</v>
      </c>
    </row>
    <row r="84" spans="1:10" ht="16.5" customHeight="1" x14ac:dyDescent="0.3">
      <c r="A84" s="37" t="b">
        <v>1</v>
      </c>
      <c r="B84" s="38" t="s">
        <v>196</v>
      </c>
      <c r="C84" s="40">
        <f t="shared" si="9"/>
        <v>2030510</v>
      </c>
      <c r="D84" s="40">
        <f>ServantPieceStore_BackUp!$F$7</f>
        <v>1030101</v>
      </c>
      <c r="E84" s="40">
        <f t="shared" si="10"/>
        <v>5</v>
      </c>
      <c r="F84" s="40">
        <v>20</v>
      </c>
      <c r="G84" s="40">
        <f>G83+1</f>
        <v>155102004</v>
      </c>
      <c r="H84" s="40">
        <v>1</v>
      </c>
      <c r="I84" s="40" t="str">
        <f t="shared" si="8"/>
        <v>Gem</v>
      </c>
      <c r="J84" s="40">
        <f>H84*40</f>
        <v>40</v>
      </c>
    </row>
    <row r="85" spans="1:10" ht="16.5" customHeight="1" x14ac:dyDescent="0.3">
      <c r="A85" s="37" t="b">
        <v>1</v>
      </c>
      <c r="B85" s="38" t="s">
        <v>196</v>
      </c>
      <c r="C85" s="40">
        <f t="shared" si="9"/>
        <v>2030511</v>
      </c>
      <c r="D85" s="40">
        <f>ServantPieceStore_BackUp!$F$7</f>
        <v>1030101</v>
      </c>
      <c r="E85" s="40">
        <f t="shared" si="10"/>
        <v>5</v>
      </c>
      <c r="F85" s="40">
        <v>30</v>
      </c>
      <c r="G85" s="40">
        <f>G84+1</f>
        <v>155102005</v>
      </c>
      <c r="H85" s="40">
        <v>2</v>
      </c>
      <c r="I85" s="40" t="str">
        <f t="shared" si="8"/>
        <v>Gem</v>
      </c>
      <c r="J85" s="40">
        <f>H85*40</f>
        <v>80</v>
      </c>
    </row>
    <row r="86" spans="1:10" ht="16.5" customHeight="1" x14ac:dyDescent="0.3">
      <c r="A86" s="37" t="b">
        <v>1</v>
      </c>
      <c r="B86" s="38" t="s">
        <v>196</v>
      </c>
      <c r="C86" s="40">
        <f t="shared" si="9"/>
        <v>2030512</v>
      </c>
      <c r="D86" s="40">
        <f>ServantPieceStore_BackUp!$F$7</f>
        <v>1030101</v>
      </c>
      <c r="E86" s="40">
        <f t="shared" si="10"/>
        <v>5</v>
      </c>
      <c r="F86" s="40">
        <v>40</v>
      </c>
      <c r="G86" s="40">
        <f>G85+1</f>
        <v>155102006</v>
      </c>
      <c r="H86" s="40">
        <v>2</v>
      </c>
      <c r="I86" s="40" t="str">
        <f t="shared" si="8"/>
        <v>Gold</v>
      </c>
      <c r="J86" s="40">
        <f>H86*10000</f>
        <v>20000</v>
      </c>
    </row>
    <row r="87" spans="1:10" ht="16.5" customHeight="1" x14ac:dyDescent="0.3">
      <c r="A87" s="46" t="b">
        <v>1</v>
      </c>
      <c r="B87" s="47" t="s">
        <v>197</v>
      </c>
      <c r="C87" s="39">
        <f>C75+100</f>
        <v>2030601</v>
      </c>
      <c r="D87" s="48">
        <f>ServantPieceStore_BackUp!$F$7</f>
        <v>1030101</v>
      </c>
      <c r="E87" s="39">
        <f>E75+1</f>
        <v>6</v>
      </c>
      <c r="F87" s="48">
        <v>10</v>
      </c>
      <c r="G87" s="41" t="s">
        <v>114</v>
      </c>
      <c r="H87" s="48">
        <v>1</v>
      </c>
      <c r="I87" s="48" t="str">
        <f t="shared" si="8"/>
        <v>Gem</v>
      </c>
      <c r="J87" s="48">
        <f t="shared" ref="J87:J92" si="11">H87*40</f>
        <v>40</v>
      </c>
    </row>
    <row r="88" spans="1:10" ht="16.5" customHeight="1" x14ac:dyDescent="0.3">
      <c r="A88" s="46" t="b">
        <v>1</v>
      </c>
      <c r="B88" s="47" t="s">
        <v>197</v>
      </c>
      <c r="C88" s="48">
        <f>C87+1</f>
        <v>2030602</v>
      </c>
      <c r="D88" s="48">
        <f>ServantPieceStore_BackUp!$F$7</f>
        <v>1030101</v>
      </c>
      <c r="E88" s="48">
        <f>E87</f>
        <v>6</v>
      </c>
      <c r="F88" s="48">
        <v>10</v>
      </c>
      <c r="G88" s="40">
        <f>G87+1</f>
        <v>155102005</v>
      </c>
      <c r="H88" s="48">
        <v>2</v>
      </c>
      <c r="I88" s="48" t="str">
        <f t="shared" si="8"/>
        <v>Gem</v>
      </c>
      <c r="J88" s="48">
        <f t="shared" si="11"/>
        <v>80</v>
      </c>
    </row>
    <row r="89" spans="1:10" ht="16.5" customHeight="1" x14ac:dyDescent="0.3">
      <c r="A89" s="46" t="b">
        <v>1</v>
      </c>
      <c r="B89" s="47" t="s">
        <v>197</v>
      </c>
      <c r="C89" s="48">
        <f>C88+1</f>
        <v>2030603</v>
      </c>
      <c r="D89" s="48">
        <f>ServantPieceStore_BackUp!$F$7</f>
        <v>1030101</v>
      </c>
      <c r="E89" s="48">
        <f>E88</f>
        <v>6</v>
      </c>
      <c r="F89" s="48">
        <v>20</v>
      </c>
      <c r="G89" s="40">
        <f>G88+1</f>
        <v>155102006</v>
      </c>
      <c r="H89" s="48">
        <v>2</v>
      </c>
      <c r="I89" s="48" t="str">
        <f t="shared" si="8"/>
        <v>Gem</v>
      </c>
      <c r="J89" s="48">
        <f t="shared" si="11"/>
        <v>80</v>
      </c>
    </row>
    <row r="90" spans="1:10" ht="16.5" customHeight="1" x14ac:dyDescent="0.3">
      <c r="A90" s="37" t="b">
        <v>1</v>
      </c>
      <c r="B90" s="38" t="s">
        <v>198</v>
      </c>
      <c r="C90" s="39">
        <f>D90+1000000</f>
        <v>2040101</v>
      </c>
      <c r="D90" s="39">
        <f>ServantPieceStore_BackUp!$F$8</f>
        <v>1040101</v>
      </c>
      <c r="E90" s="39">
        <v>1</v>
      </c>
      <c r="F90" s="40">
        <v>50</v>
      </c>
      <c r="G90" s="45" t="s">
        <v>131</v>
      </c>
      <c r="H90" s="40">
        <v>3</v>
      </c>
      <c r="I90" s="40" t="str">
        <f t="shared" si="8"/>
        <v>Gem</v>
      </c>
      <c r="J90" s="40">
        <f t="shared" si="11"/>
        <v>120</v>
      </c>
    </row>
    <row r="91" spans="1:10" ht="16.5" customHeight="1" x14ac:dyDescent="0.3">
      <c r="A91" s="37" t="b">
        <v>1</v>
      </c>
      <c r="B91" s="38" t="s">
        <v>198</v>
      </c>
      <c r="C91" s="40">
        <f>C90+1</f>
        <v>2040102</v>
      </c>
      <c r="D91" s="40">
        <f>ServantPieceStore_BackUp!$F$8</f>
        <v>1040101</v>
      </c>
      <c r="E91" s="40">
        <f>E90</f>
        <v>1</v>
      </c>
      <c r="F91" s="40">
        <v>30</v>
      </c>
      <c r="G91" s="40">
        <f>G90+1</f>
        <v>155103002</v>
      </c>
      <c r="H91" s="40">
        <v>2</v>
      </c>
      <c r="I91" s="40" t="str">
        <f t="shared" si="8"/>
        <v>Gem</v>
      </c>
      <c r="J91" s="40">
        <f t="shared" si="11"/>
        <v>80</v>
      </c>
    </row>
    <row r="92" spans="1:10" ht="16.5" customHeight="1" x14ac:dyDescent="0.3">
      <c r="A92" s="42" t="b">
        <v>1</v>
      </c>
      <c r="B92" s="43" t="s">
        <v>199</v>
      </c>
      <c r="C92" s="39">
        <f>C90+100</f>
        <v>2040201</v>
      </c>
      <c r="D92" s="44">
        <f>ServantPieceStore_BackUp!$F$8</f>
        <v>1040101</v>
      </c>
      <c r="E92" s="39">
        <f>E90+1</f>
        <v>2</v>
      </c>
      <c r="F92" s="44">
        <v>40</v>
      </c>
      <c r="G92" s="45">
        <v>155101001</v>
      </c>
      <c r="H92" s="44">
        <v>1</v>
      </c>
      <c r="I92" s="44" t="str">
        <f t="shared" si="8"/>
        <v>Gem</v>
      </c>
      <c r="J92" s="44">
        <f t="shared" si="11"/>
        <v>40</v>
      </c>
    </row>
    <row r="93" spans="1:10" ht="16.5" customHeight="1" x14ac:dyDescent="0.3">
      <c r="A93" s="42" t="b">
        <v>1</v>
      </c>
      <c r="B93" s="43" t="s">
        <v>199</v>
      </c>
      <c r="C93" s="44">
        <f t="shared" ref="C93:C107" si="12">C92+1</f>
        <v>2040202</v>
      </c>
      <c r="D93" s="44">
        <f>ServantPieceStore_BackUp!$F$8</f>
        <v>1040101</v>
      </c>
      <c r="E93" s="44">
        <f t="shared" ref="E93:E107" si="13">E92</f>
        <v>2</v>
      </c>
      <c r="F93" s="44">
        <v>30</v>
      </c>
      <c r="G93" s="40">
        <f>G92+1</f>
        <v>155101002</v>
      </c>
      <c r="H93" s="44">
        <v>2</v>
      </c>
      <c r="I93" s="44" t="str">
        <f t="shared" si="8"/>
        <v>Gold</v>
      </c>
      <c r="J93" s="44">
        <f>H93*10000</f>
        <v>20000</v>
      </c>
    </row>
    <row r="94" spans="1:10" ht="16.5" customHeight="1" x14ac:dyDescent="0.3">
      <c r="A94" s="42" t="b">
        <v>1</v>
      </c>
      <c r="B94" s="43" t="s">
        <v>199</v>
      </c>
      <c r="C94" s="44">
        <f t="shared" si="12"/>
        <v>2040203</v>
      </c>
      <c r="D94" s="44">
        <f>ServantPieceStore_BackUp!$F$8</f>
        <v>1040101</v>
      </c>
      <c r="E94" s="44">
        <f t="shared" si="13"/>
        <v>2</v>
      </c>
      <c r="F94" s="44">
        <v>20</v>
      </c>
      <c r="G94" s="40">
        <f>G93+1</f>
        <v>155101003</v>
      </c>
      <c r="H94" s="44">
        <v>1</v>
      </c>
      <c r="I94" s="44" t="str">
        <f t="shared" si="8"/>
        <v>Gem</v>
      </c>
      <c r="J94" s="44">
        <f>H94*40</f>
        <v>40</v>
      </c>
    </row>
    <row r="95" spans="1:10" ht="16.5" customHeight="1" x14ac:dyDescent="0.3">
      <c r="A95" s="42" t="b">
        <v>1</v>
      </c>
      <c r="B95" s="43" t="s">
        <v>199</v>
      </c>
      <c r="C95" s="44">
        <f t="shared" si="12"/>
        <v>2040204</v>
      </c>
      <c r="D95" s="44">
        <f>ServantPieceStore_BackUp!$F$8</f>
        <v>1040101</v>
      </c>
      <c r="E95" s="44">
        <f t="shared" si="13"/>
        <v>2</v>
      </c>
      <c r="F95" s="44">
        <v>20</v>
      </c>
      <c r="G95" s="40">
        <f>G94+1</f>
        <v>155101004</v>
      </c>
      <c r="H95" s="44">
        <v>2</v>
      </c>
      <c r="I95" s="44" t="str">
        <f t="shared" si="8"/>
        <v>Gold</v>
      </c>
      <c r="J95" s="44">
        <f>H95*10000</f>
        <v>20000</v>
      </c>
    </row>
    <row r="96" spans="1:10" ht="16.5" customHeight="1" x14ac:dyDescent="0.3">
      <c r="A96" s="42" t="b">
        <v>1</v>
      </c>
      <c r="B96" s="43" t="s">
        <v>199</v>
      </c>
      <c r="C96" s="44">
        <f t="shared" si="12"/>
        <v>2040205</v>
      </c>
      <c r="D96" s="44">
        <f>ServantPieceStore_BackUp!$F$8</f>
        <v>1040101</v>
      </c>
      <c r="E96" s="44">
        <f t="shared" si="13"/>
        <v>2</v>
      </c>
      <c r="F96" s="44">
        <v>20</v>
      </c>
      <c r="G96" s="40">
        <f>G95+1</f>
        <v>155101005</v>
      </c>
      <c r="H96" s="44">
        <v>1</v>
      </c>
      <c r="I96" s="44" t="str">
        <f t="shared" si="8"/>
        <v>Gem</v>
      </c>
      <c r="J96" s="44">
        <f>H96*40</f>
        <v>40</v>
      </c>
    </row>
    <row r="97" spans="1:10" ht="16.5" customHeight="1" x14ac:dyDescent="0.3">
      <c r="A97" s="42" t="b">
        <v>1</v>
      </c>
      <c r="B97" s="43" t="s">
        <v>199</v>
      </c>
      <c r="C97" s="44">
        <f t="shared" si="12"/>
        <v>2040206</v>
      </c>
      <c r="D97" s="44">
        <f>ServantPieceStore_BackUp!$F$8</f>
        <v>1040101</v>
      </c>
      <c r="E97" s="44">
        <f t="shared" si="13"/>
        <v>2</v>
      </c>
      <c r="F97" s="44">
        <v>20</v>
      </c>
      <c r="G97" s="40">
        <f>G96+1</f>
        <v>155101006</v>
      </c>
      <c r="H97" s="44">
        <v>2</v>
      </c>
      <c r="I97" s="44" t="str">
        <f t="shared" si="8"/>
        <v>Gold</v>
      </c>
      <c r="J97" s="44">
        <f>H97*10000</f>
        <v>20000</v>
      </c>
    </row>
    <row r="98" spans="1:10" ht="16.5" customHeight="1" x14ac:dyDescent="0.3">
      <c r="A98" s="42" t="b">
        <v>1</v>
      </c>
      <c r="B98" s="43" t="s">
        <v>199</v>
      </c>
      <c r="C98" s="44">
        <f t="shared" si="12"/>
        <v>2040207</v>
      </c>
      <c r="D98" s="44">
        <f>ServantPieceStore_BackUp!$F$8</f>
        <v>1040101</v>
      </c>
      <c r="E98" s="44">
        <f t="shared" si="13"/>
        <v>2</v>
      </c>
      <c r="F98" s="44">
        <v>10</v>
      </c>
      <c r="G98" s="45" t="s">
        <v>130</v>
      </c>
      <c r="H98" s="44">
        <v>1</v>
      </c>
      <c r="I98" s="44" t="str">
        <f t="shared" si="8"/>
        <v>Gem</v>
      </c>
      <c r="J98" s="44">
        <f>H98*40</f>
        <v>40</v>
      </c>
    </row>
    <row r="99" spans="1:10" ht="16.5" customHeight="1" x14ac:dyDescent="0.3">
      <c r="A99" s="42" t="b">
        <v>1</v>
      </c>
      <c r="B99" s="43" t="s">
        <v>199</v>
      </c>
      <c r="C99" s="44">
        <f t="shared" si="12"/>
        <v>2040208</v>
      </c>
      <c r="D99" s="44">
        <f>ServantPieceStore_BackUp!$F$8</f>
        <v>1040101</v>
      </c>
      <c r="E99" s="44">
        <f t="shared" si="13"/>
        <v>2</v>
      </c>
      <c r="F99" s="44">
        <v>10</v>
      </c>
      <c r="G99" s="40">
        <f>G98+1</f>
        <v>155102002</v>
      </c>
      <c r="H99" s="44">
        <v>2</v>
      </c>
      <c r="I99" s="44" t="str">
        <f t="shared" si="8"/>
        <v>Gem</v>
      </c>
      <c r="J99" s="44">
        <f>H99*40</f>
        <v>80</v>
      </c>
    </row>
    <row r="100" spans="1:10" ht="16.5" customHeight="1" x14ac:dyDescent="0.3">
      <c r="A100" s="42" t="b">
        <v>1</v>
      </c>
      <c r="B100" s="43" t="s">
        <v>199</v>
      </c>
      <c r="C100" s="44">
        <f t="shared" si="12"/>
        <v>2040209</v>
      </c>
      <c r="D100" s="44">
        <f>ServantPieceStore_BackUp!$F$8</f>
        <v>1040101</v>
      </c>
      <c r="E100" s="44">
        <f t="shared" si="13"/>
        <v>2</v>
      </c>
      <c r="F100" s="44">
        <v>10</v>
      </c>
      <c r="G100" s="40">
        <f>G99+1</f>
        <v>155102003</v>
      </c>
      <c r="H100" s="44">
        <v>2</v>
      </c>
      <c r="I100" s="44" t="str">
        <f t="shared" si="8"/>
        <v>Gold</v>
      </c>
      <c r="J100" s="44">
        <f>H100*10000</f>
        <v>20000</v>
      </c>
    </row>
    <row r="101" spans="1:10" ht="16.5" customHeight="1" x14ac:dyDescent="0.3">
      <c r="A101" s="42" t="b">
        <v>1</v>
      </c>
      <c r="B101" s="43" t="s">
        <v>199</v>
      </c>
      <c r="C101" s="44">
        <f t="shared" si="12"/>
        <v>2040210</v>
      </c>
      <c r="D101" s="44">
        <f>ServantPieceStore_BackUp!$F$8</f>
        <v>1040101</v>
      </c>
      <c r="E101" s="44">
        <f t="shared" si="13"/>
        <v>2</v>
      </c>
      <c r="F101" s="44">
        <v>10</v>
      </c>
      <c r="G101" s="40">
        <f>G100+1</f>
        <v>155102004</v>
      </c>
      <c r="H101" s="44">
        <v>1</v>
      </c>
      <c r="I101" s="44" t="str">
        <f t="shared" si="8"/>
        <v>Gem</v>
      </c>
      <c r="J101" s="44">
        <f>H101*40</f>
        <v>40</v>
      </c>
    </row>
    <row r="102" spans="1:10" ht="16.5" customHeight="1" x14ac:dyDescent="0.3">
      <c r="A102" s="42" t="b">
        <v>1</v>
      </c>
      <c r="B102" s="43" t="s">
        <v>199</v>
      </c>
      <c r="C102" s="44">
        <f t="shared" si="12"/>
        <v>2040211</v>
      </c>
      <c r="D102" s="44">
        <f>ServantPieceStore_BackUp!$F$8</f>
        <v>1040101</v>
      </c>
      <c r="E102" s="44">
        <f t="shared" si="13"/>
        <v>2</v>
      </c>
      <c r="F102" s="44">
        <v>10</v>
      </c>
      <c r="G102" s="40">
        <f>G101+1</f>
        <v>155102005</v>
      </c>
      <c r="H102" s="44">
        <v>2</v>
      </c>
      <c r="I102" s="44" t="str">
        <f t="shared" si="8"/>
        <v>Gem</v>
      </c>
      <c r="J102" s="44">
        <f>H102*40</f>
        <v>80</v>
      </c>
    </row>
    <row r="103" spans="1:10" ht="16.5" customHeight="1" x14ac:dyDescent="0.3">
      <c r="A103" s="42" t="b">
        <v>1</v>
      </c>
      <c r="B103" s="43" t="s">
        <v>199</v>
      </c>
      <c r="C103" s="44">
        <f t="shared" si="12"/>
        <v>2040212</v>
      </c>
      <c r="D103" s="44">
        <f>ServantPieceStore_BackUp!$F$8</f>
        <v>1040101</v>
      </c>
      <c r="E103" s="44">
        <f t="shared" si="13"/>
        <v>2</v>
      </c>
      <c r="F103" s="44">
        <v>10</v>
      </c>
      <c r="G103" s="40">
        <f>G102+1</f>
        <v>155102006</v>
      </c>
      <c r="H103" s="44">
        <v>2</v>
      </c>
      <c r="I103" s="44" t="str">
        <f t="shared" si="8"/>
        <v>Gold</v>
      </c>
      <c r="J103" s="44">
        <f>H103*10000</f>
        <v>20000</v>
      </c>
    </row>
    <row r="104" spans="1:10" ht="16.5" customHeight="1" x14ac:dyDescent="0.3">
      <c r="A104" s="42" t="b">
        <v>1</v>
      </c>
      <c r="B104" s="43" t="s">
        <v>199</v>
      </c>
      <c r="C104" s="44">
        <f t="shared" si="12"/>
        <v>2040213</v>
      </c>
      <c r="D104" s="44">
        <f>ServantPieceStore_BackUp!$F$8</f>
        <v>1040101</v>
      </c>
      <c r="E104" s="44">
        <f t="shared" si="13"/>
        <v>2</v>
      </c>
      <c r="F104" s="44">
        <v>5</v>
      </c>
      <c r="G104" s="41" t="s">
        <v>131</v>
      </c>
      <c r="H104" s="44">
        <v>2</v>
      </c>
      <c r="I104" s="44" t="str">
        <f t="shared" si="8"/>
        <v>Gem</v>
      </c>
      <c r="J104" s="44">
        <f>H104*40</f>
        <v>80</v>
      </c>
    </row>
    <row r="105" spans="1:10" ht="16.5" customHeight="1" x14ac:dyDescent="0.3">
      <c r="A105" s="42" t="b">
        <v>1</v>
      </c>
      <c r="B105" s="43" t="s">
        <v>199</v>
      </c>
      <c r="C105" s="44">
        <f t="shared" si="12"/>
        <v>2040214</v>
      </c>
      <c r="D105" s="44">
        <f>ServantPieceStore_BackUp!$F$8</f>
        <v>1040101</v>
      </c>
      <c r="E105" s="44">
        <f t="shared" si="13"/>
        <v>2</v>
      </c>
      <c r="F105" s="44">
        <v>5</v>
      </c>
      <c r="G105" s="40">
        <f>G104+1</f>
        <v>155103002</v>
      </c>
      <c r="H105" s="44">
        <v>3</v>
      </c>
      <c r="I105" s="44" t="str">
        <f t="shared" si="8"/>
        <v>Gem</v>
      </c>
      <c r="J105" s="44">
        <f>H105*40</f>
        <v>120</v>
      </c>
    </row>
    <row r="106" spans="1:10" ht="16.5" customHeight="1" x14ac:dyDescent="0.3">
      <c r="A106" s="42" t="b">
        <v>1</v>
      </c>
      <c r="B106" s="43" t="s">
        <v>199</v>
      </c>
      <c r="C106" s="44">
        <f t="shared" si="12"/>
        <v>2040215</v>
      </c>
      <c r="D106" s="44">
        <f>ServantPieceStore_BackUp!$F$8</f>
        <v>1040101</v>
      </c>
      <c r="E106" s="44">
        <f t="shared" si="13"/>
        <v>2</v>
      </c>
      <c r="F106" s="44">
        <v>5</v>
      </c>
      <c r="G106" s="40">
        <f>G105+1</f>
        <v>155103003</v>
      </c>
      <c r="H106" s="44">
        <v>2</v>
      </c>
      <c r="I106" s="44" t="str">
        <f t="shared" si="8"/>
        <v>Gold</v>
      </c>
      <c r="J106" s="44">
        <f>H106*10000</f>
        <v>20000</v>
      </c>
    </row>
    <row r="107" spans="1:10" ht="16.5" customHeight="1" x14ac:dyDescent="0.3">
      <c r="A107" s="42" t="b">
        <v>1</v>
      </c>
      <c r="B107" s="43" t="s">
        <v>199</v>
      </c>
      <c r="C107" s="44">
        <f t="shared" si="12"/>
        <v>2040216</v>
      </c>
      <c r="D107" s="44">
        <f>ServantPieceStore_BackUp!$F$8</f>
        <v>1040101</v>
      </c>
      <c r="E107" s="44">
        <f t="shared" si="13"/>
        <v>2</v>
      </c>
      <c r="F107" s="44">
        <v>5</v>
      </c>
      <c r="G107" s="40">
        <f>G106+1</f>
        <v>155103004</v>
      </c>
      <c r="H107" s="44">
        <v>3</v>
      </c>
      <c r="I107" s="44" t="str">
        <f t="shared" si="8"/>
        <v>Gem</v>
      </c>
      <c r="J107" s="44">
        <f>H107*40</f>
        <v>120</v>
      </c>
    </row>
    <row r="108" spans="1:10" ht="16.5" customHeight="1" x14ac:dyDescent="0.3">
      <c r="A108" s="37" t="b">
        <v>1</v>
      </c>
      <c r="B108" s="38" t="s">
        <v>200</v>
      </c>
      <c r="C108" s="39">
        <f>C92+100</f>
        <v>2040301</v>
      </c>
      <c r="D108" s="40">
        <f>ServantPieceStore_BackUp!$F$8</f>
        <v>1040101</v>
      </c>
      <c r="E108" s="39">
        <f>E92+1</f>
        <v>3</v>
      </c>
      <c r="F108" s="40">
        <v>20</v>
      </c>
      <c r="G108" s="45">
        <v>155101001</v>
      </c>
      <c r="H108" s="40">
        <v>1</v>
      </c>
      <c r="I108" s="40" t="str">
        <f t="shared" si="8"/>
        <v>Gem</v>
      </c>
      <c r="J108" s="40">
        <f>H108*40</f>
        <v>40</v>
      </c>
    </row>
    <row r="109" spans="1:10" ht="16.5" customHeight="1" x14ac:dyDescent="0.3">
      <c r="A109" s="37" t="b">
        <v>1</v>
      </c>
      <c r="B109" s="38" t="s">
        <v>200</v>
      </c>
      <c r="C109" s="40">
        <f t="shared" ref="C109:C123" si="14">C108+1</f>
        <v>2040302</v>
      </c>
      <c r="D109" s="40">
        <f>ServantPieceStore_BackUp!$F$8</f>
        <v>1040101</v>
      </c>
      <c r="E109" s="40">
        <f t="shared" ref="E109:E123" si="15">E108</f>
        <v>3</v>
      </c>
      <c r="F109" s="40">
        <v>20</v>
      </c>
      <c r="G109" s="40">
        <f>G108+1</f>
        <v>155101002</v>
      </c>
      <c r="H109" s="40">
        <v>2</v>
      </c>
      <c r="I109" s="40" t="str">
        <f t="shared" si="8"/>
        <v>Gold</v>
      </c>
      <c r="J109" s="40">
        <f>H109*10000</f>
        <v>20000</v>
      </c>
    </row>
    <row r="110" spans="1:10" ht="16.5" customHeight="1" x14ac:dyDescent="0.3">
      <c r="A110" s="37" t="b">
        <v>1</v>
      </c>
      <c r="B110" s="38" t="s">
        <v>200</v>
      </c>
      <c r="C110" s="40">
        <f t="shared" si="14"/>
        <v>2040303</v>
      </c>
      <c r="D110" s="40">
        <f>ServantPieceStore_BackUp!$F$8</f>
        <v>1040101</v>
      </c>
      <c r="E110" s="40">
        <f t="shared" si="15"/>
        <v>3</v>
      </c>
      <c r="F110" s="40">
        <v>20</v>
      </c>
      <c r="G110" s="40">
        <f>G109+1</f>
        <v>155101003</v>
      </c>
      <c r="H110" s="40">
        <v>1</v>
      </c>
      <c r="I110" s="40" t="str">
        <f t="shared" si="8"/>
        <v>Gem</v>
      </c>
      <c r="J110" s="40">
        <f>H110*40</f>
        <v>40</v>
      </c>
    </row>
    <row r="111" spans="1:10" ht="16.5" customHeight="1" x14ac:dyDescent="0.3">
      <c r="A111" s="37" t="b">
        <v>1</v>
      </c>
      <c r="B111" s="38" t="s">
        <v>200</v>
      </c>
      <c r="C111" s="40">
        <f t="shared" si="14"/>
        <v>2040304</v>
      </c>
      <c r="D111" s="40">
        <f>ServantPieceStore_BackUp!$F$8</f>
        <v>1040101</v>
      </c>
      <c r="E111" s="40">
        <f t="shared" si="15"/>
        <v>3</v>
      </c>
      <c r="F111" s="40">
        <v>20</v>
      </c>
      <c r="G111" s="40">
        <f>G110+1</f>
        <v>155101004</v>
      </c>
      <c r="H111" s="40">
        <v>2</v>
      </c>
      <c r="I111" s="40" t="str">
        <f t="shared" si="8"/>
        <v>Gold</v>
      </c>
      <c r="J111" s="40">
        <f>H111*10000</f>
        <v>20000</v>
      </c>
    </row>
    <row r="112" spans="1:10" ht="16.5" customHeight="1" x14ac:dyDescent="0.3">
      <c r="A112" s="37" t="b">
        <v>1</v>
      </c>
      <c r="B112" s="38" t="s">
        <v>200</v>
      </c>
      <c r="C112" s="40">
        <f t="shared" si="14"/>
        <v>2040305</v>
      </c>
      <c r="D112" s="40">
        <f>ServantPieceStore_BackUp!$F$8</f>
        <v>1040101</v>
      </c>
      <c r="E112" s="40">
        <f t="shared" si="15"/>
        <v>3</v>
      </c>
      <c r="F112" s="40">
        <v>20</v>
      </c>
      <c r="G112" s="40">
        <f>G111+1</f>
        <v>155101005</v>
      </c>
      <c r="H112" s="40">
        <v>1</v>
      </c>
      <c r="I112" s="40" t="str">
        <f t="shared" si="8"/>
        <v>Gem</v>
      </c>
      <c r="J112" s="40">
        <f>H112*40</f>
        <v>40</v>
      </c>
    </row>
    <row r="113" spans="1:10" ht="16.5" customHeight="1" x14ac:dyDescent="0.3">
      <c r="A113" s="37" t="b">
        <v>1</v>
      </c>
      <c r="B113" s="38" t="s">
        <v>200</v>
      </c>
      <c r="C113" s="40">
        <f t="shared" si="14"/>
        <v>2040306</v>
      </c>
      <c r="D113" s="40">
        <f>ServantPieceStore_BackUp!$F$8</f>
        <v>1040101</v>
      </c>
      <c r="E113" s="40">
        <f t="shared" si="15"/>
        <v>3</v>
      </c>
      <c r="F113" s="40">
        <v>20</v>
      </c>
      <c r="G113" s="40">
        <f>G112+1</f>
        <v>155101006</v>
      </c>
      <c r="H113" s="40">
        <v>2</v>
      </c>
      <c r="I113" s="40" t="str">
        <f t="shared" si="8"/>
        <v>Gold</v>
      </c>
      <c r="J113" s="40">
        <f>H113*10000</f>
        <v>20000</v>
      </c>
    </row>
    <row r="114" spans="1:10" ht="16.5" customHeight="1" x14ac:dyDescent="0.3">
      <c r="A114" s="37" t="b">
        <v>1</v>
      </c>
      <c r="B114" s="38" t="s">
        <v>200</v>
      </c>
      <c r="C114" s="40">
        <f t="shared" si="14"/>
        <v>2040307</v>
      </c>
      <c r="D114" s="40">
        <f>ServantPieceStore_BackUp!$F$8</f>
        <v>1040101</v>
      </c>
      <c r="E114" s="40">
        <f t="shared" si="15"/>
        <v>3</v>
      </c>
      <c r="F114" s="40">
        <v>20</v>
      </c>
      <c r="G114" s="45" t="s">
        <v>130</v>
      </c>
      <c r="H114" s="40">
        <v>1</v>
      </c>
      <c r="I114" s="40" t="str">
        <f t="shared" si="8"/>
        <v>Gem</v>
      </c>
      <c r="J114" s="40">
        <f>H114*40</f>
        <v>40</v>
      </c>
    </row>
    <row r="115" spans="1:10" ht="16.5" customHeight="1" x14ac:dyDescent="0.3">
      <c r="A115" s="37" t="b">
        <v>1</v>
      </c>
      <c r="B115" s="38" t="s">
        <v>200</v>
      </c>
      <c r="C115" s="40">
        <f t="shared" si="14"/>
        <v>2040308</v>
      </c>
      <c r="D115" s="40">
        <f>ServantPieceStore_BackUp!$F$8</f>
        <v>1040101</v>
      </c>
      <c r="E115" s="40">
        <f t="shared" si="15"/>
        <v>3</v>
      </c>
      <c r="F115" s="40">
        <v>20</v>
      </c>
      <c r="G115" s="40">
        <f>G114+1</f>
        <v>155102002</v>
      </c>
      <c r="H115" s="40">
        <v>2</v>
      </c>
      <c r="I115" s="40" t="str">
        <f t="shared" si="8"/>
        <v>Gem</v>
      </c>
      <c r="J115" s="40">
        <f>H115*40</f>
        <v>80</v>
      </c>
    </row>
    <row r="116" spans="1:10" ht="16.5" customHeight="1" x14ac:dyDescent="0.3">
      <c r="A116" s="37" t="b">
        <v>1</v>
      </c>
      <c r="B116" s="38" t="s">
        <v>200</v>
      </c>
      <c r="C116" s="40">
        <f t="shared" si="14"/>
        <v>2040309</v>
      </c>
      <c r="D116" s="40">
        <f>ServantPieceStore_BackUp!$F$8</f>
        <v>1040101</v>
      </c>
      <c r="E116" s="40">
        <f t="shared" si="15"/>
        <v>3</v>
      </c>
      <c r="F116" s="40">
        <v>20</v>
      </c>
      <c r="G116" s="40">
        <f>G115+1</f>
        <v>155102003</v>
      </c>
      <c r="H116" s="40">
        <v>2</v>
      </c>
      <c r="I116" s="40" t="str">
        <f t="shared" si="8"/>
        <v>Gold</v>
      </c>
      <c r="J116" s="40">
        <f>H116*10000</f>
        <v>20000</v>
      </c>
    </row>
    <row r="117" spans="1:10" ht="16.5" customHeight="1" x14ac:dyDescent="0.3">
      <c r="A117" s="37" t="b">
        <v>1</v>
      </c>
      <c r="B117" s="38" t="s">
        <v>200</v>
      </c>
      <c r="C117" s="40">
        <f t="shared" si="14"/>
        <v>2040310</v>
      </c>
      <c r="D117" s="40">
        <f>ServantPieceStore_BackUp!$F$8</f>
        <v>1040101</v>
      </c>
      <c r="E117" s="40">
        <f t="shared" si="15"/>
        <v>3</v>
      </c>
      <c r="F117" s="40">
        <v>20</v>
      </c>
      <c r="G117" s="40">
        <f>G116+1</f>
        <v>155102004</v>
      </c>
      <c r="H117" s="40">
        <v>1</v>
      </c>
      <c r="I117" s="40" t="str">
        <f t="shared" si="8"/>
        <v>Gem</v>
      </c>
      <c r="J117" s="40">
        <f>H117*40</f>
        <v>40</v>
      </c>
    </row>
    <row r="118" spans="1:10" ht="16.5" customHeight="1" x14ac:dyDescent="0.3">
      <c r="A118" s="37" t="b">
        <v>1</v>
      </c>
      <c r="B118" s="38" t="s">
        <v>200</v>
      </c>
      <c r="C118" s="40">
        <f t="shared" si="14"/>
        <v>2040311</v>
      </c>
      <c r="D118" s="40">
        <f>ServantPieceStore_BackUp!$F$8</f>
        <v>1040101</v>
      </c>
      <c r="E118" s="40">
        <f t="shared" si="15"/>
        <v>3</v>
      </c>
      <c r="F118" s="40">
        <v>20</v>
      </c>
      <c r="G118" s="40">
        <f>G117+1</f>
        <v>155102005</v>
      </c>
      <c r="H118" s="40">
        <v>2</v>
      </c>
      <c r="I118" s="40" t="str">
        <f t="shared" si="8"/>
        <v>Gem</v>
      </c>
      <c r="J118" s="40">
        <f>H118*40</f>
        <v>80</v>
      </c>
    </row>
    <row r="119" spans="1:10" ht="16.5" customHeight="1" x14ac:dyDescent="0.3">
      <c r="A119" s="37" t="b">
        <v>1</v>
      </c>
      <c r="B119" s="38" t="s">
        <v>200</v>
      </c>
      <c r="C119" s="40">
        <f t="shared" si="14"/>
        <v>2040312</v>
      </c>
      <c r="D119" s="40">
        <f>ServantPieceStore_BackUp!$F$8</f>
        <v>1040101</v>
      </c>
      <c r="E119" s="40">
        <f t="shared" si="15"/>
        <v>3</v>
      </c>
      <c r="F119" s="40">
        <v>20</v>
      </c>
      <c r="G119" s="40">
        <f>G118+1</f>
        <v>155102006</v>
      </c>
      <c r="H119" s="40">
        <v>2</v>
      </c>
      <c r="I119" s="40" t="str">
        <f t="shared" si="8"/>
        <v>Gold</v>
      </c>
      <c r="J119" s="40">
        <f>H119*10000</f>
        <v>20000</v>
      </c>
    </row>
    <row r="120" spans="1:10" ht="16.5" customHeight="1" x14ac:dyDescent="0.3">
      <c r="A120" s="37" t="b">
        <v>1</v>
      </c>
      <c r="B120" s="38" t="s">
        <v>200</v>
      </c>
      <c r="C120" s="40">
        <f t="shared" si="14"/>
        <v>2040313</v>
      </c>
      <c r="D120" s="40">
        <f>ServantPieceStore_BackUp!$F$8</f>
        <v>1040101</v>
      </c>
      <c r="E120" s="40">
        <f t="shared" si="15"/>
        <v>3</v>
      </c>
      <c r="F120" s="40">
        <v>20</v>
      </c>
      <c r="G120" s="41" t="s">
        <v>131</v>
      </c>
      <c r="H120" s="40">
        <v>2</v>
      </c>
      <c r="I120" s="40" t="str">
        <f t="shared" si="8"/>
        <v>Gem</v>
      </c>
      <c r="J120" s="40">
        <f>H120*40</f>
        <v>80</v>
      </c>
    </row>
    <row r="121" spans="1:10" ht="16.5" customHeight="1" x14ac:dyDescent="0.3">
      <c r="A121" s="37" t="b">
        <v>1</v>
      </c>
      <c r="B121" s="38" t="s">
        <v>200</v>
      </c>
      <c r="C121" s="40">
        <f t="shared" si="14"/>
        <v>2040314</v>
      </c>
      <c r="D121" s="40">
        <f>ServantPieceStore_BackUp!$F$8</f>
        <v>1040101</v>
      </c>
      <c r="E121" s="40">
        <f t="shared" si="15"/>
        <v>3</v>
      </c>
      <c r="F121" s="40">
        <v>20</v>
      </c>
      <c r="G121" s="40">
        <f>G120+1</f>
        <v>155103002</v>
      </c>
      <c r="H121" s="40">
        <v>3</v>
      </c>
      <c r="I121" s="40" t="str">
        <f t="shared" si="8"/>
        <v>Gem</v>
      </c>
      <c r="J121" s="40">
        <f>H121*40</f>
        <v>120</v>
      </c>
    </row>
    <row r="122" spans="1:10" ht="16.5" customHeight="1" x14ac:dyDescent="0.3">
      <c r="A122" s="37" t="b">
        <v>1</v>
      </c>
      <c r="B122" s="38" t="s">
        <v>200</v>
      </c>
      <c r="C122" s="40">
        <f t="shared" si="14"/>
        <v>2040315</v>
      </c>
      <c r="D122" s="40">
        <f>ServantPieceStore_BackUp!$F$8</f>
        <v>1040101</v>
      </c>
      <c r="E122" s="40">
        <f t="shared" si="15"/>
        <v>3</v>
      </c>
      <c r="F122" s="40">
        <v>20</v>
      </c>
      <c r="G122" s="40">
        <f>G121+1</f>
        <v>155103003</v>
      </c>
      <c r="H122" s="40">
        <v>2</v>
      </c>
      <c r="I122" s="40" t="str">
        <f t="shared" si="8"/>
        <v>Gold</v>
      </c>
      <c r="J122" s="40">
        <f>H122*10000</f>
        <v>20000</v>
      </c>
    </row>
    <row r="123" spans="1:10" ht="16.5" customHeight="1" x14ac:dyDescent="0.3">
      <c r="A123" s="37" t="b">
        <v>1</v>
      </c>
      <c r="B123" s="38" t="s">
        <v>200</v>
      </c>
      <c r="C123" s="40">
        <f t="shared" si="14"/>
        <v>2040316</v>
      </c>
      <c r="D123" s="40">
        <f>ServantPieceStore_BackUp!$F$8</f>
        <v>1040101</v>
      </c>
      <c r="E123" s="40">
        <f t="shared" si="15"/>
        <v>3</v>
      </c>
      <c r="F123" s="40">
        <v>20</v>
      </c>
      <c r="G123" s="40">
        <f>G122+1</f>
        <v>155103004</v>
      </c>
      <c r="H123" s="40">
        <v>3</v>
      </c>
      <c r="I123" s="40" t="str">
        <f t="shared" si="8"/>
        <v>Gem</v>
      </c>
      <c r="J123" s="40">
        <f>H123*40</f>
        <v>120</v>
      </c>
    </row>
    <row r="124" spans="1:10" ht="16.5" customHeight="1" x14ac:dyDescent="0.3">
      <c r="A124" s="42" t="b">
        <v>1</v>
      </c>
      <c r="B124" s="43" t="s">
        <v>201</v>
      </c>
      <c r="C124" s="39">
        <f>C108+100</f>
        <v>2040401</v>
      </c>
      <c r="D124" s="44">
        <f>ServantPieceStore_BackUp!$F$8</f>
        <v>1040101</v>
      </c>
      <c r="E124" s="39">
        <f>E108+1</f>
        <v>4</v>
      </c>
      <c r="F124" s="44">
        <v>20</v>
      </c>
      <c r="G124" s="45">
        <v>155101001</v>
      </c>
      <c r="H124" s="44">
        <v>1</v>
      </c>
      <c r="I124" s="44" t="str">
        <f t="shared" si="8"/>
        <v>Gem</v>
      </c>
      <c r="J124" s="44">
        <f>H124*40</f>
        <v>40</v>
      </c>
    </row>
    <row r="125" spans="1:10" ht="16.5" customHeight="1" x14ac:dyDescent="0.3">
      <c r="A125" s="42" t="b">
        <v>1</v>
      </c>
      <c r="B125" s="43" t="s">
        <v>201</v>
      </c>
      <c r="C125" s="44">
        <f t="shared" ref="C125:C139" si="16">C124+1</f>
        <v>2040402</v>
      </c>
      <c r="D125" s="44">
        <f>ServantPieceStore_BackUp!$F$8</f>
        <v>1040101</v>
      </c>
      <c r="E125" s="44">
        <f t="shared" ref="E125:E139" si="17">E124</f>
        <v>4</v>
      </c>
      <c r="F125" s="44">
        <v>20</v>
      </c>
      <c r="G125" s="40">
        <f>G124+1</f>
        <v>155101002</v>
      </c>
      <c r="H125" s="44">
        <v>2</v>
      </c>
      <c r="I125" s="44" t="str">
        <f t="shared" si="8"/>
        <v>Gold</v>
      </c>
      <c r="J125" s="44">
        <f>H125*10000</f>
        <v>20000</v>
      </c>
    </row>
    <row r="126" spans="1:10" ht="16.5" customHeight="1" x14ac:dyDescent="0.3">
      <c r="A126" s="42" t="b">
        <v>1</v>
      </c>
      <c r="B126" s="43" t="s">
        <v>201</v>
      </c>
      <c r="C126" s="44">
        <f t="shared" si="16"/>
        <v>2040403</v>
      </c>
      <c r="D126" s="44">
        <f>ServantPieceStore_BackUp!$F$8</f>
        <v>1040101</v>
      </c>
      <c r="E126" s="44">
        <f t="shared" si="17"/>
        <v>4</v>
      </c>
      <c r="F126" s="44">
        <v>20</v>
      </c>
      <c r="G126" s="40">
        <f>G125+1</f>
        <v>155101003</v>
      </c>
      <c r="H126" s="44">
        <v>1</v>
      </c>
      <c r="I126" s="44" t="str">
        <f t="shared" si="8"/>
        <v>Gem</v>
      </c>
      <c r="J126" s="44">
        <f>H126*40</f>
        <v>40</v>
      </c>
    </row>
    <row r="127" spans="1:10" ht="16.5" customHeight="1" x14ac:dyDescent="0.3">
      <c r="A127" s="42" t="b">
        <v>1</v>
      </c>
      <c r="B127" s="43" t="s">
        <v>201</v>
      </c>
      <c r="C127" s="44">
        <f t="shared" si="16"/>
        <v>2040404</v>
      </c>
      <c r="D127" s="44">
        <f>ServantPieceStore_BackUp!$F$8</f>
        <v>1040101</v>
      </c>
      <c r="E127" s="44">
        <f t="shared" si="17"/>
        <v>4</v>
      </c>
      <c r="F127" s="44">
        <v>20</v>
      </c>
      <c r="G127" s="40">
        <f>G126+1</f>
        <v>155101004</v>
      </c>
      <c r="H127" s="44">
        <v>2</v>
      </c>
      <c r="I127" s="44" t="str">
        <f t="shared" si="8"/>
        <v>Gold</v>
      </c>
      <c r="J127" s="44">
        <f>H127*10000</f>
        <v>20000</v>
      </c>
    </row>
    <row r="128" spans="1:10" ht="16.5" customHeight="1" x14ac:dyDescent="0.3">
      <c r="A128" s="42" t="b">
        <v>1</v>
      </c>
      <c r="B128" s="43" t="s">
        <v>201</v>
      </c>
      <c r="C128" s="44">
        <f t="shared" si="16"/>
        <v>2040405</v>
      </c>
      <c r="D128" s="44">
        <f>ServantPieceStore_BackUp!$F$8</f>
        <v>1040101</v>
      </c>
      <c r="E128" s="44">
        <f t="shared" si="17"/>
        <v>4</v>
      </c>
      <c r="F128" s="44">
        <v>20</v>
      </c>
      <c r="G128" s="40">
        <f>G127+1</f>
        <v>155101005</v>
      </c>
      <c r="H128" s="44">
        <v>1</v>
      </c>
      <c r="I128" s="44" t="str">
        <f t="shared" si="8"/>
        <v>Gem</v>
      </c>
      <c r="J128" s="44">
        <f>H128*40</f>
        <v>40</v>
      </c>
    </row>
    <row r="129" spans="1:10" ht="16.5" customHeight="1" x14ac:dyDescent="0.3">
      <c r="A129" s="42" t="b">
        <v>1</v>
      </c>
      <c r="B129" s="43" t="s">
        <v>201</v>
      </c>
      <c r="C129" s="44">
        <f t="shared" si="16"/>
        <v>2040406</v>
      </c>
      <c r="D129" s="44">
        <f>ServantPieceStore_BackUp!$F$8</f>
        <v>1040101</v>
      </c>
      <c r="E129" s="44">
        <f t="shared" si="17"/>
        <v>4</v>
      </c>
      <c r="F129" s="44">
        <v>20</v>
      </c>
      <c r="G129" s="40">
        <f>G128+1</f>
        <v>155101006</v>
      </c>
      <c r="H129" s="44">
        <v>2</v>
      </c>
      <c r="I129" s="44" t="str">
        <f t="shared" si="8"/>
        <v>Gold</v>
      </c>
      <c r="J129" s="44">
        <f>H129*10000</f>
        <v>20000</v>
      </c>
    </row>
    <row r="130" spans="1:10" ht="16.5" customHeight="1" x14ac:dyDescent="0.3">
      <c r="A130" s="42" t="b">
        <v>1</v>
      </c>
      <c r="B130" s="43" t="s">
        <v>201</v>
      </c>
      <c r="C130" s="44">
        <f t="shared" si="16"/>
        <v>2040407</v>
      </c>
      <c r="D130" s="44">
        <f>ServantPieceStore_BackUp!$F$8</f>
        <v>1040101</v>
      </c>
      <c r="E130" s="44">
        <f t="shared" si="17"/>
        <v>4</v>
      </c>
      <c r="F130" s="44">
        <v>20</v>
      </c>
      <c r="G130" s="45" t="s">
        <v>130</v>
      </c>
      <c r="H130" s="44">
        <v>1</v>
      </c>
      <c r="I130" s="44" t="str">
        <f t="shared" si="8"/>
        <v>Gem</v>
      </c>
      <c r="J130" s="44">
        <f>H130*40</f>
        <v>40</v>
      </c>
    </row>
    <row r="131" spans="1:10" ht="16.5" customHeight="1" x14ac:dyDescent="0.3">
      <c r="A131" s="42" t="b">
        <v>1</v>
      </c>
      <c r="B131" s="43" t="s">
        <v>201</v>
      </c>
      <c r="C131" s="44">
        <f t="shared" si="16"/>
        <v>2040408</v>
      </c>
      <c r="D131" s="44">
        <f>ServantPieceStore_BackUp!$F$8</f>
        <v>1040101</v>
      </c>
      <c r="E131" s="44">
        <f t="shared" si="17"/>
        <v>4</v>
      </c>
      <c r="F131" s="44">
        <v>20</v>
      </c>
      <c r="G131" s="40">
        <f>G130+1</f>
        <v>155102002</v>
      </c>
      <c r="H131" s="44">
        <v>2</v>
      </c>
      <c r="I131" s="44" t="str">
        <f t="shared" si="8"/>
        <v>Gem</v>
      </c>
      <c r="J131" s="44">
        <f>H131*40</f>
        <v>80</v>
      </c>
    </row>
    <row r="132" spans="1:10" ht="16.5" customHeight="1" x14ac:dyDescent="0.3">
      <c r="A132" s="42" t="b">
        <v>1</v>
      </c>
      <c r="B132" s="43" t="s">
        <v>201</v>
      </c>
      <c r="C132" s="44">
        <f t="shared" si="16"/>
        <v>2040409</v>
      </c>
      <c r="D132" s="44">
        <f>ServantPieceStore_BackUp!$F$8</f>
        <v>1040101</v>
      </c>
      <c r="E132" s="44">
        <f t="shared" si="17"/>
        <v>4</v>
      </c>
      <c r="F132" s="44">
        <v>20</v>
      </c>
      <c r="G132" s="40">
        <f>G131+1</f>
        <v>155102003</v>
      </c>
      <c r="H132" s="44">
        <v>2</v>
      </c>
      <c r="I132" s="44" t="str">
        <f t="shared" si="8"/>
        <v>Gold</v>
      </c>
      <c r="J132" s="44">
        <f>H132*10000</f>
        <v>20000</v>
      </c>
    </row>
    <row r="133" spans="1:10" ht="16.5" customHeight="1" x14ac:dyDescent="0.3">
      <c r="A133" s="42" t="b">
        <v>1</v>
      </c>
      <c r="B133" s="43" t="s">
        <v>201</v>
      </c>
      <c r="C133" s="44">
        <f t="shared" si="16"/>
        <v>2040410</v>
      </c>
      <c r="D133" s="44">
        <f>ServantPieceStore_BackUp!$F$8</f>
        <v>1040101</v>
      </c>
      <c r="E133" s="44">
        <f t="shared" si="17"/>
        <v>4</v>
      </c>
      <c r="F133" s="44">
        <v>20</v>
      </c>
      <c r="G133" s="40">
        <f>G132+1</f>
        <v>155102004</v>
      </c>
      <c r="H133" s="44">
        <v>1</v>
      </c>
      <c r="I133" s="44" t="str">
        <f t="shared" si="8"/>
        <v>Gem</v>
      </c>
      <c r="J133" s="44">
        <f>H133*40</f>
        <v>40</v>
      </c>
    </row>
    <row r="134" spans="1:10" ht="16.5" customHeight="1" x14ac:dyDescent="0.3">
      <c r="A134" s="42" t="b">
        <v>1</v>
      </c>
      <c r="B134" s="43" t="s">
        <v>201</v>
      </c>
      <c r="C134" s="44">
        <f t="shared" si="16"/>
        <v>2040411</v>
      </c>
      <c r="D134" s="44">
        <f>ServantPieceStore_BackUp!$F$8</f>
        <v>1040101</v>
      </c>
      <c r="E134" s="44">
        <f t="shared" si="17"/>
        <v>4</v>
      </c>
      <c r="F134" s="44">
        <v>20</v>
      </c>
      <c r="G134" s="40">
        <f>G133+1</f>
        <v>155102005</v>
      </c>
      <c r="H134" s="44">
        <v>2</v>
      </c>
      <c r="I134" s="44" t="str">
        <f t="shared" ref="I134:I157" si="18">IF(J134&lt;1000,"Gem",IF(J134&gt;1000,"Gold"))</f>
        <v>Gem</v>
      </c>
      <c r="J134" s="44">
        <f>H134*40</f>
        <v>80</v>
      </c>
    </row>
    <row r="135" spans="1:10" ht="16.5" customHeight="1" x14ac:dyDescent="0.3">
      <c r="A135" s="42" t="b">
        <v>1</v>
      </c>
      <c r="B135" s="43" t="s">
        <v>201</v>
      </c>
      <c r="C135" s="44">
        <f t="shared" si="16"/>
        <v>2040412</v>
      </c>
      <c r="D135" s="44">
        <f>ServantPieceStore_BackUp!$F$8</f>
        <v>1040101</v>
      </c>
      <c r="E135" s="44">
        <f t="shared" si="17"/>
        <v>4</v>
      </c>
      <c r="F135" s="44">
        <v>20</v>
      </c>
      <c r="G135" s="40">
        <f>G134+1</f>
        <v>155102006</v>
      </c>
      <c r="H135" s="44">
        <v>2</v>
      </c>
      <c r="I135" s="44" t="str">
        <f t="shared" si="18"/>
        <v>Gold</v>
      </c>
      <c r="J135" s="44">
        <f>H135*10000</f>
        <v>20000</v>
      </c>
    </row>
    <row r="136" spans="1:10" ht="16.5" customHeight="1" x14ac:dyDescent="0.3">
      <c r="A136" s="42" t="b">
        <v>1</v>
      </c>
      <c r="B136" s="43" t="s">
        <v>201</v>
      </c>
      <c r="C136" s="44">
        <f t="shared" si="16"/>
        <v>2040413</v>
      </c>
      <c r="D136" s="44">
        <f>ServantPieceStore_BackUp!$F$8</f>
        <v>1040101</v>
      </c>
      <c r="E136" s="44">
        <f t="shared" si="17"/>
        <v>4</v>
      </c>
      <c r="F136" s="44">
        <v>20</v>
      </c>
      <c r="G136" s="41" t="s">
        <v>131</v>
      </c>
      <c r="H136" s="44">
        <v>2</v>
      </c>
      <c r="I136" s="44" t="str">
        <f t="shared" si="18"/>
        <v>Gem</v>
      </c>
      <c r="J136" s="44">
        <f>H136*40</f>
        <v>80</v>
      </c>
    </row>
    <row r="137" spans="1:10" ht="16.5" customHeight="1" x14ac:dyDescent="0.3">
      <c r="A137" s="42" t="b">
        <v>1</v>
      </c>
      <c r="B137" s="43" t="s">
        <v>201</v>
      </c>
      <c r="C137" s="44">
        <f t="shared" si="16"/>
        <v>2040414</v>
      </c>
      <c r="D137" s="44">
        <f>ServantPieceStore_BackUp!$F$8</f>
        <v>1040101</v>
      </c>
      <c r="E137" s="44">
        <f t="shared" si="17"/>
        <v>4</v>
      </c>
      <c r="F137" s="44">
        <v>20</v>
      </c>
      <c r="G137" s="40">
        <f>G136+1</f>
        <v>155103002</v>
      </c>
      <c r="H137" s="44">
        <v>3</v>
      </c>
      <c r="I137" s="44" t="str">
        <f t="shared" si="18"/>
        <v>Gem</v>
      </c>
      <c r="J137" s="44">
        <f>H137*40</f>
        <v>120</v>
      </c>
    </row>
    <row r="138" spans="1:10" ht="16.5" customHeight="1" x14ac:dyDescent="0.3">
      <c r="A138" s="42" t="b">
        <v>1</v>
      </c>
      <c r="B138" s="43" t="s">
        <v>201</v>
      </c>
      <c r="C138" s="44">
        <f t="shared" si="16"/>
        <v>2040415</v>
      </c>
      <c r="D138" s="44">
        <f>ServantPieceStore_BackUp!$F$8</f>
        <v>1040101</v>
      </c>
      <c r="E138" s="44">
        <f t="shared" si="17"/>
        <v>4</v>
      </c>
      <c r="F138" s="44">
        <v>20</v>
      </c>
      <c r="G138" s="40">
        <f>G137+1</f>
        <v>155103003</v>
      </c>
      <c r="H138" s="44">
        <v>2</v>
      </c>
      <c r="I138" s="44" t="str">
        <f t="shared" si="18"/>
        <v>Gold</v>
      </c>
      <c r="J138" s="44">
        <f>H138*10000</f>
        <v>20000</v>
      </c>
    </row>
    <row r="139" spans="1:10" ht="16.5" customHeight="1" x14ac:dyDescent="0.3">
      <c r="A139" s="42" t="b">
        <v>1</v>
      </c>
      <c r="B139" s="43" t="s">
        <v>201</v>
      </c>
      <c r="C139" s="44">
        <f t="shared" si="16"/>
        <v>2040416</v>
      </c>
      <c r="D139" s="44">
        <f>ServantPieceStore_BackUp!$F$8</f>
        <v>1040101</v>
      </c>
      <c r="E139" s="44">
        <f t="shared" si="17"/>
        <v>4</v>
      </c>
      <c r="F139" s="44">
        <v>20</v>
      </c>
      <c r="G139" s="40">
        <f>G138+1</f>
        <v>155103004</v>
      </c>
      <c r="H139" s="44">
        <v>3</v>
      </c>
      <c r="I139" s="44" t="str">
        <f t="shared" si="18"/>
        <v>Gem</v>
      </c>
      <c r="J139" s="44">
        <f>H139*40</f>
        <v>120</v>
      </c>
    </row>
    <row r="140" spans="1:10" ht="16.5" customHeight="1" x14ac:dyDescent="0.3">
      <c r="A140" s="37" t="b">
        <v>1</v>
      </c>
      <c r="B140" s="38" t="s">
        <v>202</v>
      </c>
      <c r="C140" s="39">
        <f>C124+100</f>
        <v>2040501</v>
      </c>
      <c r="D140" s="40">
        <f>ServantPieceStore_BackUp!$F$8</f>
        <v>1040101</v>
      </c>
      <c r="E140" s="39">
        <f>E124+1</f>
        <v>5</v>
      </c>
      <c r="F140" s="40">
        <v>5</v>
      </c>
      <c r="G140" s="45">
        <v>155101001</v>
      </c>
      <c r="H140" s="40">
        <v>1</v>
      </c>
      <c r="I140" s="40" t="str">
        <f t="shared" si="18"/>
        <v>Gem</v>
      </c>
      <c r="J140" s="40">
        <f>H140*40</f>
        <v>40</v>
      </c>
    </row>
    <row r="141" spans="1:10" ht="16.5" customHeight="1" x14ac:dyDescent="0.3">
      <c r="A141" s="37" t="b">
        <v>1</v>
      </c>
      <c r="B141" s="38" t="s">
        <v>202</v>
      </c>
      <c r="C141" s="40">
        <f t="shared" ref="C141:C155" si="19">C140+1</f>
        <v>2040502</v>
      </c>
      <c r="D141" s="40">
        <f>ServantPieceStore_BackUp!$F$8</f>
        <v>1040101</v>
      </c>
      <c r="E141" s="40">
        <f t="shared" ref="E141:E155" si="20">E140</f>
        <v>5</v>
      </c>
      <c r="F141" s="40">
        <v>5</v>
      </c>
      <c r="G141" s="40">
        <f>G140+1</f>
        <v>155101002</v>
      </c>
      <c r="H141" s="40">
        <v>2</v>
      </c>
      <c r="I141" s="40" t="str">
        <f t="shared" si="18"/>
        <v>Gold</v>
      </c>
      <c r="J141" s="40">
        <f>H141*10000</f>
        <v>20000</v>
      </c>
    </row>
    <row r="142" spans="1:10" ht="16.5" customHeight="1" x14ac:dyDescent="0.3">
      <c r="A142" s="37" t="b">
        <v>1</v>
      </c>
      <c r="B142" s="38" t="s">
        <v>202</v>
      </c>
      <c r="C142" s="40">
        <f t="shared" si="19"/>
        <v>2040503</v>
      </c>
      <c r="D142" s="40">
        <f>ServantPieceStore_BackUp!$F$8</f>
        <v>1040101</v>
      </c>
      <c r="E142" s="40">
        <f t="shared" si="20"/>
        <v>5</v>
      </c>
      <c r="F142" s="40">
        <v>5</v>
      </c>
      <c r="G142" s="40">
        <f>G141+1</f>
        <v>155101003</v>
      </c>
      <c r="H142" s="40">
        <v>1</v>
      </c>
      <c r="I142" s="40" t="str">
        <f t="shared" si="18"/>
        <v>Gem</v>
      </c>
      <c r="J142" s="40">
        <f>H142*40</f>
        <v>40</v>
      </c>
    </row>
    <row r="143" spans="1:10" ht="16.5" customHeight="1" x14ac:dyDescent="0.3">
      <c r="A143" s="37" t="b">
        <v>1</v>
      </c>
      <c r="B143" s="38" t="s">
        <v>202</v>
      </c>
      <c r="C143" s="40">
        <f t="shared" si="19"/>
        <v>2040504</v>
      </c>
      <c r="D143" s="40">
        <f>ServantPieceStore_BackUp!$F$8</f>
        <v>1040101</v>
      </c>
      <c r="E143" s="40">
        <f t="shared" si="20"/>
        <v>5</v>
      </c>
      <c r="F143" s="40">
        <v>5</v>
      </c>
      <c r="G143" s="40">
        <f>G142+1</f>
        <v>155101004</v>
      </c>
      <c r="H143" s="40">
        <v>2</v>
      </c>
      <c r="I143" s="40" t="str">
        <f t="shared" si="18"/>
        <v>Gold</v>
      </c>
      <c r="J143" s="40">
        <f>H143*10000</f>
        <v>20000</v>
      </c>
    </row>
    <row r="144" spans="1:10" ht="16.5" customHeight="1" x14ac:dyDescent="0.3">
      <c r="A144" s="37" t="b">
        <v>1</v>
      </c>
      <c r="B144" s="38" t="s">
        <v>202</v>
      </c>
      <c r="C144" s="40">
        <f t="shared" si="19"/>
        <v>2040505</v>
      </c>
      <c r="D144" s="40">
        <f>ServantPieceStore_BackUp!$F$8</f>
        <v>1040101</v>
      </c>
      <c r="E144" s="40">
        <f t="shared" si="20"/>
        <v>5</v>
      </c>
      <c r="F144" s="40">
        <v>5</v>
      </c>
      <c r="G144" s="40">
        <f>G143+1</f>
        <v>155101005</v>
      </c>
      <c r="H144" s="40">
        <v>1</v>
      </c>
      <c r="I144" s="40" t="str">
        <f t="shared" si="18"/>
        <v>Gem</v>
      </c>
      <c r="J144" s="40">
        <f>H144*40</f>
        <v>40</v>
      </c>
    </row>
    <row r="145" spans="1:10" ht="16.5" customHeight="1" x14ac:dyDescent="0.3">
      <c r="A145" s="37" t="b">
        <v>1</v>
      </c>
      <c r="B145" s="38" t="s">
        <v>202</v>
      </c>
      <c r="C145" s="40">
        <f t="shared" si="19"/>
        <v>2040506</v>
      </c>
      <c r="D145" s="40">
        <f>ServantPieceStore_BackUp!$F$8</f>
        <v>1040101</v>
      </c>
      <c r="E145" s="40">
        <f t="shared" si="20"/>
        <v>5</v>
      </c>
      <c r="F145" s="40">
        <v>5</v>
      </c>
      <c r="G145" s="40">
        <f>G144+1</f>
        <v>155101006</v>
      </c>
      <c r="H145" s="40">
        <v>2</v>
      </c>
      <c r="I145" s="40" t="str">
        <f t="shared" si="18"/>
        <v>Gold</v>
      </c>
      <c r="J145" s="40">
        <f>H145*10000</f>
        <v>20000</v>
      </c>
    </row>
    <row r="146" spans="1:10" ht="16.5" customHeight="1" x14ac:dyDescent="0.3">
      <c r="A146" s="37" t="b">
        <v>1</v>
      </c>
      <c r="B146" s="38" t="s">
        <v>202</v>
      </c>
      <c r="C146" s="40">
        <f t="shared" si="19"/>
        <v>2040507</v>
      </c>
      <c r="D146" s="40">
        <f>ServantPieceStore_BackUp!$F$8</f>
        <v>1040101</v>
      </c>
      <c r="E146" s="40">
        <f t="shared" si="20"/>
        <v>5</v>
      </c>
      <c r="F146" s="40">
        <v>10</v>
      </c>
      <c r="G146" s="45" t="s">
        <v>130</v>
      </c>
      <c r="H146" s="40">
        <v>1</v>
      </c>
      <c r="I146" s="40" t="str">
        <f t="shared" si="18"/>
        <v>Gem</v>
      </c>
      <c r="J146" s="40">
        <f>H146*40</f>
        <v>40</v>
      </c>
    </row>
    <row r="147" spans="1:10" ht="16.5" customHeight="1" x14ac:dyDescent="0.3">
      <c r="A147" s="37" t="b">
        <v>1</v>
      </c>
      <c r="B147" s="38" t="s">
        <v>202</v>
      </c>
      <c r="C147" s="40">
        <f t="shared" si="19"/>
        <v>2040508</v>
      </c>
      <c r="D147" s="40">
        <f>ServantPieceStore_BackUp!$F$8</f>
        <v>1040101</v>
      </c>
      <c r="E147" s="40">
        <f t="shared" si="20"/>
        <v>5</v>
      </c>
      <c r="F147" s="40">
        <v>10</v>
      </c>
      <c r="G147" s="40">
        <f>G146+1</f>
        <v>155102002</v>
      </c>
      <c r="H147" s="40">
        <v>2</v>
      </c>
      <c r="I147" s="40" t="str">
        <f t="shared" si="18"/>
        <v>Gem</v>
      </c>
      <c r="J147" s="40">
        <f>H147*40</f>
        <v>80</v>
      </c>
    </row>
    <row r="148" spans="1:10" ht="16.5" customHeight="1" x14ac:dyDescent="0.3">
      <c r="A148" s="37" t="b">
        <v>1</v>
      </c>
      <c r="B148" s="38" t="s">
        <v>202</v>
      </c>
      <c r="C148" s="40">
        <f t="shared" si="19"/>
        <v>2040509</v>
      </c>
      <c r="D148" s="40">
        <f>ServantPieceStore_BackUp!$F$8</f>
        <v>1040101</v>
      </c>
      <c r="E148" s="40">
        <f t="shared" si="20"/>
        <v>5</v>
      </c>
      <c r="F148" s="40">
        <v>10</v>
      </c>
      <c r="G148" s="40">
        <f>G147+1</f>
        <v>155102003</v>
      </c>
      <c r="H148" s="40">
        <v>2</v>
      </c>
      <c r="I148" s="40" t="str">
        <f t="shared" si="18"/>
        <v>Gold</v>
      </c>
      <c r="J148" s="40">
        <f>H148*10000</f>
        <v>20000</v>
      </c>
    </row>
    <row r="149" spans="1:10" ht="16.5" customHeight="1" x14ac:dyDescent="0.3">
      <c r="A149" s="37" t="b">
        <v>1</v>
      </c>
      <c r="B149" s="38" t="s">
        <v>202</v>
      </c>
      <c r="C149" s="40">
        <f t="shared" si="19"/>
        <v>2040510</v>
      </c>
      <c r="D149" s="40">
        <f>ServantPieceStore_BackUp!$F$8</f>
        <v>1040101</v>
      </c>
      <c r="E149" s="40">
        <f t="shared" si="20"/>
        <v>5</v>
      </c>
      <c r="F149" s="40">
        <v>10</v>
      </c>
      <c r="G149" s="40">
        <f>G148+1</f>
        <v>155102004</v>
      </c>
      <c r="H149" s="40">
        <v>1</v>
      </c>
      <c r="I149" s="40" t="str">
        <f t="shared" si="18"/>
        <v>Gem</v>
      </c>
      <c r="J149" s="40">
        <f>H149*40</f>
        <v>40</v>
      </c>
    </row>
    <row r="150" spans="1:10" ht="16.5" customHeight="1" x14ac:dyDescent="0.3">
      <c r="A150" s="37" t="b">
        <v>1</v>
      </c>
      <c r="B150" s="38" t="s">
        <v>202</v>
      </c>
      <c r="C150" s="40">
        <f t="shared" si="19"/>
        <v>2040511</v>
      </c>
      <c r="D150" s="40">
        <f>ServantPieceStore_BackUp!$F$8</f>
        <v>1040101</v>
      </c>
      <c r="E150" s="40">
        <f t="shared" si="20"/>
        <v>5</v>
      </c>
      <c r="F150" s="40">
        <v>10</v>
      </c>
      <c r="G150" s="40">
        <f>G149+1</f>
        <v>155102005</v>
      </c>
      <c r="H150" s="40">
        <v>2</v>
      </c>
      <c r="I150" s="40" t="str">
        <f t="shared" si="18"/>
        <v>Gem</v>
      </c>
      <c r="J150" s="40">
        <f>H150*40</f>
        <v>80</v>
      </c>
    </row>
    <row r="151" spans="1:10" ht="16.5" customHeight="1" x14ac:dyDescent="0.3">
      <c r="A151" s="37" t="b">
        <v>1</v>
      </c>
      <c r="B151" s="38" t="s">
        <v>202</v>
      </c>
      <c r="C151" s="40">
        <f t="shared" si="19"/>
        <v>2040512</v>
      </c>
      <c r="D151" s="40">
        <f>ServantPieceStore_BackUp!$F$8</f>
        <v>1040101</v>
      </c>
      <c r="E151" s="40">
        <f t="shared" si="20"/>
        <v>5</v>
      </c>
      <c r="F151" s="40">
        <v>10</v>
      </c>
      <c r="G151" s="40">
        <f>G150+1</f>
        <v>155102006</v>
      </c>
      <c r="H151" s="40">
        <v>2</v>
      </c>
      <c r="I151" s="40" t="str">
        <f t="shared" si="18"/>
        <v>Gold</v>
      </c>
      <c r="J151" s="40">
        <f>H151*10000</f>
        <v>20000</v>
      </c>
    </row>
    <row r="152" spans="1:10" ht="16.5" customHeight="1" x14ac:dyDescent="0.3">
      <c r="A152" s="37" t="b">
        <v>1</v>
      </c>
      <c r="B152" s="38" t="s">
        <v>202</v>
      </c>
      <c r="C152" s="40">
        <f t="shared" si="19"/>
        <v>2040513</v>
      </c>
      <c r="D152" s="40">
        <f>ServantPieceStore_BackUp!$F$8</f>
        <v>1040101</v>
      </c>
      <c r="E152" s="40">
        <f t="shared" si="20"/>
        <v>5</v>
      </c>
      <c r="F152" s="40">
        <v>20</v>
      </c>
      <c r="G152" s="41" t="s">
        <v>131</v>
      </c>
      <c r="H152" s="40">
        <v>2</v>
      </c>
      <c r="I152" s="40" t="str">
        <f t="shared" si="18"/>
        <v>Gem</v>
      </c>
      <c r="J152" s="40">
        <f>H152*40</f>
        <v>80</v>
      </c>
    </row>
    <row r="153" spans="1:10" ht="16.5" customHeight="1" x14ac:dyDescent="0.3">
      <c r="A153" s="37" t="b">
        <v>1</v>
      </c>
      <c r="B153" s="38" t="s">
        <v>202</v>
      </c>
      <c r="C153" s="40">
        <f t="shared" si="19"/>
        <v>2040514</v>
      </c>
      <c r="D153" s="40">
        <f>ServantPieceStore_BackUp!$F$8</f>
        <v>1040101</v>
      </c>
      <c r="E153" s="40">
        <f t="shared" si="20"/>
        <v>5</v>
      </c>
      <c r="F153" s="40">
        <v>20</v>
      </c>
      <c r="G153" s="40">
        <f>G152+1</f>
        <v>155103002</v>
      </c>
      <c r="H153" s="40">
        <v>3</v>
      </c>
      <c r="I153" s="40" t="str">
        <f t="shared" si="18"/>
        <v>Gem</v>
      </c>
      <c r="J153" s="40">
        <f>H153*40</f>
        <v>120</v>
      </c>
    </row>
    <row r="154" spans="1:10" ht="16.5" customHeight="1" x14ac:dyDescent="0.3">
      <c r="A154" s="37" t="b">
        <v>1</v>
      </c>
      <c r="B154" s="38" t="s">
        <v>202</v>
      </c>
      <c r="C154" s="40">
        <f t="shared" si="19"/>
        <v>2040515</v>
      </c>
      <c r="D154" s="40">
        <f>ServantPieceStore_BackUp!$F$8</f>
        <v>1040101</v>
      </c>
      <c r="E154" s="40">
        <f t="shared" si="20"/>
        <v>5</v>
      </c>
      <c r="F154" s="40">
        <v>30</v>
      </c>
      <c r="G154" s="40">
        <f>G153+1</f>
        <v>155103003</v>
      </c>
      <c r="H154" s="40">
        <v>2</v>
      </c>
      <c r="I154" s="40" t="str">
        <f t="shared" si="18"/>
        <v>Gold</v>
      </c>
      <c r="J154" s="40">
        <f>H154*10000</f>
        <v>20000</v>
      </c>
    </row>
    <row r="155" spans="1:10" ht="16.5" customHeight="1" x14ac:dyDescent="0.3">
      <c r="A155" s="37" t="b">
        <v>1</v>
      </c>
      <c r="B155" s="38" t="s">
        <v>202</v>
      </c>
      <c r="C155" s="40">
        <f t="shared" si="19"/>
        <v>2040516</v>
      </c>
      <c r="D155" s="40">
        <f>ServantPieceStore_BackUp!$F$8</f>
        <v>1040101</v>
      </c>
      <c r="E155" s="40">
        <f t="shared" si="20"/>
        <v>5</v>
      </c>
      <c r="F155" s="40">
        <v>40</v>
      </c>
      <c r="G155" s="40">
        <f>G154+1</f>
        <v>155103004</v>
      </c>
      <c r="H155" s="40">
        <v>3</v>
      </c>
      <c r="I155" s="40" t="str">
        <f t="shared" si="18"/>
        <v>Gem</v>
      </c>
      <c r="J155" s="40">
        <f>H155*40</f>
        <v>120</v>
      </c>
    </row>
    <row r="156" spans="1:10" ht="16.5" customHeight="1" x14ac:dyDescent="0.3">
      <c r="A156" s="42" t="b">
        <v>1</v>
      </c>
      <c r="B156" s="43" t="s">
        <v>203</v>
      </c>
      <c r="C156" s="39">
        <f>C140+100</f>
        <v>2040601</v>
      </c>
      <c r="D156" s="44">
        <f>ServantPieceStore_BackUp!$F$8</f>
        <v>1040101</v>
      </c>
      <c r="E156" s="39">
        <f>E140+1</f>
        <v>6</v>
      </c>
      <c r="F156" s="44">
        <v>50</v>
      </c>
      <c r="G156" s="41" t="s">
        <v>118</v>
      </c>
      <c r="H156" s="44">
        <v>2</v>
      </c>
      <c r="I156" s="44" t="str">
        <f t="shared" si="18"/>
        <v>Gem</v>
      </c>
      <c r="J156" s="44">
        <f>H156*40</f>
        <v>80</v>
      </c>
    </row>
    <row r="157" spans="1:10" ht="16.5" customHeight="1" x14ac:dyDescent="0.3">
      <c r="A157" s="42" t="b">
        <v>1</v>
      </c>
      <c r="B157" s="43" t="s">
        <v>203</v>
      </c>
      <c r="C157" s="44">
        <f>C156+1</f>
        <v>2040602</v>
      </c>
      <c r="D157" s="44">
        <f>ServantPieceStore_BackUp!$F$8</f>
        <v>1040101</v>
      </c>
      <c r="E157" s="44">
        <f>E156</f>
        <v>6</v>
      </c>
      <c r="F157" s="44">
        <v>30</v>
      </c>
      <c r="G157" s="40">
        <f>G156+1</f>
        <v>155103004</v>
      </c>
      <c r="H157" s="44">
        <v>3</v>
      </c>
      <c r="I157" s="44" t="str">
        <f t="shared" si="18"/>
        <v>Gem</v>
      </c>
      <c r="J157" s="44">
        <f>H157*40</f>
        <v>120</v>
      </c>
    </row>
  </sheetData>
  <phoneticPr fontId="3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75"/>
  <sheetViews>
    <sheetView workbookViewId="0">
      <pane ySplit="3" topLeftCell="A4" activePane="bottomLeft" state="frozen"/>
      <selection pane="bottomLeft" activeCell="P17" sqref="P17"/>
    </sheetView>
  </sheetViews>
  <sheetFormatPr defaultRowHeight="16.5" x14ac:dyDescent="0.3"/>
  <cols>
    <col min="1" max="1" width="1.625" style="50" customWidth="1"/>
    <col min="2" max="2" width="4.75" style="50" bestFit="1" customWidth="1"/>
    <col min="3" max="3" width="17.5" style="50" bestFit="1" customWidth="1"/>
    <col min="4" max="4" width="6" style="130" bestFit="1" customWidth="1"/>
    <col min="5" max="5" width="7.875" style="50" customWidth="1"/>
    <col min="6" max="6" width="8.75" style="50" bestFit="1" customWidth="1"/>
    <col min="7" max="7" width="1.25" style="50" customWidth="1"/>
    <col min="8" max="37" width="6" style="50" customWidth="1"/>
    <col min="38" max="16384" width="9" style="50"/>
  </cols>
  <sheetData>
    <row r="2" spans="2:37" x14ac:dyDescent="0.3">
      <c r="B2" s="116"/>
      <c r="C2" s="285" t="s">
        <v>322</v>
      </c>
      <c r="D2" s="307" t="s">
        <v>301</v>
      </c>
      <c r="E2" s="308" t="s">
        <v>236</v>
      </c>
      <c r="F2" s="308" t="s">
        <v>257</v>
      </c>
      <c r="H2" s="284" t="s">
        <v>235</v>
      </c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</row>
    <row r="3" spans="2:37" x14ac:dyDescent="0.3">
      <c r="B3" s="116"/>
      <c r="C3" s="285"/>
      <c r="D3" s="307"/>
      <c r="E3" s="308"/>
      <c r="F3" s="308"/>
      <c r="H3" s="105">
        <v>1</v>
      </c>
      <c r="I3" s="105">
        <v>2</v>
      </c>
      <c r="J3" s="105">
        <v>3</v>
      </c>
      <c r="K3" s="105">
        <v>4</v>
      </c>
      <c r="L3" s="105">
        <v>5</v>
      </c>
      <c r="M3" s="105">
        <v>6</v>
      </c>
      <c r="N3" s="105">
        <v>7</v>
      </c>
      <c r="O3" s="105">
        <v>8</v>
      </c>
      <c r="P3" s="105">
        <v>9</v>
      </c>
      <c r="Q3" s="105">
        <v>10</v>
      </c>
      <c r="R3" s="105">
        <v>11</v>
      </c>
      <c r="S3" s="105">
        <v>12</v>
      </c>
      <c r="T3" s="105">
        <v>13</v>
      </c>
      <c r="U3" s="105">
        <v>14</v>
      </c>
      <c r="V3" s="105">
        <v>15</v>
      </c>
      <c r="W3" s="105">
        <v>16</v>
      </c>
      <c r="X3" s="105">
        <v>17</v>
      </c>
      <c r="Y3" s="105">
        <v>18</v>
      </c>
      <c r="Z3" s="105">
        <v>19</v>
      </c>
      <c r="AA3" s="105">
        <v>20</v>
      </c>
      <c r="AB3" s="105">
        <v>21</v>
      </c>
      <c r="AC3" s="105">
        <v>22</v>
      </c>
      <c r="AD3" s="105">
        <v>23</v>
      </c>
      <c r="AE3" s="105">
        <v>24</v>
      </c>
      <c r="AF3" s="105">
        <v>25</v>
      </c>
      <c r="AG3" s="105">
        <v>26</v>
      </c>
      <c r="AH3" s="105">
        <v>27</v>
      </c>
      <c r="AI3" s="105">
        <v>28</v>
      </c>
      <c r="AJ3" s="105">
        <v>29</v>
      </c>
      <c r="AK3" s="105">
        <v>30</v>
      </c>
    </row>
    <row r="4" spans="2:37" ht="16.5" customHeight="1" x14ac:dyDescent="0.3">
      <c r="B4" s="309" t="s">
        <v>249</v>
      </c>
      <c r="C4" s="310" t="s">
        <v>217</v>
      </c>
      <c r="D4" s="125">
        <v>1</v>
      </c>
      <c r="E4" s="117">
        <f>VLOOKUP($C$4,ServantLevelUPdStatus!$B$5:$AD$29,3,FALSE)+(VLOOKUP($C$4,ServantLevelUPdStatus!$B$5:$AD$29,3,FALSE)*0.5*(Simulator_HP!$D4-1))</f>
        <v>568</v>
      </c>
      <c r="F4" s="117">
        <f>VLOOKUP($C$4,ServantLevelUPdStatus!$B$5:$AD$29,3,FALSE)</f>
        <v>568</v>
      </c>
      <c r="H4" s="112">
        <f>VLOOKUP($C$4,Servant!$B$5:$AD$29,15,FALSE)+($F4+($F4*0.5*($D4-1)))*(H$3-1)</f>
        <v>1525</v>
      </c>
      <c r="I4" s="112">
        <f>VLOOKUP($C$4,Servant!$B$5:$AD$29,15,FALSE)+($F4+($F4*0.5*($D4-1)))*(I$3-1)</f>
        <v>2093</v>
      </c>
      <c r="J4" s="112">
        <f>VLOOKUP($C$4,Servant!$B$5:$AD$29,15,FALSE)+($F4+($F4*0.5*($D4-1)))*(J$3-1)</f>
        <v>2661</v>
      </c>
      <c r="K4" s="112">
        <f>VLOOKUP($C$4,Servant!$B$5:$AD$29,15,FALSE)+($F4+($F4*0.5*($D4-1)))*(K$3-1)</f>
        <v>3229</v>
      </c>
      <c r="L4" s="112">
        <f>VLOOKUP($C$4,Servant!$B$5:$AD$29,15,FALSE)+($F4+($F4*0.5*($D4-1)))*(L$3-1)</f>
        <v>3797</v>
      </c>
      <c r="M4" s="112">
        <f>VLOOKUP($C$4,Servant!$B$5:$AD$29,15,FALSE)+($F4+($F4*0.5*($D4-1)))*(M$3-1)</f>
        <v>4365</v>
      </c>
      <c r="N4" s="112">
        <f>VLOOKUP($C$4,Servant!$B$5:$AD$29,15,FALSE)+($F4+($F4*0.5*($D4-1)))*(N$3-1)</f>
        <v>4933</v>
      </c>
      <c r="O4" s="112">
        <f>VLOOKUP($C$4,Servant!$B$5:$AD$29,15,FALSE)+($F4+($F4*0.5*($D4-1)))*(O$3-1)</f>
        <v>5501</v>
      </c>
      <c r="P4" s="112">
        <f>VLOOKUP($C$4,Servant!$B$5:$AD$29,15,FALSE)+($F4+($F4*0.5*($D4-1)))*(P$3-1)</f>
        <v>6069</v>
      </c>
      <c r="Q4" s="112">
        <f>VLOOKUP($C$4,Servant!$B$5:$AD$29,15,FALSE)+($F4+($F4*0.5*($D4-1)))*(Q$3-1)</f>
        <v>6637</v>
      </c>
      <c r="R4" s="112">
        <f>VLOOKUP($C$4,Servant!$B$5:$AD$29,15,FALSE)+($F4+($F4*0.5*($D4-1)))*(R$3-1)</f>
        <v>7205</v>
      </c>
      <c r="S4" s="112">
        <f>VLOOKUP($C$4,Servant!$B$5:$AD$29,15,FALSE)+($F4+($F4*0.5*($D4-1)))*(S$3-1)</f>
        <v>7773</v>
      </c>
      <c r="T4" s="112">
        <f>VLOOKUP($C$4,Servant!$B$5:$AD$29,15,FALSE)+($F4+($F4*0.5*($D4-1)))*(T$3-1)</f>
        <v>8341</v>
      </c>
      <c r="U4" s="112">
        <f>VLOOKUP($C$4,Servant!$B$5:$AD$29,15,FALSE)+($F4+($F4*0.5*($D4-1)))*(U$3-1)</f>
        <v>8909</v>
      </c>
      <c r="V4" s="112">
        <f>VLOOKUP($C$4,Servant!$B$5:$AD$29,15,FALSE)+($F4+($F4*0.5*($D4-1)))*(V$3-1)</f>
        <v>9477</v>
      </c>
      <c r="W4" s="112">
        <f>VLOOKUP($C$4,Servant!$B$5:$AD$29,15,FALSE)+($F4+($F4*0.5*($D4-1)))*(W$3-1)</f>
        <v>10045</v>
      </c>
      <c r="X4" s="112">
        <f>VLOOKUP($C$4,Servant!$B$5:$AD$29,15,FALSE)+($F4+($F4*0.5*($D4-1)))*(X$3-1)</f>
        <v>10613</v>
      </c>
      <c r="Y4" s="112">
        <f>VLOOKUP($C$4,Servant!$B$5:$AD$29,15,FALSE)+($F4+($F4*0.5*($D4-1)))*(Y$3-1)</f>
        <v>11181</v>
      </c>
      <c r="Z4" s="112">
        <f>VLOOKUP($C$4,Servant!$B$5:$AD$29,15,FALSE)+($F4+($F4*0.5*($D4-1)))*(Z$3-1)</f>
        <v>11749</v>
      </c>
      <c r="AA4" s="112">
        <f>VLOOKUP($C$4,Servant!$B$5:$AD$29,15,FALSE)+($F4+($F4*0.5*($D4-1)))*(AA$3-1)</f>
        <v>12317</v>
      </c>
      <c r="AB4" s="112">
        <f>VLOOKUP($C$4,Servant!$B$5:$AD$29,15,FALSE)+($F4+($F4*0.5*($D4-1)))*(AB$3-1)</f>
        <v>12885</v>
      </c>
      <c r="AC4" s="112">
        <f>VLOOKUP($C$4,Servant!$B$5:$AD$29,15,FALSE)+($F4+($F4*0.5*($D4-1)))*(AC$3-1)</f>
        <v>13453</v>
      </c>
      <c r="AD4" s="112">
        <f>VLOOKUP($C$4,Servant!$B$5:$AD$29,15,FALSE)+($F4+($F4*0.5*($D4-1)))*(AD$3-1)</f>
        <v>14021</v>
      </c>
      <c r="AE4" s="112">
        <f>VLOOKUP($C$4,Servant!$B$5:$AD$29,15,FALSE)+($F4+($F4*0.5*($D4-1)))*(AE$3-1)</f>
        <v>14589</v>
      </c>
      <c r="AF4" s="112">
        <f>VLOOKUP($C$4,Servant!$B$5:$AD$29,15,FALSE)+($F4+($F4*0.5*($D4-1)))*(AF$3-1)</f>
        <v>15157</v>
      </c>
      <c r="AG4" s="112">
        <f>VLOOKUP($C$4,Servant!$B$5:$AD$29,15,FALSE)+($F4+($F4*0.5*($D4-1)))*(AG$3-1)</f>
        <v>15725</v>
      </c>
      <c r="AH4" s="112">
        <f>VLOOKUP($C$4,Servant!$B$5:$AD$29,15,FALSE)+($F4+($F4*0.5*($D4-1)))*(AH$3-1)</f>
        <v>16293</v>
      </c>
      <c r="AI4" s="112">
        <f>VLOOKUP($C$4,Servant!$B$5:$AD$29,15,FALSE)+($F4+($F4*0.5*($D4-1)))*(AI$3-1)</f>
        <v>16861</v>
      </c>
      <c r="AJ4" s="112">
        <f>VLOOKUP($C$4,Servant!$B$5:$AD$29,15,FALSE)+($F4+($F4*0.5*($D4-1)))*(AJ$3-1)</f>
        <v>17429</v>
      </c>
      <c r="AK4" s="112">
        <f>VLOOKUP($C$4,Servant!$B$5:$AD$29,15,FALSE)+($F4+($F4*0.5*($D4-1)))*(AK$3-1)</f>
        <v>17997</v>
      </c>
    </row>
    <row r="5" spans="2:37" x14ac:dyDescent="0.3">
      <c r="B5" s="309"/>
      <c r="C5" s="311"/>
      <c r="D5" s="126">
        <v>2</v>
      </c>
      <c r="E5" s="117">
        <f>VLOOKUP($C$4,ServantLevelUPdStatus!$B$5:$AD$29,3,FALSE)+(VLOOKUP($C$4,ServantLevelUPdStatus!$B$5:$AD$29,3,FALSE)*0.5*(Simulator_HP!$D5-1))</f>
        <v>852</v>
      </c>
      <c r="F5" s="118">
        <f>F4</f>
        <v>568</v>
      </c>
      <c r="H5" s="112">
        <f>VLOOKUP($C$4,Servant!$B$5:$AD$29,15,FALSE)+($F5+($F5*0.5*($D5-1)))*(H$3-1)</f>
        <v>1525</v>
      </c>
      <c r="I5" s="112">
        <f>VLOOKUP($C$4,Servant!$B$5:$AD$29,15,FALSE)+($F5+($F5*0.5*($D5-1)))*(I$3-1)</f>
        <v>2377</v>
      </c>
      <c r="J5" s="112">
        <f>VLOOKUP($C$4,Servant!$B$5:$AD$29,15,FALSE)+($F5+($F5*0.5*($D5-1)))*(J$3-1)</f>
        <v>3229</v>
      </c>
      <c r="K5" s="112">
        <f>VLOOKUP($C$4,Servant!$B$5:$AD$29,15,FALSE)+($F5+($F5*0.5*($D5-1)))*(K$3-1)</f>
        <v>4081</v>
      </c>
      <c r="L5" s="112">
        <f>VLOOKUP($C$4,Servant!$B$5:$AD$29,15,FALSE)+($F5+($F5*0.5*($D5-1)))*(L$3-1)</f>
        <v>4933</v>
      </c>
      <c r="M5" s="112">
        <f>VLOOKUP($C$4,Servant!$B$5:$AD$29,15,FALSE)+($F5+($F5*0.5*($D5-1)))*(M$3-1)</f>
        <v>5785</v>
      </c>
      <c r="N5" s="112">
        <f>VLOOKUP($C$4,Servant!$B$5:$AD$29,15,FALSE)+($F5+($F5*0.5*($D5-1)))*(N$3-1)</f>
        <v>6637</v>
      </c>
      <c r="O5" s="112">
        <f>VLOOKUP($C$4,Servant!$B$5:$AD$29,15,FALSE)+($F5+($F5*0.5*($D5-1)))*(O$3-1)</f>
        <v>7489</v>
      </c>
      <c r="P5" s="112">
        <f>VLOOKUP($C$4,Servant!$B$5:$AD$29,15,FALSE)+($F5+($F5*0.5*($D5-1)))*(P$3-1)</f>
        <v>8341</v>
      </c>
      <c r="Q5" s="112">
        <f>VLOOKUP($C$4,Servant!$B$5:$AD$29,15,FALSE)+($F5+($F5*0.5*($D5-1)))*(Q$3-1)</f>
        <v>9193</v>
      </c>
      <c r="R5" s="112">
        <f>VLOOKUP($C$4,Servant!$B$5:$AD$29,15,FALSE)+($F5+($F5*0.5*($D5-1)))*(R$3-1)</f>
        <v>10045</v>
      </c>
      <c r="S5" s="112">
        <f>VLOOKUP($C$4,Servant!$B$5:$AD$29,15,FALSE)+($F5+($F5*0.5*($D5-1)))*(S$3-1)</f>
        <v>10897</v>
      </c>
      <c r="T5" s="112">
        <f>VLOOKUP($C$4,Servant!$B$5:$AD$29,15,FALSE)+($F5+($F5*0.5*($D5-1)))*(T$3-1)</f>
        <v>11749</v>
      </c>
      <c r="U5" s="112">
        <f>VLOOKUP($C$4,Servant!$B$5:$AD$29,15,FALSE)+($F5+($F5*0.5*($D5-1)))*(U$3-1)</f>
        <v>12601</v>
      </c>
      <c r="V5" s="112">
        <f>VLOOKUP($C$4,Servant!$B$5:$AD$29,15,FALSE)+($F5+($F5*0.5*($D5-1)))*(V$3-1)</f>
        <v>13453</v>
      </c>
      <c r="W5" s="112">
        <f>VLOOKUP($C$4,Servant!$B$5:$AD$29,15,FALSE)+($F5+($F5*0.5*($D5-1)))*(W$3-1)</f>
        <v>14305</v>
      </c>
      <c r="X5" s="112">
        <f>VLOOKUP($C$4,Servant!$B$5:$AD$29,15,FALSE)+($F5+($F5*0.5*($D5-1)))*(X$3-1)</f>
        <v>15157</v>
      </c>
      <c r="Y5" s="112">
        <f>VLOOKUP($C$4,Servant!$B$5:$AD$29,15,FALSE)+($F5+($F5*0.5*($D5-1)))*(Y$3-1)</f>
        <v>16009</v>
      </c>
      <c r="Z5" s="112">
        <f>VLOOKUP($C$4,Servant!$B$5:$AD$29,15,FALSE)+($F5+($F5*0.5*($D5-1)))*(Z$3-1)</f>
        <v>16861</v>
      </c>
      <c r="AA5" s="112">
        <f>VLOOKUP($C$4,Servant!$B$5:$AD$29,15,FALSE)+($F5+($F5*0.5*($D5-1)))*(AA$3-1)</f>
        <v>17713</v>
      </c>
      <c r="AB5" s="112">
        <f>VLOOKUP($C$4,Servant!$B$5:$AD$29,15,FALSE)+($F5+($F5*0.5*($D5-1)))*(AB$3-1)</f>
        <v>18565</v>
      </c>
      <c r="AC5" s="112">
        <f>VLOOKUP($C$4,Servant!$B$5:$AD$29,15,FALSE)+($F5+($F5*0.5*($D5-1)))*(AC$3-1)</f>
        <v>19417</v>
      </c>
      <c r="AD5" s="112">
        <f>VLOOKUP($C$4,Servant!$B$5:$AD$29,15,FALSE)+($F5+($F5*0.5*($D5-1)))*(AD$3-1)</f>
        <v>20269</v>
      </c>
      <c r="AE5" s="112">
        <f>VLOOKUP($C$4,Servant!$B$5:$AD$29,15,FALSE)+($F5+($F5*0.5*($D5-1)))*(AE$3-1)</f>
        <v>21121</v>
      </c>
      <c r="AF5" s="112">
        <f>VLOOKUP($C$4,Servant!$B$5:$AD$29,15,FALSE)+($F5+($F5*0.5*($D5-1)))*(AF$3-1)</f>
        <v>21973</v>
      </c>
      <c r="AG5" s="112">
        <f>VLOOKUP($C$4,Servant!$B$5:$AD$29,15,FALSE)+($F5+($F5*0.5*($D5-1)))*(AG$3-1)</f>
        <v>22825</v>
      </c>
      <c r="AH5" s="112">
        <f>VLOOKUP($C$4,Servant!$B$5:$AD$29,15,FALSE)+($F5+($F5*0.5*($D5-1)))*(AH$3-1)</f>
        <v>23677</v>
      </c>
      <c r="AI5" s="112">
        <f>VLOOKUP($C$4,Servant!$B$5:$AD$29,15,FALSE)+($F5+($F5*0.5*($D5-1)))*(AI$3-1)</f>
        <v>24529</v>
      </c>
      <c r="AJ5" s="112">
        <f>VLOOKUP($C$4,Servant!$B$5:$AD$29,15,FALSE)+($F5+($F5*0.5*($D5-1)))*(AJ$3-1)</f>
        <v>25381</v>
      </c>
      <c r="AK5" s="112">
        <f>VLOOKUP($C$4,Servant!$B$5:$AD$29,15,FALSE)+($F5+($F5*0.5*($D5-1)))*(AK$3-1)</f>
        <v>26233</v>
      </c>
    </row>
    <row r="6" spans="2:37" x14ac:dyDescent="0.3">
      <c r="B6" s="309"/>
      <c r="C6" s="312"/>
      <c r="D6" s="126">
        <v>3</v>
      </c>
      <c r="E6" s="117">
        <f>VLOOKUP($C$4,ServantLevelUPdStatus!$B$5:$AD$29,3,FALSE)+(VLOOKUP($C$4,ServantLevelUPdStatus!$B$5:$AD$29,3,FALSE)*0.5*(Simulator_HP!$D6-1))</f>
        <v>1136</v>
      </c>
      <c r="F6" s="118">
        <f>F5</f>
        <v>568</v>
      </c>
      <c r="H6" s="112">
        <f>VLOOKUP($C$4,Servant!$B$5:$AD$29,15,FALSE)+($F6+($F6*0.5*($D6-1)))*(H$3-1)</f>
        <v>1525</v>
      </c>
      <c r="I6" s="112">
        <f>VLOOKUP($C$4,Servant!$B$5:$AD$29,15,FALSE)+($F6+($F6*0.5*($D6-1)))*(I$3-1)</f>
        <v>2661</v>
      </c>
      <c r="J6" s="112">
        <f>VLOOKUP($C$4,Servant!$B$5:$AD$29,15,FALSE)+($F6+($F6*0.5*($D6-1)))*(J$3-1)</f>
        <v>3797</v>
      </c>
      <c r="K6" s="112">
        <f>VLOOKUP($C$4,Servant!$B$5:$AD$29,15,FALSE)+($F6+($F6*0.5*($D6-1)))*(K$3-1)</f>
        <v>4933</v>
      </c>
      <c r="L6" s="112">
        <f>VLOOKUP($C$4,Servant!$B$5:$AD$29,15,FALSE)+($F6+($F6*0.5*($D6-1)))*(L$3-1)</f>
        <v>6069</v>
      </c>
      <c r="M6" s="112">
        <f>VLOOKUP($C$4,Servant!$B$5:$AD$29,15,FALSE)+($F6+($F6*0.5*($D6-1)))*(M$3-1)</f>
        <v>7205</v>
      </c>
      <c r="N6" s="112">
        <f>VLOOKUP($C$4,Servant!$B$5:$AD$29,15,FALSE)+($F6+($F6*0.5*($D6-1)))*(N$3-1)</f>
        <v>8341</v>
      </c>
      <c r="O6" s="112">
        <f>VLOOKUP($C$4,Servant!$B$5:$AD$29,15,FALSE)+($F6+($F6*0.5*($D6-1)))*(O$3-1)</f>
        <v>9477</v>
      </c>
      <c r="P6" s="112">
        <f>VLOOKUP($C$4,Servant!$B$5:$AD$29,15,FALSE)+($F6+($F6*0.5*($D6-1)))*(P$3-1)</f>
        <v>10613</v>
      </c>
      <c r="Q6" s="112">
        <f>VLOOKUP($C$4,Servant!$B$5:$AD$29,15,FALSE)+($F6+($F6*0.5*($D6-1)))*(Q$3-1)</f>
        <v>11749</v>
      </c>
      <c r="R6" s="112">
        <f>VLOOKUP($C$4,Servant!$B$5:$AD$29,15,FALSE)+($F6+($F6*0.5*($D6-1)))*(R$3-1)</f>
        <v>12885</v>
      </c>
      <c r="S6" s="112">
        <f>VLOOKUP($C$4,Servant!$B$5:$AD$29,15,FALSE)+($F6+($F6*0.5*($D6-1)))*(S$3-1)</f>
        <v>14021</v>
      </c>
      <c r="T6" s="112">
        <f>VLOOKUP($C$4,Servant!$B$5:$AD$29,15,FALSE)+($F6+($F6*0.5*($D6-1)))*(T$3-1)</f>
        <v>15157</v>
      </c>
      <c r="U6" s="112">
        <f>VLOOKUP($C$4,Servant!$B$5:$AD$29,15,FALSE)+($F6+($F6*0.5*($D6-1)))*(U$3-1)</f>
        <v>16293</v>
      </c>
      <c r="V6" s="112">
        <f>VLOOKUP($C$4,Servant!$B$5:$AD$29,15,FALSE)+($F6+($F6*0.5*($D6-1)))*(V$3-1)</f>
        <v>17429</v>
      </c>
      <c r="W6" s="112">
        <f>VLOOKUP($C$4,Servant!$B$5:$AD$29,15,FALSE)+($F6+($F6*0.5*($D6-1)))*(W$3-1)</f>
        <v>18565</v>
      </c>
      <c r="X6" s="112">
        <f>VLOOKUP($C$4,Servant!$B$5:$AD$29,15,FALSE)+($F6+($F6*0.5*($D6-1)))*(X$3-1)</f>
        <v>19701</v>
      </c>
      <c r="Y6" s="112">
        <f>VLOOKUP($C$4,Servant!$B$5:$AD$29,15,FALSE)+($F6+($F6*0.5*($D6-1)))*(Y$3-1)</f>
        <v>20837</v>
      </c>
      <c r="Z6" s="112">
        <f>VLOOKUP($C$4,Servant!$B$5:$AD$29,15,FALSE)+($F6+($F6*0.5*($D6-1)))*(Z$3-1)</f>
        <v>21973</v>
      </c>
      <c r="AA6" s="112">
        <f>VLOOKUP($C$4,Servant!$B$5:$AD$29,15,FALSE)+($F6+($F6*0.5*($D6-1)))*(AA$3-1)</f>
        <v>23109</v>
      </c>
      <c r="AB6" s="112">
        <f>VLOOKUP($C$4,Servant!$B$5:$AD$29,15,FALSE)+($F6+($F6*0.5*($D6-1)))*(AB$3-1)</f>
        <v>24245</v>
      </c>
      <c r="AC6" s="112">
        <f>VLOOKUP($C$4,Servant!$B$5:$AD$29,15,FALSE)+($F6+($F6*0.5*($D6-1)))*(AC$3-1)</f>
        <v>25381</v>
      </c>
      <c r="AD6" s="112">
        <f>VLOOKUP($C$4,Servant!$B$5:$AD$29,15,FALSE)+($F6+($F6*0.5*($D6-1)))*(AD$3-1)</f>
        <v>26517</v>
      </c>
      <c r="AE6" s="112">
        <f>VLOOKUP($C$4,Servant!$B$5:$AD$29,15,FALSE)+($F6+($F6*0.5*($D6-1)))*(AE$3-1)</f>
        <v>27653</v>
      </c>
      <c r="AF6" s="112">
        <f>VLOOKUP($C$4,Servant!$B$5:$AD$29,15,FALSE)+($F6+($F6*0.5*($D6-1)))*(AF$3-1)</f>
        <v>28789</v>
      </c>
      <c r="AG6" s="112">
        <f>VLOOKUP($C$4,Servant!$B$5:$AD$29,15,FALSE)+($F6+($F6*0.5*($D6-1)))*(AG$3-1)</f>
        <v>29925</v>
      </c>
      <c r="AH6" s="112">
        <f>VLOOKUP($C$4,Servant!$B$5:$AD$29,15,FALSE)+($F6+($F6*0.5*($D6-1)))*(AH$3-1)</f>
        <v>31061</v>
      </c>
      <c r="AI6" s="112">
        <f>VLOOKUP($C$4,Servant!$B$5:$AD$29,15,FALSE)+($F6+($F6*0.5*($D6-1)))*(AI$3-1)</f>
        <v>32197</v>
      </c>
      <c r="AJ6" s="112">
        <f>VLOOKUP($C$4,Servant!$B$5:$AD$29,15,FALSE)+($F6+($F6*0.5*($D6-1)))*(AJ$3-1)</f>
        <v>33333</v>
      </c>
      <c r="AK6" s="112">
        <f>VLOOKUP($C$4,Servant!$B$5:$AD$29,15,FALSE)+($F6+($F6*0.5*($D6-1)))*(AK$3-1)</f>
        <v>34469</v>
      </c>
    </row>
    <row r="7" spans="2:37" x14ac:dyDescent="0.3">
      <c r="B7" s="309"/>
      <c r="C7" s="313" t="s">
        <v>275</v>
      </c>
      <c r="D7" s="131">
        <v>1</v>
      </c>
      <c r="E7" s="132">
        <f>VLOOKUP($C$7,ServantLevelUPdStatus!$B$5:$AD$29,3,FALSE)+(VLOOKUP($C$7,ServantLevelUPdStatus!$B$5:$AD$29,3,FALSE)*0.5*(Simulator_HP!$D7-1))</f>
        <v>397</v>
      </c>
      <c r="F7" s="132">
        <f>VLOOKUP($C$7,ServantLevelUPdStatus!$B$5:$AD$29,3,FALSE)</f>
        <v>397</v>
      </c>
      <c r="H7" s="133">
        <f>VLOOKUP($C$7,Servant!$B$5:$AD$29,15,FALSE)+($F7+($F7*0.5*($D7-1)))*(H$3-1)</f>
        <v>1067</v>
      </c>
      <c r="I7" s="133">
        <f>VLOOKUP($C$7,Servant!$B$5:$AD$29,15,FALSE)+($F7+($F7*0.5*($D7-1)))*(I$3-1)</f>
        <v>1464</v>
      </c>
      <c r="J7" s="133">
        <f>VLOOKUP($C$7,Servant!$B$5:$AD$29,15,FALSE)+($F7+($F7*0.5*($D7-1)))*(J$3-1)</f>
        <v>1861</v>
      </c>
      <c r="K7" s="133">
        <f>VLOOKUP($C$7,Servant!$B$5:$AD$29,15,FALSE)+($F7+($F7*0.5*($D7-1)))*(K$3-1)</f>
        <v>2258</v>
      </c>
      <c r="L7" s="133">
        <f>VLOOKUP($C$7,Servant!$B$5:$AD$29,15,FALSE)+($F7+($F7*0.5*($D7-1)))*(L$3-1)</f>
        <v>2655</v>
      </c>
      <c r="M7" s="133">
        <f>VLOOKUP($C$7,Servant!$B$5:$AD$29,15,FALSE)+($F7+($F7*0.5*($D7-1)))*(M$3-1)</f>
        <v>3052</v>
      </c>
      <c r="N7" s="133">
        <f>VLOOKUP($C$7,Servant!$B$5:$AD$29,15,FALSE)+($F7+($F7*0.5*($D7-1)))*(N$3-1)</f>
        <v>3449</v>
      </c>
      <c r="O7" s="133">
        <f>VLOOKUP($C$7,Servant!$B$5:$AD$29,15,FALSE)+($F7+($F7*0.5*($D7-1)))*(O$3-1)</f>
        <v>3846</v>
      </c>
      <c r="P7" s="133">
        <f>VLOOKUP($C$7,Servant!$B$5:$AD$29,15,FALSE)+($F7+($F7*0.5*($D7-1)))*(P$3-1)</f>
        <v>4243</v>
      </c>
      <c r="Q7" s="133">
        <f>VLOOKUP($C$7,Servant!$B$5:$AD$29,15,FALSE)+($F7+($F7*0.5*($D7-1)))*(Q$3-1)</f>
        <v>4640</v>
      </c>
      <c r="R7" s="133">
        <f>VLOOKUP($C$7,Servant!$B$5:$AD$29,15,FALSE)+($F7+($F7*0.5*($D7-1)))*(R$3-1)</f>
        <v>5037</v>
      </c>
      <c r="S7" s="133">
        <f>VLOOKUP($C$7,Servant!$B$5:$AD$29,15,FALSE)+($F7+($F7*0.5*($D7-1)))*(S$3-1)</f>
        <v>5434</v>
      </c>
      <c r="T7" s="133">
        <f>VLOOKUP($C$7,Servant!$B$5:$AD$29,15,FALSE)+($F7+($F7*0.5*($D7-1)))*(T$3-1)</f>
        <v>5831</v>
      </c>
      <c r="U7" s="133">
        <f>VLOOKUP($C$7,Servant!$B$5:$AD$29,15,FALSE)+($F7+($F7*0.5*($D7-1)))*(U$3-1)</f>
        <v>6228</v>
      </c>
      <c r="V7" s="133">
        <f>VLOOKUP($C$7,Servant!$B$5:$AD$29,15,FALSE)+($F7+($F7*0.5*($D7-1)))*(V$3-1)</f>
        <v>6625</v>
      </c>
      <c r="W7" s="133">
        <f>VLOOKUP($C$7,Servant!$B$5:$AD$29,15,FALSE)+($F7+($F7*0.5*($D7-1)))*(W$3-1)</f>
        <v>7022</v>
      </c>
      <c r="X7" s="133">
        <f>VLOOKUP($C$7,Servant!$B$5:$AD$29,15,FALSE)+($F7+($F7*0.5*($D7-1)))*(X$3-1)</f>
        <v>7419</v>
      </c>
      <c r="Y7" s="133">
        <f>VLOOKUP($C$7,Servant!$B$5:$AD$29,15,FALSE)+($F7+($F7*0.5*($D7-1)))*(Y$3-1)</f>
        <v>7816</v>
      </c>
      <c r="Z7" s="133">
        <f>VLOOKUP($C$7,Servant!$B$5:$AD$29,15,FALSE)+($F7+($F7*0.5*($D7-1)))*(Z$3-1)</f>
        <v>8213</v>
      </c>
      <c r="AA7" s="133">
        <f>VLOOKUP($C$7,Servant!$B$5:$AD$29,15,FALSE)+($F7+($F7*0.5*($D7-1)))*(AA$3-1)</f>
        <v>8610</v>
      </c>
      <c r="AB7" s="133">
        <f>VLOOKUP($C$7,Servant!$B$5:$AD$29,15,FALSE)+($F7+($F7*0.5*($D7-1)))*(AB$3-1)</f>
        <v>9007</v>
      </c>
      <c r="AC7" s="133">
        <f>VLOOKUP($C$7,Servant!$B$5:$AD$29,15,FALSE)+($F7+($F7*0.5*($D7-1)))*(AC$3-1)</f>
        <v>9404</v>
      </c>
      <c r="AD7" s="133">
        <f>VLOOKUP($C$7,Servant!$B$5:$AD$29,15,FALSE)+($F7+($F7*0.5*($D7-1)))*(AD$3-1)</f>
        <v>9801</v>
      </c>
      <c r="AE7" s="133">
        <f>VLOOKUP($C$7,Servant!$B$5:$AD$29,15,FALSE)+($F7+($F7*0.5*($D7-1)))*(AE$3-1)</f>
        <v>10198</v>
      </c>
      <c r="AF7" s="133">
        <f>VLOOKUP($C$7,Servant!$B$5:$AD$29,15,FALSE)+($F7+($F7*0.5*($D7-1)))*(AF$3-1)</f>
        <v>10595</v>
      </c>
      <c r="AG7" s="133">
        <f>VLOOKUP($C$7,Servant!$B$5:$AD$29,15,FALSE)+($F7+($F7*0.5*($D7-1)))*(AG$3-1)</f>
        <v>10992</v>
      </c>
      <c r="AH7" s="133">
        <f>VLOOKUP($C$7,Servant!$B$5:$AD$29,15,FALSE)+($F7+($F7*0.5*($D7-1)))*(AH$3-1)</f>
        <v>11389</v>
      </c>
      <c r="AI7" s="133">
        <f>VLOOKUP($C$7,Servant!$B$5:$AD$29,15,FALSE)+($F7+($F7*0.5*($D7-1)))*(AI$3-1)</f>
        <v>11786</v>
      </c>
      <c r="AJ7" s="133">
        <f>VLOOKUP($C$7,Servant!$B$5:$AD$29,15,FALSE)+($F7+($F7*0.5*($D7-1)))*(AJ$3-1)</f>
        <v>12183</v>
      </c>
      <c r="AK7" s="133">
        <f>VLOOKUP($C$7,Servant!$B$5:$AD$29,15,FALSE)+($F7+($F7*0.5*($D7-1)))*(AK$3-1)</f>
        <v>12580</v>
      </c>
    </row>
    <row r="8" spans="2:37" x14ac:dyDescent="0.3">
      <c r="B8" s="309"/>
      <c r="C8" s="314"/>
      <c r="D8" s="134">
        <v>2</v>
      </c>
      <c r="E8" s="132">
        <f>VLOOKUP($C$7,ServantLevelUPdStatus!$B$5:$AD$29,3,FALSE)+(VLOOKUP($C$7,ServantLevelUPdStatus!$B$5:$AD$29,3,FALSE)*0.5*(Simulator_HP!$D8-1))</f>
        <v>595.5</v>
      </c>
      <c r="F8" s="135">
        <f>F7</f>
        <v>397</v>
      </c>
      <c r="H8" s="133">
        <f>VLOOKUP($C$7,Servant!$B$5:$AD$29,15,FALSE)+($F8+($F8*0.5*($D8-1)))*(H$3-1)</f>
        <v>1067</v>
      </c>
      <c r="I8" s="133">
        <f>VLOOKUP($C$7,Servant!$B$5:$AD$29,15,FALSE)+($F8+($F8*0.5*($D8-1)))*(I$3-1)</f>
        <v>1662.5</v>
      </c>
      <c r="J8" s="133">
        <f>VLOOKUP($C$7,Servant!$B$5:$AD$29,15,FALSE)+($F8+($F8*0.5*($D8-1)))*(J$3-1)</f>
        <v>2258</v>
      </c>
      <c r="K8" s="133">
        <f>VLOOKUP($C$7,Servant!$B$5:$AD$29,15,FALSE)+($F8+($F8*0.5*($D8-1)))*(K$3-1)</f>
        <v>2853.5</v>
      </c>
      <c r="L8" s="133">
        <f>VLOOKUP($C$7,Servant!$B$5:$AD$29,15,FALSE)+($F8+($F8*0.5*($D8-1)))*(L$3-1)</f>
        <v>3449</v>
      </c>
      <c r="M8" s="133">
        <f>VLOOKUP($C$7,Servant!$B$5:$AD$29,15,FALSE)+($F8+($F8*0.5*($D8-1)))*(M$3-1)</f>
        <v>4044.5</v>
      </c>
      <c r="N8" s="133">
        <f>VLOOKUP($C$7,Servant!$B$5:$AD$29,15,FALSE)+($F8+($F8*0.5*($D8-1)))*(N$3-1)</f>
        <v>4640</v>
      </c>
      <c r="O8" s="133">
        <f>VLOOKUP($C$7,Servant!$B$5:$AD$29,15,FALSE)+($F8+($F8*0.5*($D8-1)))*(O$3-1)</f>
        <v>5235.5</v>
      </c>
      <c r="P8" s="133">
        <f>VLOOKUP($C$7,Servant!$B$5:$AD$29,15,FALSE)+($F8+($F8*0.5*($D8-1)))*(P$3-1)</f>
        <v>5831</v>
      </c>
      <c r="Q8" s="133">
        <f>VLOOKUP($C$7,Servant!$B$5:$AD$29,15,FALSE)+($F8+($F8*0.5*($D8-1)))*(Q$3-1)</f>
        <v>6426.5</v>
      </c>
      <c r="R8" s="133">
        <f>VLOOKUP($C$7,Servant!$B$5:$AD$29,15,FALSE)+($F8+($F8*0.5*($D8-1)))*(R$3-1)</f>
        <v>7022</v>
      </c>
      <c r="S8" s="133">
        <f>VLOOKUP($C$7,Servant!$B$5:$AD$29,15,FALSE)+($F8+($F8*0.5*($D8-1)))*(S$3-1)</f>
        <v>7617.5</v>
      </c>
      <c r="T8" s="133">
        <f>VLOOKUP($C$7,Servant!$B$5:$AD$29,15,FALSE)+($F8+($F8*0.5*($D8-1)))*(T$3-1)</f>
        <v>8213</v>
      </c>
      <c r="U8" s="133">
        <f>VLOOKUP($C$7,Servant!$B$5:$AD$29,15,FALSE)+($F8+($F8*0.5*($D8-1)))*(U$3-1)</f>
        <v>8808.5</v>
      </c>
      <c r="V8" s="133">
        <f>VLOOKUP($C$7,Servant!$B$5:$AD$29,15,FALSE)+($F8+($F8*0.5*($D8-1)))*(V$3-1)</f>
        <v>9404</v>
      </c>
      <c r="W8" s="133">
        <f>VLOOKUP($C$7,Servant!$B$5:$AD$29,15,FALSE)+($F8+($F8*0.5*($D8-1)))*(W$3-1)</f>
        <v>9999.5</v>
      </c>
      <c r="X8" s="133">
        <f>VLOOKUP($C$7,Servant!$B$5:$AD$29,15,FALSE)+($F8+($F8*0.5*($D8-1)))*(X$3-1)</f>
        <v>10595</v>
      </c>
      <c r="Y8" s="133">
        <f>VLOOKUP($C$7,Servant!$B$5:$AD$29,15,FALSE)+($F8+($F8*0.5*($D8-1)))*(Y$3-1)</f>
        <v>11190.5</v>
      </c>
      <c r="Z8" s="133">
        <f>VLOOKUP($C$7,Servant!$B$5:$AD$29,15,FALSE)+($F8+($F8*0.5*($D8-1)))*(Z$3-1)</f>
        <v>11786</v>
      </c>
      <c r="AA8" s="133">
        <f>VLOOKUP($C$7,Servant!$B$5:$AD$29,15,FALSE)+($F8+($F8*0.5*($D8-1)))*(AA$3-1)</f>
        <v>12381.5</v>
      </c>
      <c r="AB8" s="133">
        <f>VLOOKUP($C$7,Servant!$B$5:$AD$29,15,FALSE)+($F8+($F8*0.5*($D8-1)))*(AB$3-1)</f>
        <v>12977</v>
      </c>
      <c r="AC8" s="133">
        <f>VLOOKUP($C$7,Servant!$B$5:$AD$29,15,FALSE)+($F8+($F8*0.5*($D8-1)))*(AC$3-1)</f>
        <v>13572.5</v>
      </c>
      <c r="AD8" s="133">
        <f>VLOOKUP($C$7,Servant!$B$5:$AD$29,15,FALSE)+($F8+($F8*0.5*($D8-1)))*(AD$3-1)</f>
        <v>14168</v>
      </c>
      <c r="AE8" s="133">
        <f>VLOOKUP($C$7,Servant!$B$5:$AD$29,15,FALSE)+($F8+($F8*0.5*($D8-1)))*(AE$3-1)</f>
        <v>14763.5</v>
      </c>
      <c r="AF8" s="133">
        <f>VLOOKUP($C$7,Servant!$B$5:$AD$29,15,FALSE)+($F8+($F8*0.5*($D8-1)))*(AF$3-1)</f>
        <v>15359</v>
      </c>
      <c r="AG8" s="133">
        <f>VLOOKUP($C$7,Servant!$B$5:$AD$29,15,FALSE)+($F8+($F8*0.5*($D8-1)))*(AG$3-1)</f>
        <v>15954.5</v>
      </c>
      <c r="AH8" s="133">
        <f>VLOOKUP($C$7,Servant!$B$5:$AD$29,15,FALSE)+($F8+($F8*0.5*($D8-1)))*(AH$3-1)</f>
        <v>16550</v>
      </c>
      <c r="AI8" s="133">
        <f>VLOOKUP($C$7,Servant!$B$5:$AD$29,15,FALSE)+($F8+($F8*0.5*($D8-1)))*(AI$3-1)</f>
        <v>17145.5</v>
      </c>
      <c r="AJ8" s="133">
        <f>VLOOKUP($C$7,Servant!$B$5:$AD$29,15,FALSE)+($F8+($F8*0.5*($D8-1)))*(AJ$3-1)</f>
        <v>17741</v>
      </c>
      <c r="AK8" s="133">
        <f>VLOOKUP($C$7,Servant!$B$5:$AD$29,15,FALSE)+($F8+($F8*0.5*($D8-1)))*(AK$3-1)</f>
        <v>18336.5</v>
      </c>
    </row>
    <row r="9" spans="2:37" x14ac:dyDescent="0.3">
      <c r="B9" s="309"/>
      <c r="C9" s="314"/>
      <c r="D9" s="134">
        <v>3</v>
      </c>
      <c r="E9" s="132">
        <f>VLOOKUP($C$7,ServantLevelUPdStatus!$B$5:$AD$29,3,FALSE)+(VLOOKUP($C$7,ServantLevelUPdStatus!$B$5:$AD$29,3,FALSE)*0.5*(Simulator_HP!$D9-1))</f>
        <v>794</v>
      </c>
      <c r="F9" s="135">
        <f>F8</f>
        <v>397</v>
      </c>
      <c r="H9" s="133">
        <f>VLOOKUP($C$7,Servant!$B$5:$AD$29,15,FALSE)+($F9+($F9*0.5*($D9-1)))*(H$3-1)</f>
        <v>1067</v>
      </c>
      <c r="I9" s="133">
        <f>VLOOKUP($C$7,Servant!$B$5:$AD$29,15,FALSE)+($F9+($F9*0.5*($D9-1)))*(I$3-1)</f>
        <v>1861</v>
      </c>
      <c r="J9" s="133">
        <f>VLOOKUP($C$7,Servant!$B$5:$AD$29,15,FALSE)+($F9+($F9*0.5*($D9-1)))*(J$3-1)</f>
        <v>2655</v>
      </c>
      <c r="K9" s="133">
        <f>VLOOKUP($C$7,Servant!$B$5:$AD$29,15,FALSE)+($F9+($F9*0.5*($D9-1)))*(K$3-1)</f>
        <v>3449</v>
      </c>
      <c r="L9" s="133">
        <f>VLOOKUP($C$7,Servant!$B$5:$AD$29,15,FALSE)+($F9+($F9*0.5*($D9-1)))*(L$3-1)</f>
        <v>4243</v>
      </c>
      <c r="M9" s="133">
        <f>VLOOKUP($C$7,Servant!$B$5:$AD$29,15,FALSE)+($F9+($F9*0.5*($D9-1)))*(M$3-1)</f>
        <v>5037</v>
      </c>
      <c r="N9" s="133">
        <f>VLOOKUP($C$7,Servant!$B$5:$AD$29,15,FALSE)+($F9+($F9*0.5*($D9-1)))*(N$3-1)</f>
        <v>5831</v>
      </c>
      <c r="O9" s="133">
        <f>VLOOKUP($C$7,Servant!$B$5:$AD$29,15,FALSE)+($F9+($F9*0.5*($D9-1)))*(O$3-1)</f>
        <v>6625</v>
      </c>
      <c r="P9" s="133">
        <f>VLOOKUP($C$7,Servant!$B$5:$AD$29,15,FALSE)+($F9+($F9*0.5*($D9-1)))*(P$3-1)</f>
        <v>7419</v>
      </c>
      <c r="Q9" s="133">
        <f>VLOOKUP($C$7,Servant!$B$5:$AD$29,15,FALSE)+($F9+($F9*0.5*($D9-1)))*(Q$3-1)</f>
        <v>8213</v>
      </c>
      <c r="R9" s="133">
        <f>VLOOKUP($C$7,Servant!$B$5:$AD$29,15,FALSE)+($F9+($F9*0.5*($D9-1)))*(R$3-1)</f>
        <v>9007</v>
      </c>
      <c r="S9" s="133">
        <f>VLOOKUP($C$7,Servant!$B$5:$AD$29,15,FALSE)+($F9+($F9*0.5*($D9-1)))*(S$3-1)</f>
        <v>9801</v>
      </c>
      <c r="T9" s="133">
        <f>VLOOKUP($C$7,Servant!$B$5:$AD$29,15,FALSE)+($F9+($F9*0.5*($D9-1)))*(T$3-1)</f>
        <v>10595</v>
      </c>
      <c r="U9" s="133">
        <f>VLOOKUP($C$7,Servant!$B$5:$AD$29,15,FALSE)+($F9+($F9*0.5*($D9-1)))*(U$3-1)</f>
        <v>11389</v>
      </c>
      <c r="V9" s="133">
        <f>VLOOKUP($C$7,Servant!$B$5:$AD$29,15,FALSE)+($F9+($F9*0.5*($D9-1)))*(V$3-1)</f>
        <v>12183</v>
      </c>
      <c r="W9" s="133">
        <f>VLOOKUP($C$7,Servant!$B$5:$AD$29,15,FALSE)+($F9+($F9*0.5*($D9-1)))*(W$3-1)</f>
        <v>12977</v>
      </c>
      <c r="X9" s="133">
        <f>VLOOKUP($C$7,Servant!$B$5:$AD$29,15,FALSE)+($F9+($F9*0.5*($D9-1)))*(X$3-1)</f>
        <v>13771</v>
      </c>
      <c r="Y9" s="133">
        <f>VLOOKUP($C$7,Servant!$B$5:$AD$29,15,FALSE)+($F9+($F9*0.5*($D9-1)))*(Y$3-1)</f>
        <v>14565</v>
      </c>
      <c r="Z9" s="133">
        <f>VLOOKUP($C$7,Servant!$B$5:$AD$29,15,FALSE)+($F9+($F9*0.5*($D9-1)))*(Z$3-1)</f>
        <v>15359</v>
      </c>
      <c r="AA9" s="133">
        <f>VLOOKUP($C$7,Servant!$B$5:$AD$29,15,FALSE)+($F9+($F9*0.5*($D9-1)))*(AA$3-1)</f>
        <v>16153</v>
      </c>
      <c r="AB9" s="133">
        <f>VLOOKUP($C$7,Servant!$B$5:$AD$29,15,FALSE)+($F9+($F9*0.5*($D9-1)))*(AB$3-1)</f>
        <v>16947</v>
      </c>
      <c r="AC9" s="133">
        <f>VLOOKUP($C$7,Servant!$B$5:$AD$29,15,FALSE)+($F9+($F9*0.5*($D9-1)))*(AC$3-1)</f>
        <v>17741</v>
      </c>
      <c r="AD9" s="133">
        <f>VLOOKUP($C$7,Servant!$B$5:$AD$29,15,FALSE)+($F9+($F9*0.5*($D9-1)))*(AD$3-1)</f>
        <v>18535</v>
      </c>
      <c r="AE9" s="133">
        <f>VLOOKUP($C$7,Servant!$B$5:$AD$29,15,FALSE)+($F9+($F9*0.5*($D9-1)))*(AE$3-1)</f>
        <v>19329</v>
      </c>
      <c r="AF9" s="133">
        <f>VLOOKUP($C$7,Servant!$B$5:$AD$29,15,FALSE)+($F9+($F9*0.5*($D9-1)))*(AF$3-1)</f>
        <v>20123</v>
      </c>
      <c r="AG9" s="133">
        <f>VLOOKUP($C$7,Servant!$B$5:$AD$29,15,FALSE)+($F9+($F9*0.5*($D9-1)))*(AG$3-1)</f>
        <v>20917</v>
      </c>
      <c r="AH9" s="133">
        <f>VLOOKUP($C$7,Servant!$B$5:$AD$29,15,FALSE)+($F9+($F9*0.5*($D9-1)))*(AH$3-1)</f>
        <v>21711</v>
      </c>
      <c r="AI9" s="133">
        <f>VLOOKUP($C$7,Servant!$B$5:$AD$29,15,FALSE)+($F9+($F9*0.5*($D9-1)))*(AI$3-1)</f>
        <v>22505</v>
      </c>
      <c r="AJ9" s="133">
        <f>VLOOKUP($C$7,Servant!$B$5:$AD$29,15,FALSE)+($F9+($F9*0.5*($D9-1)))*(AJ$3-1)</f>
        <v>23299</v>
      </c>
      <c r="AK9" s="133">
        <f>VLOOKUP($C$7,Servant!$B$5:$AD$29,15,FALSE)+($F9+($F9*0.5*($D9-1)))*(AK$3-1)</f>
        <v>24093</v>
      </c>
    </row>
    <row r="10" spans="2:37" x14ac:dyDescent="0.3">
      <c r="B10" s="309"/>
      <c r="C10" s="315" t="s">
        <v>302</v>
      </c>
      <c r="D10" s="125">
        <v>1</v>
      </c>
      <c r="E10" s="117">
        <f>VLOOKUP($C$10,ServantLevelUPdStatus!$B$5:$AD$29,3,FALSE)+(VLOOKUP($C$10,ServantLevelUPdStatus!$B$5:$AD$29,3,FALSE)*0.5*(Simulator_HP!$D10-1))</f>
        <v>539</v>
      </c>
      <c r="F10" s="117">
        <f>VLOOKUP($C$10,ServantLevelUPdStatus!$B$5:$AD$29,3,FALSE)</f>
        <v>539</v>
      </c>
      <c r="H10" s="112">
        <f>VLOOKUP($C$10,Servant!$B$5:$AD$29,15,FALSE)+($F10+($F10*0.5*($D10-1)))*(H$3-1)</f>
        <v>1448</v>
      </c>
      <c r="I10" s="112">
        <f>VLOOKUP($C$10,Servant!$B$5:$AD$29,15,FALSE)+($F10+($F10*0.5*($D10-1)))*(I$3-1)</f>
        <v>1987</v>
      </c>
      <c r="J10" s="112">
        <f>VLOOKUP($C$10,Servant!$B$5:$AD$29,15,FALSE)+($F10+($F10*0.5*($D10-1)))*(J$3-1)</f>
        <v>2526</v>
      </c>
      <c r="K10" s="112">
        <f>VLOOKUP($C$10,Servant!$B$5:$AD$29,15,FALSE)+($F10+($F10*0.5*($D10-1)))*(K$3-1)</f>
        <v>3065</v>
      </c>
      <c r="L10" s="112">
        <f>VLOOKUP($C$10,Servant!$B$5:$AD$29,15,FALSE)+($F10+($F10*0.5*($D10-1)))*(L$3-1)</f>
        <v>3604</v>
      </c>
      <c r="M10" s="112">
        <f>VLOOKUP($C$10,Servant!$B$5:$AD$29,15,FALSE)+($F10+($F10*0.5*($D10-1)))*(M$3-1)</f>
        <v>4143</v>
      </c>
      <c r="N10" s="112">
        <f>VLOOKUP($C$10,Servant!$B$5:$AD$29,15,FALSE)+($F10+($F10*0.5*($D10-1)))*(N$3-1)</f>
        <v>4682</v>
      </c>
      <c r="O10" s="112">
        <f>VLOOKUP($C$10,Servant!$B$5:$AD$29,15,FALSE)+($F10+($F10*0.5*($D10-1)))*(O$3-1)</f>
        <v>5221</v>
      </c>
      <c r="P10" s="112">
        <f>VLOOKUP($C$10,Servant!$B$5:$AD$29,15,FALSE)+($F10+($F10*0.5*($D10-1)))*(P$3-1)</f>
        <v>5760</v>
      </c>
      <c r="Q10" s="112">
        <f>VLOOKUP($C$10,Servant!$B$5:$AD$29,15,FALSE)+($F10+($F10*0.5*($D10-1)))*(Q$3-1)</f>
        <v>6299</v>
      </c>
      <c r="R10" s="112">
        <f>VLOOKUP($C$10,Servant!$B$5:$AD$29,15,FALSE)+($F10+($F10*0.5*($D10-1)))*(R$3-1)</f>
        <v>6838</v>
      </c>
      <c r="S10" s="112">
        <f>VLOOKUP($C$10,Servant!$B$5:$AD$29,15,FALSE)+($F10+($F10*0.5*($D10-1)))*(S$3-1)</f>
        <v>7377</v>
      </c>
      <c r="T10" s="112">
        <f>VLOOKUP($C$10,Servant!$B$5:$AD$29,15,FALSE)+($F10+($F10*0.5*($D10-1)))*(T$3-1)</f>
        <v>7916</v>
      </c>
      <c r="U10" s="112">
        <f>VLOOKUP($C$10,Servant!$B$5:$AD$29,15,FALSE)+($F10+($F10*0.5*($D10-1)))*(U$3-1)</f>
        <v>8455</v>
      </c>
      <c r="V10" s="112">
        <f>VLOOKUP($C$10,Servant!$B$5:$AD$29,15,FALSE)+($F10+($F10*0.5*($D10-1)))*(V$3-1)</f>
        <v>8994</v>
      </c>
      <c r="W10" s="112">
        <f>VLOOKUP($C$10,Servant!$B$5:$AD$29,15,FALSE)+($F10+($F10*0.5*($D10-1)))*(W$3-1)</f>
        <v>9533</v>
      </c>
      <c r="X10" s="112">
        <f>VLOOKUP($C$10,Servant!$B$5:$AD$29,15,FALSE)+($F10+($F10*0.5*($D10-1)))*(X$3-1)</f>
        <v>10072</v>
      </c>
      <c r="Y10" s="112">
        <f>VLOOKUP($C$10,Servant!$B$5:$AD$29,15,FALSE)+($F10+($F10*0.5*($D10-1)))*(Y$3-1)</f>
        <v>10611</v>
      </c>
      <c r="Z10" s="112">
        <f>VLOOKUP($C$10,Servant!$B$5:$AD$29,15,FALSE)+($F10+($F10*0.5*($D10-1)))*(Z$3-1)</f>
        <v>11150</v>
      </c>
      <c r="AA10" s="112">
        <f>VLOOKUP($C$10,Servant!$B$5:$AD$29,15,FALSE)+($F10+($F10*0.5*($D10-1)))*(AA$3-1)</f>
        <v>11689</v>
      </c>
      <c r="AB10" s="112">
        <f>VLOOKUP($C$10,Servant!$B$5:$AD$29,15,FALSE)+($F10+($F10*0.5*($D10-1)))*(AB$3-1)</f>
        <v>12228</v>
      </c>
      <c r="AC10" s="112">
        <f>VLOOKUP($C$10,Servant!$B$5:$AD$29,15,FALSE)+($F10+($F10*0.5*($D10-1)))*(AC$3-1)</f>
        <v>12767</v>
      </c>
      <c r="AD10" s="112">
        <f>VLOOKUP($C$10,Servant!$B$5:$AD$29,15,FALSE)+($F10+($F10*0.5*($D10-1)))*(AD$3-1)</f>
        <v>13306</v>
      </c>
      <c r="AE10" s="112">
        <f>VLOOKUP($C$10,Servant!$B$5:$AD$29,15,FALSE)+($F10+($F10*0.5*($D10-1)))*(AE$3-1)</f>
        <v>13845</v>
      </c>
      <c r="AF10" s="112">
        <f>VLOOKUP($C$10,Servant!$B$5:$AD$29,15,FALSE)+($F10+($F10*0.5*($D10-1)))*(AF$3-1)</f>
        <v>14384</v>
      </c>
      <c r="AG10" s="112">
        <f>VLOOKUP($C$10,Servant!$B$5:$AD$29,15,FALSE)+($F10+($F10*0.5*($D10-1)))*(AG$3-1)</f>
        <v>14923</v>
      </c>
      <c r="AH10" s="112">
        <f>VLOOKUP($C$10,Servant!$B$5:$AD$29,15,FALSE)+($F10+($F10*0.5*($D10-1)))*(AH$3-1)</f>
        <v>15462</v>
      </c>
      <c r="AI10" s="112">
        <f>VLOOKUP($C$10,Servant!$B$5:$AD$29,15,FALSE)+($F10+($F10*0.5*($D10-1)))*(AI$3-1)</f>
        <v>16001</v>
      </c>
      <c r="AJ10" s="112">
        <f>VLOOKUP($C$10,Servant!$B$5:$AD$29,15,FALSE)+($F10+($F10*0.5*($D10-1)))*(AJ$3-1)</f>
        <v>16540</v>
      </c>
      <c r="AK10" s="112">
        <f>VLOOKUP($C$10,Servant!$B$5:$AD$29,15,FALSE)+($F10+($F10*0.5*($D10-1)))*(AK$3-1)</f>
        <v>17079</v>
      </c>
    </row>
    <row r="11" spans="2:37" x14ac:dyDescent="0.3">
      <c r="B11" s="309"/>
      <c r="C11" s="316"/>
      <c r="D11" s="126">
        <v>2</v>
      </c>
      <c r="E11" s="117">
        <f>VLOOKUP($C$10,ServantLevelUPdStatus!$B$5:$AD$29,3,FALSE)+(VLOOKUP($C$10,ServantLevelUPdStatus!$B$5:$AD$29,3,FALSE)*0.5*(Simulator_HP!$D11-1))</f>
        <v>808.5</v>
      </c>
      <c r="F11" s="118">
        <f>F10</f>
        <v>539</v>
      </c>
      <c r="H11" s="112">
        <f>VLOOKUP($C$10,Servant!$B$5:$AD$29,15,FALSE)+($F11+($F11*0.5*($D11-1)))*(H$3-1)</f>
        <v>1448</v>
      </c>
      <c r="I11" s="112">
        <f>VLOOKUP($C$10,Servant!$B$5:$AD$29,15,FALSE)+($F11+($F11*0.5*($D11-1)))*(I$3-1)</f>
        <v>2256.5</v>
      </c>
      <c r="J11" s="112">
        <f>VLOOKUP($C$10,Servant!$B$5:$AD$29,15,FALSE)+($F11+($F11*0.5*($D11-1)))*(J$3-1)</f>
        <v>3065</v>
      </c>
      <c r="K11" s="112">
        <f>VLOOKUP($C$10,Servant!$B$5:$AD$29,15,FALSE)+($F11+($F11*0.5*($D11-1)))*(K$3-1)</f>
        <v>3873.5</v>
      </c>
      <c r="L11" s="112">
        <f>VLOOKUP($C$10,Servant!$B$5:$AD$29,15,FALSE)+($F11+($F11*0.5*($D11-1)))*(L$3-1)</f>
        <v>4682</v>
      </c>
      <c r="M11" s="112">
        <f>VLOOKUP($C$10,Servant!$B$5:$AD$29,15,FALSE)+($F11+($F11*0.5*($D11-1)))*(M$3-1)</f>
        <v>5490.5</v>
      </c>
      <c r="N11" s="112">
        <f>VLOOKUP($C$10,Servant!$B$5:$AD$29,15,FALSE)+($F11+($F11*0.5*($D11-1)))*(N$3-1)</f>
        <v>6299</v>
      </c>
      <c r="O11" s="112">
        <f>VLOOKUP($C$10,Servant!$B$5:$AD$29,15,FALSE)+($F11+($F11*0.5*($D11-1)))*(O$3-1)</f>
        <v>7107.5</v>
      </c>
      <c r="P11" s="112">
        <f>VLOOKUP($C$10,Servant!$B$5:$AD$29,15,FALSE)+($F11+($F11*0.5*($D11-1)))*(P$3-1)</f>
        <v>7916</v>
      </c>
      <c r="Q11" s="112">
        <f>VLOOKUP($C$10,Servant!$B$5:$AD$29,15,FALSE)+($F11+($F11*0.5*($D11-1)))*(Q$3-1)</f>
        <v>8724.5</v>
      </c>
      <c r="R11" s="112">
        <f>VLOOKUP($C$10,Servant!$B$5:$AD$29,15,FALSE)+($F11+($F11*0.5*($D11-1)))*(R$3-1)</f>
        <v>9533</v>
      </c>
      <c r="S11" s="112">
        <f>VLOOKUP($C$10,Servant!$B$5:$AD$29,15,FALSE)+($F11+($F11*0.5*($D11-1)))*(S$3-1)</f>
        <v>10341.5</v>
      </c>
      <c r="T11" s="112">
        <f>VLOOKUP($C$10,Servant!$B$5:$AD$29,15,FALSE)+($F11+($F11*0.5*($D11-1)))*(T$3-1)</f>
        <v>11150</v>
      </c>
      <c r="U11" s="112">
        <f>VLOOKUP($C$10,Servant!$B$5:$AD$29,15,FALSE)+($F11+($F11*0.5*($D11-1)))*(U$3-1)</f>
        <v>11958.5</v>
      </c>
      <c r="V11" s="112">
        <f>VLOOKUP($C$10,Servant!$B$5:$AD$29,15,FALSE)+($F11+($F11*0.5*($D11-1)))*(V$3-1)</f>
        <v>12767</v>
      </c>
      <c r="W11" s="112">
        <f>VLOOKUP($C$10,Servant!$B$5:$AD$29,15,FALSE)+($F11+($F11*0.5*($D11-1)))*(W$3-1)</f>
        <v>13575.5</v>
      </c>
      <c r="X11" s="112">
        <f>VLOOKUP($C$10,Servant!$B$5:$AD$29,15,FALSE)+($F11+($F11*0.5*($D11-1)))*(X$3-1)</f>
        <v>14384</v>
      </c>
      <c r="Y11" s="112">
        <f>VLOOKUP($C$10,Servant!$B$5:$AD$29,15,FALSE)+($F11+($F11*0.5*($D11-1)))*(Y$3-1)</f>
        <v>15192.5</v>
      </c>
      <c r="Z11" s="112">
        <f>VLOOKUP($C$10,Servant!$B$5:$AD$29,15,FALSE)+($F11+($F11*0.5*($D11-1)))*(Z$3-1)</f>
        <v>16001</v>
      </c>
      <c r="AA11" s="112">
        <f>VLOOKUP($C$10,Servant!$B$5:$AD$29,15,FALSE)+($F11+($F11*0.5*($D11-1)))*(AA$3-1)</f>
        <v>16809.5</v>
      </c>
      <c r="AB11" s="112">
        <f>VLOOKUP($C$10,Servant!$B$5:$AD$29,15,FALSE)+($F11+($F11*0.5*($D11-1)))*(AB$3-1)</f>
        <v>17618</v>
      </c>
      <c r="AC11" s="112">
        <f>VLOOKUP($C$10,Servant!$B$5:$AD$29,15,FALSE)+($F11+($F11*0.5*($D11-1)))*(AC$3-1)</f>
        <v>18426.5</v>
      </c>
      <c r="AD11" s="112">
        <f>VLOOKUP($C$10,Servant!$B$5:$AD$29,15,FALSE)+($F11+($F11*0.5*($D11-1)))*(AD$3-1)</f>
        <v>19235</v>
      </c>
      <c r="AE11" s="112">
        <f>VLOOKUP($C$10,Servant!$B$5:$AD$29,15,FALSE)+($F11+($F11*0.5*($D11-1)))*(AE$3-1)</f>
        <v>20043.5</v>
      </c>
      <c r="AF11" s="112">
        <f>VLOOKUP($C$10,Servant!$B$5:$AD$29,15,FALSE)+($F11+($F11*0.5*($D11-1)))*(AF$3-1)</f>
        <v>20852</v>
      </c>
      <c r="AG11" s="112">
        <f>VLOOKUP($C$10,Servant!$B$5:$AD$29,15,FALSE)+($F11+($F11*0.5*($D11-1)))*(AG$3-1)</f>
        <v>21660.5</v>
      </c>
      <c r="AH11" s="112">
        <f>VLOOKUP($C$10,Servant!$B$5:$AD$29,15,FALSE)+($F11+($F11*0.5*($D11-1)))*(AH$3-1)</f>
        <v>22469</v>
      </c>
      <c r="AI11" s="112">
        <f>VLOOKUP($C$10,Servant!$B$5:$AD$29,15,FALSE)+($F11+($F11*0.5*($D11-1)))*(AI$3-1)</f>
        <v>23277.5</v>
      </c>
      <c r="AJ11" s="112">
        <f>VLOOKUP($C$10,Servant!$B$5:$AD$29,15,FALSE)+($F11+($F11*0.5*($D11-1)))*(AJ$3-1)</f>
        <v>24086</v>
      </c>
      <c r="AK11" s="112">
        <f>VLOOKUP($C$10,Servant!$B$5:$AD$29,15,FALSE)+($F11+($F11*0.5*($D11-1)))*(AK$3-1)</f>
        <v>24894.5</v>
      </c>
    </row>
    <row r="12" spans="2:37" x14ac:dyDescent="0.3">
      <c r="B12" s="309"/>
      <c r="C12" s="316"/>
      <c r="D12" s="126">
        <v>3</v>
      </c>
      <c r="E12" s="117">
        <f>VLOOKUP($C$10,ServantLevelUPdStatus!$B$5:$AD$29,3,FALSE)+(VLOOKUP($C$10,ServantLevelUPdStatus!$B$5:$AD$29,3,FALSE)*0.5*(Simulator_HP!$D12-1))</f>
        <v>1078</v>
      </c>
      <c r="F12" s="118">
        <f>F11</f>
        <v>539</v>
      </c>
      <c r="H12" s="112">
        <f>VLOOKUP($C$10,Servant!$B$5:$AD$29,15,FALSE)+($F12+($F12*0.5*($D12-1)))*(H$3-1)</f>
        <v>1448</v>
      </c>
      <c r="I12" s="112">
        <f>VLOOKUP($C$10,Servant!$B$5:$AD$29,15,FALSE)+($F12+($F12*0.5*($D12-1)))*(I$3-1)</f>
        <v>2526</v>
      </c>
      <c r="J12" s="112">
        <f>VLOOKUP($C$10,Servant!$B$5:$AD$29,15,FALSE)+($F12+($F12*0.5*($D12-1)))*(J$3-1)</f>
        <v>3604</v>
      </c>
      <c r="K12" s="112">
        <f>VLOOKUP($C$10,Servant!$B$5:$AD$29,15,FALSE)+($F12+($F12*0.5*($D12-1)))*(K$3-1)</f>
        <v>4682</v>
      </c>
      <c r="L12" s="112">
        <f>VLOOKUP($C$10,Servant!$B$5:$AD$29,15,FALSE)+($F12+($F12*0.5*($D12-1)))*(L$3-1)</f>
        <v>5760</v>
      </c>
      <c r="M12" s="112">
        <f>VLOOKUP($C$10,Servant!$B$5:$AD$29,15,FALSE)+($F12+($F12*0.5*($D12-1)))*(M$3-1)</f>
        <v>6838</v>
      </c>
      <c r="N12" s="112">
        <f>VLOOKUP($C$10,Servant!$B$5:$AD$29,15,FALSE)+($F12+($F12*0.5*($D12-1)))*(N$3-1)</f>
        <v>7916</v>
      </c>
      <c r="O12" s="112">
        <f>VLOOKUP($C$10,Servant!$B$5:$AD$29,15,FALSE)+($F12+($F12*0.5*($D12-1)))*(O$3-1)</f>
        <v>8994</v>
      </c>
      <c r="P12" s="112">
        <f>VLOOKUP($C$10,Servant!$B$5:$AD$29,15,FALSE)+($F12+($F12*0.5*($D12-1)))*(P$3-1)</f>
        <v>10072</v>
      </c>
      <c r="Q12" s="112">
        <f>VLOOKUP($C$10,Servant!$B$5:$AD$29,15,FALSE)+($F12+($F12*0.5*($D12-1)))*(Q$3-1)</f>
        <v>11150</v>
      </c>
      <c r="R12" s="112">
        <f>VLOOKUP($C$10,Servant!$B$5:$AD$29,15,FALSE)+($F12+($F12*0.5*($D12-1)))*(R$3-1)</f>
        <v>12228</v>
      </c>
      <c r="S12" s="112">
        <f>VLOOKUP($C$10,Servant!$B$5:$AD$29,15,FALSE)+($F12+($F12*0.5*($D12-1)))*(S$3-1)</f>
        <v>13306</v>
      </c>
      <c r="T12" s="112">
        <f>VLOOKUP($C$10,Servant!$B$5:$AD$29,15,FALSE)+($F12+($F12*0.5*($D12-1)))*(T$3-1)</f>
        <v>14384</v>
      </c>
      <c r="U12" s="112">
        <f>VLOOKUP($C$10,Servant!$B$5:$AD$29,15,FALSE)+($F12+($F12*0.5*($D12-1)))*(U$3-1)</f>
        <v>15462</v>
      </c>
      <c r="V12" s="112">
        <f>VLOOKUP($C$10,Servant!$B$5:$AD$29,15,FALSE)+($F12+($F12*0.5*($D12-1)))*(V$3-1)</f>
        <v>16540</v>
      </c>
      <c r="W12" s="112">
        <f>VLOOKUP($C$10,Servant!$B$5:$AD$29,15,FALSE)+($F12+($F12*0.5*($D12-1)))*(W$3-1)</f>
        <v>17618</v>
      </c>
      <c r="X12" s="112">
        <f>VLOOKUP($C$10,Servant!$B$5:$AD$29,15,FALSE)+($F12+($F12*0.5*($D12-1)))*(X$3-1)</f>
        <v>18696</v>
      </c>
      <c r="Y12" s="112">
        <f>VLOOKUP($C$10,Servant!$B$5:$AD$29,15,FALSE)+($F12+($F12*0.5*($D12-1)))*(Y$3-1)</f>
        <v>19774</v>
      </c>
      <c r="Z12" s="112">
        <f>VLOOKUP($C$10,Servant!$B$5:$AD$29,15,FALSE)+($F12+($F12*0.5*($D12-1)))*(Z$3-1)</f>
        <v>20852</v>
      </c>
      <c r="AA12" s="112">
        <f>VLOOKUP($C$10,Servant!$B$5:$AD$29,15,FALSE)+($F12+($F12*0.5*($D12-1)))*(AA$3-1)</f>
        <v>21930</v>
      </c>
      <c r="AB12" s="112">
        <f>VLOOKUP($C$10,Servant!$B$5:$AD$29,15,FALSE)+($F12+($F12*0.5*($D12-1)))*(AB$3-1)</f>
        <v>23008</v>
      </c>
      <c r="AC12" s="112">
        <f>VLOOKUP($C$10,Servant!$B$5:$AD$29,15,FALSE)+($F12+($F12*0.5*($D12-1)))*(AC$3-1)</f>
        <v>24086</v>
      </c>
      <c r="AD12" s="112">
        <f>VLOOKUP($C$10,Servant!$B$5:$AD$29,15,FALSE)+($F12+($F12*0.5*($D12-1)))*(AD$3-1)</f>
        <v>25164</v>
      </c>
      <c r="AE12" s="112">
        <f>VLOOKUP($C$10,Servant!$B$5:$AD$29,15,FALSE)+($F12+($F12*0.5*($D12-1)))*(AE$3-1)</f>
        <v>26242</v>
      </c>
      <c r="AF12" s="112">
        <f>VLOOKUP($C$10,Servant!$B$5:$AD$29,15,FALSE)+($F12+($F12*0.5*($D12-1)))*(AF$3-1)</f>
        <v>27320</v>
      </c>
      <c r="AG12" s="112">
        <f>VLOOKUP($C$10,Servant!$B$5:$AD$29,15,FALSE)+($F12+($F12*0.5*($D12-1)))*(AG$3-1)</f>
        <v>28398</v>
      </c>
      <c r="AH12" s="112">
        <f>VLOOKUP($C$10,Servant!$B$5:$AD$29,15,FALSE)+($F12+($F12*0.5*($D12-1)))*(AH$3-1)</f>
        <v>29476</v>
      </c>
      <c r="AI12" s="112">
        <f>VLOOKUP($C$10,Servant!$B$5:$AD$29,15,FALSE)+($F12+($F12*0.5*($D12-1)))*(AI$3-1)</f>
        <v>30554</v>
      </c>
      <c r="AJ12" s="112">
        <f>VLOOKUP($C$10,Servant!$B$5:$AD$29,15,FALSE)+($F12+($F12*0.5*($D12-1)))*(AJ$3-1)</f>
        <v>31632</v>
      </c>
      <c r="AK12" s="112">
        <f>VLOOKUP($C$10,Servant!$B$5:$AD$29,15,FALSE)+($F12+($F12*0.5*($D12-1)))*(AK$3-1)</f>
        <v>32710</v>
      </c>
    </row>
    <row r="13" spans="2:37" x14ac:dyDescent="0.3">
      <c r="B13" s="309"/>
      <c r="C13" s="313" t="s">
        <v>299</v>
      </c>
      <c r="D13" s="131">
        <v>1</v>
      </c>
      <c r="E13" s="132">
        <f>VLOOKUP($C$13,ServantLevelUPdStatus!$B$5:$AD$29,3,FALSE)+(VLOOKUP($C$13,ServantLevelUPdStatus!$B$5:$AD$29,3,FALSE)*0.5*(Simulator_HP!$D13-1))</f>
        <v>585</v>
      </c>
      <c r="F13" s="132">
        <f>VLOOKUP($C$13,ServantLevelUPdStatus!$B$5:$AD$29,3,FALSE)</f>
        <v>585</v>
      </c>
      <c r="H13" s="133">
        <f>VLOOKUP($C$13,Servant!$B$5:$AD$29,15,FALSE)+($F13+($F13*0.5*($D13-1)))*(H$3-1)</f>
        <v>1570</v>
      </c>
      <c r="I13" s="133">
        <f>VLOOKUP($C$13,Servant!$B$5:$AD$29,15,FALSE)+($F13+($F13*0.5*($D13-1)))*(I$3-1)</f>
        <v>2155</v>
      </c>
      <c r="J13" s="133">
        <f>VLOOKUP($C$13,Servant!$B$5:$AD$29,15,FALSE)+($F13+($F13*0.5*($D13-1)))*(J$3-1)</f>
        <v>2740</v>
      </c>
      <c r="K13" s="133">
        <f>VLOOKUP($C$13,Servant!$B$5:$AD$29,15,FALSE)+($F13+($F13*0.5*($D13-1)))*(K$3-1)</f>
        <v>3325</v>
      </c>
      <c r="L13" s="133">
        <f>VLOOKUP($C$13,Servant!$B$5:$AD$29,15,FALSE)+($F13+($F13*0.5*($D13-1)))*(L$3-1)</f>
        <v>3910</v>
      </c>
      <c r="M13" s="133">
        <f>VLOOKUP($C$13,Servant!$B$5:$AD$29,15,FALSE)+($F13+($F13*0.5*($D13-1)))*(M$3-1)</f>
        <v>4495</v>
      </c>
      <c r="N13" s="133">
        <f>VLOOKUP($C$13,Servant!$B$5:$AD$29,15,FALSE)+($F13+($F13*0.5*($D13-1)))*(N$3-1)</f>
        <v>5080</v>
      </c>
      <c r="O13" s="133">
        <f>VLOOKUP($C$13,Servant!$B$5:$AD$29,15,FALSE)+($F13+($F13*0.5*($D13-1)))*(O$3-1)</f>
        <v>5665</v>
      </c>
      <c r="P13" s="133">
        <f>VLOOKUP($C$13,Servant!$B$5:$AD$29,15,FALSE)+($F13+($F13*0.5*($D13-1)))*(P$3-1)</f>
        <v>6250</v>
      </c>
      <c r="Q13" s="133">
        <f>VLOOKUP($C$13,Servant!$B$5:$AD$29,15,FALSE)+($F13+($F13*0.5*($D13-1)))*(Q$3-1)</f>
        <v>6835</v>
      </c>
      <c r="R13" s="133">
        <f>VLOOKUP($C$13,Servant!$B$5:$AD$29,15,FALSE)+($F13+($F13*0.5*($D13-1)))*(R$3-1)</f>
        <v>7420</v>
      </c>
      <c r="S13" s="133">
        <f>VLOOKUP($C$13,Servant!$B$5:$AD$29,15,FALSE)+($F13+($F13*0.5*($D13-1)))*(S$3-1)</f>
        <v>8005</v>
      </c>
      <c r="T13" s="133">
        <f>VLOOKUP($C$13,Servant!$B$5:$AD$29,15,FALSE)+($F13+($F13*0.5*($D13-1)))*(T$3-1)</f>
        <v>8590</v>
      </c>
      <c r="U13" s="133">
        <f>VLOOKUP($C$13,Servant!$B$5:$AD$29,15,FALSE)+($F13+($F13*0.5*($D13-1)))*(U$3-1)</f>
        <v>9175</v>
      </c>
      <c r="V13" s="133">
        <f>VLOOKUP($C$13,Servant!$B$5:$AD$29,15,FALSE)+($F13+($F13*0.5*($D13-1)))*(V$3-1)</f>
        <v>9760</v>
      </c>
      <c r="W13" s="133">
        <f>VLOOKUP($C$13,Servant!$B$5:$AD$29,15,FALSE)+($F13+($F13*0.5*($D13-1)))*(W$3-1)</f>
        <v>10345</v>
      </c>
      <c r="X13" s="133">
        <f>VLOOKUP($C$13,Servant!$B$5:$AD$29,15,FALSE)+($F13+($F13*0.5*($D13-1)))*(X$3-1)</f>
        <v>10930</v>
      </c>
      <c r="Y13" s="133">
        <f>VLOOKUP($C$13,Servant!$B$5:$AD$29,15,FALSE)+($F13+($F13*0.5*($D13-1)))*(Y$3-1)</f>
        <v>11515</v>
      </c>
      <c r="Z13" s="133">
        <f>VLOOKUP($C$13,Servant!$B$5:$AD$29,15,FALSE)+($F13+($F13*0.5*($D13-1)))*(Z$3-1)</f>
        <v>12100</v>
      </c>
      <c r="AA13" s="133">
        <f>VLOOKUP($C$13,Servant!$B$5:$AD$29,15,FALSE)+($F13+($F13*0.5*($D13-1)))*(AA$3-1)</f>
        <v>12685</v>
      </c>
      <c r="AB13" s="133">
        <f>VLOOKUP($C$13,Servant!$B$5:$AD$29,15,FALSE)+($F13+($F13*0.5*($D13-1)))*(AB$3-1)</f>
        <v>13270</v>
      </c>
      <c r="AC13" s="133">
        <f>VLOOKUP($C$13,Servant!$B$5:$AD$29,15,FALSE)+($F13+($F13*0.5*($D13-1)))*(AC$3-1)</f>
        <v>13855</v>
      </c>
      <c r="AD13" s="133">
        <f>VLOOKUP($C$13,Servant!$B$5:$AD$29,15,FALSE)+($F13+($F13*0.5*($D13-1)))*(AD$3-1)</f>
        <v>14440</v>
      </c>
      <c r="AE13" s="133">
        <f>VLOOKUP($C$13,Servant!$B$5:$AD$29,15,FALSE)+($F13+($F13*0.5*($D13-1)))*(AE$3-1)</f>
        <v>15025</v>
      </c>
      <c r="AF13" s="133">
        <f>VLOOKUP($C$13,Servant!$B$5:$AD$29,15,FALSE)+($F13+($F13*0.5*($D13-1)))*(AF$3-1)</f>
        <v>15610</v>
      </c>
      <c r="AG13" s="133">
        <f>VLOOKUP($C$13,Servant!$B$5:$AD$29,15,FALSE)+($F13+($F13*0.5*($D13-1)))*(AG$3-1)</f>
        <v>16195</v>
      </c>
      <c r="AH13" s="133">
        <f>VLOOKUP($C$13,Servant!$B$5:$AD$29,15,FALSE)+($F13+($F13*0.5*($D13-1)))*(AH$3-1)</f>
        <v>16780</v>
      </c>
      <c r="AI13" s="133">
        <f>VLOOKUP($C$13,Servant!$B$5:$AD$29,15,FALSE)+($F13+($F13*0.5*($D13-1)))*(AI$3-1)</f>
        <v>17365</v>
      </c>
      <c r="AJ13" s="133">
        <f>VLOOKUP($C$13,Servant!$B$5:$AD$29,15,FALSE)+($F13+($F13*0.5*($D13-1)))*(AJ$3-1)</f>
        <v>17950</v>
      </c>
      <c r="AK13" s="133">
        <f>VLOOKUP($C$13,Servant!$B$5:$AD$29,15,FALSE)+($F13+($F13*0.5*($D13-1)))*(AK$3-1)</f>
        <v>18535</v>
      </c>
    </row>
    <row r="14" spans="2:37" x14ac:dyDescent="0.3">
      <c r="B14" s="309"/>
      <c r="C14" s="314"/>
      <c r="D14" s="134">
        <v>2</v>
      </c>
      <c r="E14" s="132">
        <f>VLOOKUP($C$13,ServantLevelUPdStatus!$B$5:$AD$29,3,FALSE)+(VLOOKUP($C$13,ServantLevelUPdStatus!$B$5:$AD$29,3,FALSE)*0.5*(Simulator_HP!$D14-1))</f>
        <v>877.5</v>
      </c>
      <c r="F14" s="135">
        <f>F13</f>
        <v>585</v>
      </c>
      <c r="H14" s="133">
        <f>VLOOKUP($C$13,Servant!$B$5:$AD$29,15,FALSE)+($F14+($F14*0.5*($D14-1)))*(H$3-1)</f>
        <v>1570</v>
      </c>
      <c r="I14" s="133">
        <f>VLOOKUP($C$13,Servant!$B$5:$AD$29,15,FALSE)+($F14+($F14*0.5*($D14-1)))*(I$3-1)</f>
        <v>2447.5</v>
      </c>
      <c r="J14" s="133">
        <f>VLOOKUP($C$13,Servant!$B$5:$AD$29,15,FALSE)+($F14+($F14*0.5*($D14-1)))*(J$3-1)</f>
        <v>3325</v>
      </c>
      <c r="K14" s="133">
        <f>VLOOKUP($C$13,Servant!$B$5:$AD$29,15,FALSE)+($F14+($F14*0.5*($D14-1)))*(K$3-1)</f>
        <v>4202.5</v>
      </c>
      <c r="L14" s="133">
        <f>VLOOKUP($C$13,Servant!$B$5:$AD$29,15,FALSE)+($F14+($F14*0.5*($D14-1)))*(L$3-1)</f>
        <v>5080</v>
      </c>
      <c r="M14" s="133">
        <f>VLOOKUP($C$13,Servant!$B$5:$AD$29,15,FALSE)+($F14+($F14*0.5*($D14-1)))*(M$3-1)</f>
        <v>5957.5</v>
      </c>
      <c r="N14" s="133">
        <f>VLOOKUP($C$13,Servant!$B$5:$AD$29,15,FALSE)+($F14+($F14*0.5*($D14-1)))*(N$3-1)</f>
        <v>6835</v>
      </c>
      <c r="O14" s="133">
        <f>VLOOKUP($C$13,Servant!$B$5:$AD$29,15,FALSE)+($F14+($F14*0.5*($D14-1)))*(O$3-1)</f>
        <v>7712.5</v>
      </c>
      <c r="P14" s="133">
        <f>VLOOKUP($C$13,Servant!$B$5:$AD$29,15,FALSE)+($F14+($F14*0.5*($D14-1)))*(P$3-1)</f>
        <v>8590</v>
      </c>
      <c r="Q14" s="133">
        <f>VLOOKUP($C$13,Servant!$B$5:$AD$29,15,FALSE)+($F14+($F14*0.5*($D14-1)))*(Q$3-1)</f>
        <v>9467.5</v>
      </c>
      <c r="R14" s="133">
        <f>VLOOKUP($C$13,Servant!$B$5:$AD$29,15,FALSE)+($F14+($F14*0.5*($D14-1)))*(R$3-1)</f>
        <v>10345</v>
      </c>
      <c r="S14" s="133">
        <f>VLOOKUP($C$13,Servant!$B$5:$AD$29,15,FALSE)+($F14+($F14*0.5*($D14-1)))*(S$3-1)</f>
        <v>11222.5</v>
      </c>
      <c r="T14" s="133">
        <f>VLOOKUP($C$13,Servant!$B$5:$AD$29,15,FALSE)+($F14+($F14*0.5*($D14-1)))*(T$3-1)</f>
        <v>12100</v>
      </c>
      <c r="U14" s="133">
        <f>VLOOKUP($C$13,Servant!$B$5:$AD$29,15,FALSE)+($F14+($F14*0.5*($D14-1)))*(U$3-1)</f>
        <v>12977.5</v>
      </c>
      <c r="V14" s="133">
        <f>VLOOKUP($C$13,Servant!$B$5:$AD$29,15,FALSE)+($F14+($F14*0.5*($D14-1)))*(V$3-1)</f>
        <v>13855</v>
      </c>
      <c r="W14" s="133">
        <f>VLOOKUP($C$13,Servant!$B$5:$AD$29,15,FALSE)+($F14+($F14*0.5*($D14-1)))*(W$3-1)</f>
        <v>14732.5</v>
      </c>
      <c r="X14" s="133">
        <f>VLOOKUP($C$13,Servant!$B$5:$AD$29,15,FALSE)+($F14+($F14*0.5*($D14-1)))*(X$3-1)</f>
        <v>15610</v>
      </c>
      <c r="Y14" s="133">
        <f>VLOOKUP($C$13,Servant!$B$5:$AD$29,15,FALSE)+($F14+($F14*0.5*($D14-1)))*(Y$3-1)</f>
        <v>16487.5</v>
      </c>
      <c r="Z14" s="133">
        <f>VLOOKUP($C$13,Servant!$B$5:$AD$29,15,FALSE)+($F14+($F14*0.5*($D14-1)))*(Z$3-1)</f>
        <v>17365</v>
      </c>
      <c r="AA14" s="133">
        <f>VLOOKUP($C$13,Servant!$B$5:$AD$29,15,FALSE)+($F14+($F14*0.5*($D14-1)))*(AA$3-1)</f>
        <v>18242.5</v>
      </c>
      <c r="AB14" s="133">
        <f>VLOOKUP($C$13,Servant!$B$5:$AD$29,15,FALSE)+($F14+($F14*0.5*($D14-1)))*(AB$3-1)</f>
        <v>19120</v>
      </c>
      <c r="AC14" s="133">
        <f>VLOOKUP($C$13,Servant!$B$5:$AD$29,15,FALSE)+($F14+($F14*0.5*($D14-1)))*(AC$3-1)</f>
        <v>19997.5</v>
      </c>
      <c r="AD14" s="133">
        <f>VLOOKUP($C$13,Servant!$B$5:$AD$29,15,FALSE)+($F14+($F14*0.5*($D14-1)))*(AD$3-1)</f>
        <v>20875</v>
      </c>
      <c r="AE14" s="133">
        <f>VLOOKUP($C$13,Servant!$B$5:$AD$29,15,FALSE)+($F14+($F14*0.5*($D14-1)))*(AE$3-1)</f>
        <v>21752.5</v>
      </c>
      <c r="AF14" s="133">
        <f>VLOOKUP($C$13,Servant!$B$5:$AD$29,15,FALSE)+($F14+($F14*0.5*($D14-1)))*(AF$3-1)</f>
        <v>22630</v>
      </c>
      <c r="AG14" s="133">
        <f>VLOOKUP($C$13,Servant!$B$5:$AD$29,15,FALSE)+($F14+($F14*0.5*($D14-1)))*(AG$3-1)</f>
        <v>23507.5</v>
      </c>
      <c r="AH14" s="133">
        <f>VLOOKUP($C$13,Servant!$B$5:$AD$29,15,FALSE)+($F14+($F14*0.5*($D14-1)))*(AH$3-1)</f>
        <v>24385</v>
      </c>
      <c r="AI14" s="133">
        <f>VLOOKUP($C$13,Servant!$B$5:$AD$29,15,FALSE)+($F14+($F14*0.5*($D14-1)))*(AI$3-1)</f>
        <v>25262.5</v>
      </c>
      <c r="AJ14" s="133">
        <f>VLOOKUP($C$13,Servant!$B$5:$AD$29,15,FALSE)+($F14+($F14*0.5*($D14-1)))*(AJ$3-1)</f>
        <v>26140</v>
      </c>
      <c r="AK14" s="133">
        <f>VLOOKUP($C$13,Servant!$B$5:$AD$29,15,FALSE)+($F14+($F14*0.5*($D14-1)))*(AK$3-1)</f>
        <v>27017.5</v>
      </c>
    </row>
    <row r="15" spans="2:37" x14ac:dyDescent="0.3">
      <c r="B15" s="309"/>
      <c r="C15" s="314"/>
      <c r="D15" s="134">
        <v>3</v>
      </c>
      <c r="E15" s="132">
        <f>VLOOKUP($C$13,ServantLevelUPdStatus!$B$5:$AD$29,3,FALSE)+(VLOOKUP($C$13,ServantLevelUPdStatus!$B$5:$AD$29,3,FALSE)*0.5*(Simulator_HP!$D15-1))</f>
        <v>1170</v>
      </c>
      <c r="F15" s="135">
        <f>F14</f>
        <v>585</v>
      </c>
      <c r="H15" s="133">
        <f>VLOOKUP($C$13,Servant!$B$5:$AD$29,15,FALSE)+($F15+($F15*0.5*($D15-1)))*(H$3-1)</f>
        <v>1570</v>
      </c>
      <c r="I15" s="133">
        <f>VLOOKUP($C$13,Servant!$B$5:$AD$29,15,FALSE)+($F15+($F15*0.5*($D15-1)))*(I$3-1)</f>
        <v>2740</v>
      </c>
      <c r="J15" s="133">
        <f>VLOOKUP($C$13,Servant!$B$5:$AD$29,15,FALSE)+($F15+($F15*0.5*($D15-1)))*(J$3-1)</f>
        <v>3910</v>
      </c>
      <c r="K15" s="133">
        <f>VLOOKUP($C$13,Servant!$B$5:$AD$29,15,FALSE)+($F15+($F15*0.5*($D15-1)))*(K$3-1)</f>
        <v>5080</v>
      </c>
      <c r="L15" s="133">
        <f>VLOOKUP($C$13,Servant!$B$5:$AD$29,15,FALSE)+($F15+($F15*0.5*($D15-1)))*(L$3-1)</f>
        <v>6250</v>
      </c>
      <c r="M15" s="133">
        <f>VLOOKUP($C$13,Servant!$B$5:$AD$29,15,FALSE)+($F15+($F15*0.5*($D15-1)))*(M$3-1)</f>
        <v>7420</v>
      </c>
      <c r="N15" s="133">
        <f>VLOOKUP($C$13,Servant!$B$5:$AD$29,15,FALSE)+($F15+($F15*0.5*($D15-1)))*(N$3-1)</f>
        <v>8590</v>
      </c>
      <c r="O15" s="133">
        <f>VLOOKUP($C$13,Servant!$B$5:$AD$29,15,FALSE)+($F15+($F15*0.5*($D15-1)))*(O$3-1)</f>
        <v>9760</v>
      </c>
      <c r="P15" s="133">
        <f>VLOOKUP($C$13,Servant!$B$5:$AD$29,15,FALSE)+($F15+($F15*0.5*($D15-1)))*(P$3-1)</f>
        <v>10930</v>
      </c>
      <c r="Q15" s="133">
        <f>VLOOKUP($C$13,Servant!$B$5:$AD$29,15,FALSE)+($F15+($F15*0.5*($D15-1)))*(Q$3-1)</f>
        <v>12100</v>
      </c>
      <c r="R15" s="133">
        <f>VLOOKUP($C$13,Servant!$B$5:$AD$29,15,FALSE)+($F15+($F15*0.5*($D15-1)))*(R$3-1)</f>
        <v>13270</v>
      </c>
      <c r="S15" s="133">
        <f>VLOOKUP($C$13,Servant!$B$5:$AD$29,15,FALSE)+($F15+($F15*0.5*($D15-1)))*(S$3-1)</f>
        <v>14440</v>
      </c>
      <c r="T15" s="133">
        <f>VLOOKUP($C$13,Servant!$B$5:$AD$29,15,FALSE)+($F15+($F15*0.5*($D15-1)))*(T$3-1)</f>
        <v>15610</v>
      </c>
      <c r="U15" s="133">
        <f>VLOOKUP($C$13,Servant!$B$5:$AD$29,15,FALSE)+($F15+($F15*0.5*($D15-1)))*(U$3-1)</f>
        <v>16780</v>
      </c>
      <c r="V15" s="133">
        <f>VLOOKUP($C$13,Servant!$B$5:$AD$29,15,FALSE)+($F15+($F15*0.5*($D15-1)))*(V$3-1)</f>
        <v>17950</v>
      </c>
      <c r="W15" s="133">
        <f>VLOOKUP($C$13,Servant!$B$5:$AD$29,15,FALSE)+($F15+($F15*0.5*($D15-1)))*(W$3-1)</f>
        <v>19120</v>
      </c>
      <c r="X15" s="133">
        <f>VLOOKUP($C$13,Servant!$B$5:$AD$29,15,FALSE)+($F15+($F15*0.5*($D15-1)))*(X$3-1)</f>
        <v>20290</v>
      </c>
      <c r="Y15" s="133">
        <f>VLOOKUP($C$13,Servant!$B$5:$AD$29,15,FALSE)+($F15+($F15*0.5*($D15-1)))*(Y$3-1)</f>
        <v>21460</v>
      </c>
      <c r="Z15" s="133">
        <f>VLOOKUP($C$13,Servant!$B$5:$AD$29,15,FALSE)+($F15+($F15*0.5*($D15-1)))*(Z$3-1)</f>
        <v>22630</v>
      </c>
      <c r="AA15" s="133">
        <f>VLOOKUP($C$13,Servant!$B$5:$AD$29,15,FALSE)+($F15+($F15*0.5*($D15-1)))*(AA$3-1)</f>
        <v>23800</v>
      </c>
      <c r="AB15" s="133">
        <f>VLOOKUP($C$13,Servant!$B$5:$AD$29,15,FALSE)+($F15+($F15*0.5*($D15-1)))*(AB$3-1)</f>
        <v>24970</v>
      </c>
      <c r="AC15" s="133">
        <f>VLOOKUP($C$13,Servant!$B$5:$AD$29,15,FALSE)+($F15+($F15*0.5*($D15-1)))*(AC$3-1)</f>
        <v>26140</v>
      </c>
      <c r="AD15" s="133">
        <f>VLOOKUP($C$13,Servant!$B$5:$AD$29,15,FALSE)+($F15+($F15*0.5*($D15-1)))*(AD$3-1)</f>
        <v>27310</v>
      </c>
      <c r="AE15" s="133">
        <f>VLOOKUP($C$13,Servant!$B$5:$AD$29,15,FALSE)+($F15+($F15*0.5*($D15-1)))*(AE$3-1)</f>
        <v>28480</v>
      </c>
      <c r="AF15" s="133">
        <f>VLOOKUP($C$13,Servant!$B$5:$AD$29,15,FALSE)+($F15+($F15*0.5*($D15-1)))*(AF$3-1)</f>
        <v>29650</v>
      </c>
      <c r="AG15" s="133">
        <f>VLOOKUP($C$13,Servant!$B$5:$AD$29,15,FALSE)+($F15+($F15*0.5*($D15-1)))*(AG$3-1)</f>
        <v>30820</v>
      </c>
      <c r="AH15" s="133">
        <f>VLOOKUP($C$13,Servant!$B$5:$AD$29,15,FALSE)+($F15+($F15*0.5*($D15-1)))*(AH$3-1)</f>
        <v>31990</v>
      </c>
      <c r="AI15" s="133">
        <f>VLOOKUP($C$13,Servant!$B$5:$AD$29,15,FALSE)+($F15+($F15*0.5*($D15-1)))*(AI$3-1)</f>
        <v>33160</v>
      </c>
      <c r="AJ15" s="133">
        <f>VLOOKUP($C$13,Servant!$B$5:$AD$29,15,FALSE)+($F15+($F15*0.5*($D15-1)))*(AJ$3-1)</f>
        <v>34330</v>
      </c>
      <c r="AK15" s="133">
        <f>VLOOKUP($C$13,Servant!$B$5:$AD$29,15,FALSE)+($F15+($F15*0.5*($D15-1)))*(AK$3-1)</f>
        <v>35500</v>
      </c>
    </row>
    <row r="16" spans="2:37" x14ac:dyDescent="0.3">
      <c r="B16" s="309"/>
      <c r="C16" s="315" t="s">
        <v>303</v>
      </c>
      <c r="D16" s="125">
        <v>1</v>
      </c>
      <c r="E16" s="117">
        <f>VLOOKUP($C$16,ServantLevelUPdStatus!$B$5:$AD$29,3,FALSE)+(VLOOKUP($C$16,ServantLevelUPdStatus!$B$5:$AD$29,3,FALSE)*0.5*(Simulator_HP!$D16-1))</f>
        <v>511</v>
      </c>
      <c r="F16" s="117">
        <f>VLOOKUP($C$16,ServantLevelUPdStatus!$B$5:$AD$29,3,FALSE)</f>
        <v>511</v>
      </c>
      <c r="H16" s="112">
        <f>VLOOKUP($C$16,Servant!$B$5:$AD$29,15,FALSE)+($F16+($F16*0.5*($D16-1)))*(H$3-1)</f>
        <v>1372</v>
      </c>
      <c r="I16" s="112">
        <f>VLOOKUP($C$16,Servant!$B$5:$AD$29,15,FALSE)+($F16+($F16*0.5*($D16-1)))*(I$3-1)</f>
        <v>1883</v>
      </c>
      <c r="J16" s="112">
        <f>VLOOKUP($C$16,Servant!$B$5:$AD$29,15,FALSE)+($F16+($F16*0.5*($D16-1)))*(J$3-1)</f>
        <v>2394</v>
      </c>
      <c r="K16" s="112">
        <f>VLOOKUP($C$16,Servant!$B$5:$AD$29,15,FALSE)+($F16+($F16*0.5*($D16-1)))*(K$3-1)</f>
        <v>2905</v>
      </c>
      <c r="L16" s="112">
        <f>VLOOKUP($C$16,Servant!$B$5:$AD$29,15,FALSE)+($F16+($F16*0.5*($D16-1)))*(L$3-1)</f>
        <v>3416</v>
      </c>
      <c r="M16" s="112">
        <f>VLOOKUP($C$16,Servant!$B$5:$AD$29,15,FALSE)+($F16+($F16*0.5*($D16-1)))*(M$3-1)</f>
        <v>3927</v>
      </c>
      <c r="N16" s="112">
        <f>VLOOKUP($C$16,Servant!$B$5:$AD$29,15,FALSE)+($F16+($F16*0.5*($D16-1)))*(N$3-1)</f>
        <v>4438</v>
      </c>
      <c r="O16" s="112">
        <f>VLOOKUP($C$16,Servant!$B$5:$AD$29,15,FALSE)+($F16+($F16*0.5*($D16-1)))*(O$3-1)</f>
        <v>4949</v>
      </c>
      <c r="P16" s="112">
        <f>VLOOKUP($C$16,Servant!$B$5:$AD$29,15,FALSE)+($F16+($F16*0.5*($D16-1)))*(P$3-1)</f>
        <v>5460</v>
      </c>
      <c r="Q16" s="112">
        <f>VLOOKUP($C$16,Servant!$B$5:$AD$29,15,FALSE)+($F16+($F16*0.5*($D16-1)))*(Q$3-1)</f>
        <v>5971</v>
      </c>
      <c r="R16" s="112">
        <f>VLOOKUP($C$16,Servant!$B$5:$AD$29,15,FALSE)+($F16+($F16*0.5*($D16-1)))*(R$3-1)</f>
        <v>6482</v>
      </c>
      <c r="S16" s="112">
        <f>VLOOKUP($C$16,Servant!$B$5:$AD$29,15,FALSE)+($F16+($F16*0.5*($D16-1)))*(S$3-1)</f>
        <v>6993</v>
      </c>
      <c r="T16" s="112">
        <f>VLOOKUP($C$16,Servant!$B$5:$AD$29,15,FALSE)+($F16+($F16*0.5*($D16-1)))*(T$3-1)</f>
        <v>7504</v>
      </c>
      <c r="U16" s="112">
        <f>VLOOKUP($C$16,Servant!$B$5:$AD$29,15,FALSE)+($F16+($F16*0.5*($D16-1)))*(U$3-1)</f>
        <v>8015</v>
      </c>
      <c r="V16" s="112">
        <f>VLOOKUP($C$16,Servant!$B$5:$AD$29,15,FALSE)+($F16+($F16*0.5*($D16-1)))*(V$3-1)</f>
        <v>8526</v>
      </c>
      <c r="W16" s="112">
        <f>VLOOKUP($C$16,Servant!$B$5:$AD$29,15,FALSE)+($F16+($F16*0.5*($D16-1)))*(W$3-1)</f>
        <v>9037</v>
      </c>
      <c r="X16" s="112">
        <f>VLOOKUP($C$16,Servant!$B$5:$AD$29,15,FALSE)+($F16+($F16*0.5*($D16-1)))*(X$3-1)</f>
        <v>9548</v>
      </c>
      <c r="Y16" s="112">
        <f>VLOOKUP($C$16,Servant!$B$5:$AD$29,15,FALSE)+($F16+($F16*0.5*($D16-1)))*(Y$3-1)</f>
        <v>10059</v>
      </c>
      <c r="Z16" s="112">
        <f>VLOOKUP($C$16,Servant!$B$5:$AD$29,15,FALSE)+($F16+($F16*0.5*($D16-1)))*(Z$3-1)</f>
        <v>10570</v>
      </c>
      <c r="AA16" s="112">
        <f>VLOOKUP($C$16,Servant!$B$5:$AD$29,15,FALSE)+($F16+($F16*0.5*($D16-1)))*(AA$3-1)</f>
        <v>11081</v>
      </c>
      <c r="AB16" s="112">
        <f>VLOOKUP($C$16,Servant!$B$5:$AD$29,15,FALSE)+($F16+($F16*0.5*($D16-1)))*(AB$3-1)</f>
        <v>11592</v>
      </c>
      <c r="AC16" s="112">
        <f>VLOOKUP($C$16,Servant!$B$5:$AD$29,15,FALSE)+($F16+($F16*0.5*($D16-1)))*(AC$3-1)</f>
        <v>12103</v>
      </c>
      <c r="AD16" s="112">
        <f>VLOOKUP($C$16,Servant!$B$5:$AD$29,15,FALSE)+($F16+($F16*0.5*($D16-1)))*(AD$3-1)</f>
        <v>12614</v>
      </c>
      <c r="AE16" s="112">
        <f>VLOOKUP($C$16,Servant!$B$5:$AD$29,15,FALSE)+($F16+($F16*0.5*($D16-1)))*(AE$3-1)</f>
        <v>13125</v>
      </c>
      <c r="AF16" s="112">
        <f>VLOOKUP($C$16,Servant!$B$5:$AD$29,15,FALSE)+($F16+($F16*0.5*($D16-1)))*(AF$3-1)</f>
        <v>13636</v>
      </c>
      <c r="AG16" s="112">
        <f>VLOOKUP($C$16,Servant!$B$5:$AD$29,15,FALSE)+($F16+($F16*0.5*($D16-1)))*(AG$3-1)</f>
        <v>14147</v>
      </c>
      <c r="AH16" s="112">
        <f>VLOOKUP($C$16,Servant!$B$5:$AD$29,15,FALSE)+($F16+($F16*0.5*($D16-1)))*(AH$3-1)</f>
        <v>14658</v>
      </c>
      <c r="AI16" s="112">
        <f>VLOOKUP($C$16,Servant!$B$5:$AD$29,15,FALSE)+($F16+($F16*0.5*($D16-1)))*(AI$3-1)</f>
        <v>15169</v>
      </c>
      <c r="AJ16" s="112">
        <f>VLOOKUP($C$16,Servant!$B$5:$AD$29,15,FALSE)+($F16+($F16*0.5*($D16-1)))*(AJ$3-1)</f>
        <v>15680</v>
      </c>
      <c r="AK16" s="112">
        <f>VLOOKUP($C$16,Servant!$B$5:$AD$29,15,FALSE)+($F16+($F16*0.5*($D16-1)))*(AK$3-1)</f>
        <v>16191</v>
      </c>
    </row>
    <row r="17" spans="2:37" x14ac:dyDescent="0.3">
      <c r="B17" s="309"/>
      <c r="C17" s="316"/>
      <c r="D17" s="126">
        <v>2</v>
      </c>
      <c r="E17" s="117">
        <f>VLOOKUP($C$16,ServantLevelUPdStatus!$B$5:$AD$29,3,FALSE)+(VLOOKUP($C$16,ServantLevelUPdStatus!$B$5:$AD$29,3,FALSE)*0.5*(Simulator_HP!$D17-1))</f>
        <v>766.5</v>
      </c>
      <c r="F17" s="118">
        <f>F16</f>
        <v>511</v>
      </c>
      <c r="H17" s="112">
        <f>VLOOKUP($C$16,Servant!$B$5:$AD$29,15,FALSE)+($F17+($F17*0.5*($D17-1)))*(H$3-1)</f>
        <v>1372</v>
      </c>
      <c r="I17" s="112">
        <f>VLOOKUP($C$16,Servant!$B$5:$AD$29,15,FALSE)+($F17+($F17*0.5*($D17-1)))*(I$3-1)</f>
        <v>2138.5</v>
      </c>
      <c r="J17" s="112">
        <f>VLOOKUP($C$16,Servant!$B$5:$AD$29,15,FALSE)+($F17+($F17*0.5*($D17-1)))*(J$3-1)</f>
        <v>2905</v>
      </c>
      <c r="K17" s="112">
        <f>VLOOKUP($C$16,Servant!$B$5:$AD$29,15,FALSE)+($F17+($F17*0.5*($D17-1)))*(K$3-1)</f>
        <v>3671.5</v>
      </c>
      <c r="L17" s="112">
        <f>VLOOKUP($C$16,Servant!$B$5:$AD$29,15,FALSE)+($F17+($F17*0.5*($D17-1)))*(L$3-1)</f>
        <v>4438</v>
      </c>
      <c r="M17" s="112">
        <f>VLOOKUP($C$16,Servant!$B$5:$AD$29,15,FALSE)+($F17+($F17*0.5*($D17-1)))*(M$3-1)</f>
        <v>5204.5</v>
      </c>
      <c r="N17" s="112">
        <f>VLOOKUP($C$16,Servant!$B$5:$AD$29,15,FALSE)+($F17+($F17*0.5*($D17-1)))*(N$3-1)</f>
        <v>5971</v>
      </c>
      <c r="O17" s="112">
        <f>VLOOKUP($C$16,Servant!$B$5:$AD$29,15,FALSE)+($F17+($F17*0.5*($D17-1)))*(O$3-1)</f>
        <v>6737.5</v>
      </c>
      <c r="P17" s="112">
        <f>VLOOKUP($C$16,Servant!$B$5:$AD$29,15,FALSE)+($F17+($F17*0.5*($D17-1)))*(P$3-1)</f>
        <v>7504</v>
      </c>
      <c r="Q17" s="112">
        <f>VLOOKUP($C$16,Servant!$B$5:$AD$29,15,FALSE)+($F17+($F17*0.5*($D17-1)))*(Q$3-1)</f>
        <v>8270.5</v>
      </c>
      <c r="R17" s="112">
        <f>VLOOKUP($C$16,Servant!$B$5:$AD$29,15,FALSE)+($F17+($F17*0.5*($D17-1)))*(R$3-1)</f>
        <v>9037</v>
      </c>
      <c r="S17" s="112">
        <f>VLOOKUP($C$16,Servant!$B$5:$AD$29,15,FALSE)+($F17+($F17*0.5*($D17-1)))*(S$3-1)</f>
        <v>9803.5</v>
      </c>
      <c r="T17" s="112">
        <f>VLOOKUP($C$16,Servant!$B$5:$AD$29,15,FALSE)+($F17+($F17*0.5*($D17-1)))*(T$3-1)</f>
        <v>10570</v>
      </c>
      <c r="U17" s="112">
        <f>VLOOKUP($C$16,Servant!$B$5:$AD$29,15,FALSE)+($F17+($F17*0.5*($D17-1)))*(U$3-1)</f>
        <v>11336.5</v>
      </c>
      <c r="V17" s="112">
        <f>VLOOKUP($C$16,Servant!$B$5:$AD$29,15,FALSE)+($F17+($F17*0.5*($D17-1)))*(V$3-1)</f>
        <v>12103</v>
      </c>
      <c r="W17" s="112">
        <f>VLOOKUP($C$16,Servant!$B$5:$AD$29,15,FALSE)+($F17+($F17*0.5*($D17-1)))*(W$3-1)</f>
        <v>12869.5</v>
      </c>
      <c r="X17" s="112">
        <f>VLOOKUP($C$16,Servant!$B$5:$AD$29,15,FALSE)+($F17+($F17*0.5*($D17-1)))*(X$3-1)</f>
        <v>13636</v>
      </c>
      <c r="Y17" s="112">
        <f>VLOOKUP($C$16,Servant!$B$5:$AD$29,15,FALSE)+($F17+($F17*0.5*($D17-1)))*(Y$3-1)</f>
        <v>14402.5</v>
      </c>
      <c r="Z17" s="112">
        <f>VLOOKUP($C$16,Servant!$B$5:$AD$29,15,FALSE)+($F17+($F17*0.5*($D17-1)))*(Z$3-1)</f>
        <v>15169</v>
      </c>
      <c r="AA17" s="112">
        <f>VLOOKUP($C$16,Servant!$B$5:$AD$29,15,FALSE)+($F17+($F17*0.5*($D17-1)))*(AA$3-1)</f>
        <v>15935.5</v>
      </c>
      <c r="AB17" s="112">
        <f>VLOOKUP($C$16,Servant!$B$5:$AD$29,15,FALSE)+($F17+($F17*0.5*($D17-1)))*(AB$3-1)</f>
        <v>16702</v>
      </c>
      <c r="AC17" s="112">
        <f>VLOOKUP($C$16,Servant!$B$5:$AD$29,15,FALSE)+($F17+($F17*0.5*($D17-1)))*(AC$3-1)</f>
        <v>17468.5</v>
      </c>
      <c r="AD17" s="112">
        <f>VLOOKUP($C$16,Servant!$B$5:$AD$29,15,FALSE)+($F17+($F17*0.5*($D17-1)))*(AD$3-1)</f>
        <v>18235</v>
      </c>
      <c r="AE17" s="112">
        <f>VLOOKUP($C$16,Servant!$B$5:$AD$29,15,FALSE)+($F17+($F17*0.5*($D17-1)))*(AE$3-1)</f>
        <v>19001.5</v>
      </c>
      <c r="AF17" s="112">
        <f>VLOOKUP($C$16,Servant!$B$5:$AD$29,15,FALSE)+($F17+($F17*0.5*($D17-1)))*(AF$3-1)</f>
        <v>19768</v>
      </c>
      <c r="AG17" s="112">
        <f>VLOOKUP($C$16,Servant!$B$5:$AD$29,15,FALSE)+($F17+($F17*0.5*($D17-1)))*(AG$3-1)</f>
        <v>20534.5</v>
      </c>
      <c r="AH17" s="112">
        <f>VLOOKUP($C$16,Servant!$B$5:$AD$29,15,FALSE)+($F17+($F17*0.5*($D17-1)))*(AH$3-1)</f>
        <v>21301</v>
      </c>
      <c r="AI17" s="112">
        <f>VLOOKUP($C$16,Servant!$B$5:$AD$29,15,FALSE)+($F17+($F17*0.5*($D17-1)))*(AI$3-1)</f>
        <v>22067.5</v>
      </c>
      <c r="AJ17" s="112">
        <f>VLOOKUP($C$16,Servant!$B$5:$AD$29,15,FALSE)+($F17+($F17*0.5*($D17-1)))*(AJ$3-1)</f>
        <v>22834</v>
      </c>
      <c r="AK17" s="112">
        <f>VLOOKUP($C$16,Servant!$B$5:$AD$29,15,FALSE)+($F17+($F17*0.5*($D17-1)))*(AK$3-1)</f>
        <v>23600.5</v>
      </c>
    </row>
    <row r="18" spans="2:37" x14ac:dyDescent="0.3">
      <c r="B18" s="309"/>
      <c r="C18" s="316"/>
      <c r="D18" s="126">
        <v>3</v>
      </c>
      <c r="E18" s="117">
        <f>VLOOKUP($C$16,ServantLevelUPdStatus!$B$5:$AD$29,3,FALSE)+(VLOOKUP($C$16,ServantLevelUPdStatus!$B$5:$AD$29,3,FALSE)*0.5*(Simulator_HP!$D18-1))</f>
        <v>1022</v>
      </c>
      <c r="F18" s="118">
        <f>F17</f>
        <v>511</v>
      </c>
      <c r="H18" s="112">
        <f>VLOOKUP($C$16,Servant!$B$5:$AD$29,15,FALSE)+($F18+($F18*0.5*($D18-1)))*(H$3-1)</f>
        <v>1372</v>
      </c>
      <c r="I18" s="112">
        <f>VLOOKUP($C$16,Servant!$B$5:$AD$29,15,FALSE)+($F18+($F18*0.5*($D18-1)))*(I$3-1)</f>
        <v>2394</v>
      </c>
      <c r="J18" s="112">
        <f>VLOOKUP($C$16,Servant!$B$5:$AD$29,15,FALSE)+($F18+($F18*0.5*($D18-1)))*(J$3-1)</f>
        <v>3416</v>
      </c>
      <c r="K18" s="112">
        <f>VLOOKUP($C$16,Servant!$B$5:$AD$29,15,FALSE)+($F18+($F18*0.5*($D18-1)))*(K$3-1)</f>
        <v>4438</v>
      </c>
      <c r="L18" s="112">
        <f>VLOOKUP($C$16,Servant!$B$5:$AD$29,15,FALSE)+($F18+($F18*0.5*($D18-1)))*(L$3-1)</f>
        <v>5460</v>
      </c>
      <c r="M18" s="112">
        <f>VLOOKUP($C$16,Servant!$B$5:$AD$29,15,FALSE)+($F18+($F18*0.5*($D18-1)))*(M$3-1)</f>
        <v>6482</v>
      </c>
      <c r="N18" s="112">
        <f>VLOOKUP($C$16,Servant!$B$5:$AD$29,15,FALSE)+($F18+($F18*0.5*($D18-1)))*(N$3-1)</f>
        <v>7504</v>
      </c>
      <c r="O18" s="112">
        <f>VLOOKUP($C$16,Servant!$B$5:$AD$29,15,FALSE)+($F18+($F18*0.5*($D18-1)))*(O$3-1)</f>
        <v>8526</v>
      </c>
      <c r="P18" s="112">
        <f>VLOOKUP($C$16,Servant!$B$5:$AD$29,15,FALSE)+($F18+($F18*0.5*($D18-1)))*(P$3-1)</f>
        <v>9548</v>
      </c>
      <c r="Q18" s="112">
        <f>VLOOKUP($C$16,Servant!$B$5:$AD$29,15,FALSE)+($F18+($F18*0.5*($D18-1)))*(Q$3-1)</f>
        <v>10570</v>
      </c>
      <c r="R18" s="112">
        <f>VLOOKUP($C$16,Servant!$B$5:$AD$29,15,FALSE)+($F18+($F18*0.5*($D18-1)))*(R$3-1)</f>
        <v>11592</v>
      </c>
      <c r="S18" s="112">
        <f>VLOOKUP($C$16,Servant!$B$5:$AD$29,15,FALSE)+($F18+($F18*0.5*($D18-1)))*(S$3-1)</f>
        <v>12614</v>
      </c>
      <c r="T18" s="112">
        <f>VLOOKUP($C$16,Servant!$B$5:$AD$29,15,FALSE)+($F18+($F18*0.5*($D18-1)))*(T$3-1)</f>
        <v>13636</v>
      </c>
      <c r="U18" s="112">
        <f>VLOOKUP($C$16,Servant!$B$5:$AD$29,15,FALSE)+($F18+($F18*0.5*($D18-1)))*(U$3-1)</f>
        <v>14658</v>
      </c>
      <c r="V18" s="112">
        <f>VLOOKUP($C$16,Servant!$B$5:$AD$29,15,FALSE)+($F18+($F18*0.5*($D18-1)))*(V$3-1)</f>
        <v>15680</v>
      </c>
      <c r="W18" s="112">
        <f>VLOOKUP($C$16,Servant!$B$5:$AD$29,15,FALSE)+($F18+($F18*0.5*($D18-1)))*(W$3-1)</f>
        <v>16702</v>
      </c>
      <c r="X18" s="112">
        <f>VLOOKUP($C$16,Servant!$B$5:$AD$29,15,FALSE)+($F18+($F18*0.5*($D18-1)))*(X$3-1)</f>
        <v>17724</v>
      </c>
      <c r="Y18" s="112">
        <f>VLOOKUP($C$16,Servant!$B$5:$AD$29,15,FALSE)+($F18+($F18*0.5*($D18-1)))*(Y$3-1)</f>
        <v>18746</v>
      </c>
      <c r="Z18" s="112">
        <f>VLOOKUP($C$16,Servant!$B$5:$AD$29,15,FALSE)+($F18+($F18*0.5*($D18-1)))*(Z$3-1)</f>
        <v>19768</v>
      </c>
      <c r="AA18" s="112">
        <f>VLOOKUP($C$16,Servant!$B$5:$AD$29,15,FALSE)+($F18+($F18*0.5*($D18-1)))*(AA$3-1)</f>
        <v>20790</v>
      </c>
      <c r="AB18" s="112">
        <f>VLOOKUP($C$16,Servant!$B$5:$AD$29,15,FALSE)+($F18+($F18*0.5*($D18-1)))*(AB$3-1)</f>
        <v>21812</v>
      </c>
      <c r="AC18" s="112">
        <f>VLOOKUP($C$16,Servant!$B$5:$AD$29,15,FALSE)+($F18+($F18*0.5*($D18-1)))*(AC$3-1)</f>
        <v>22834</v>
      </c>
      <c r="AD18" s="112">
        <f>VLOOKUP($C$16,Servant!$B$5:$AD$29,15,FALSE)+($F18+($F18*0.5*($D18-1)))*(AD$3-1)</f>
        <v>23856</v>
      </c>
      <c r="AE18" s="112">
        <f>VLOOKUP($C$16,Servant!$B$5:$AD$29,15,FALSE)+($F18+($F18*0.5*($D18-1)))*(AE$3-1)</f>
        <v>24878</v>
      </c>
      <c r="AF18" s="112">
        <f>VLOOKUP($C$16,Servant!$B$5:$AD$29,15,FALSE)+($F18+($F18*0.5*($D18-1)))*(AF$3-1)</f>
        <v>25900</v>
      </c>
      <c r="AG18" s="112">
        <f>VLOOKUP($C$16,Servant!$B$5:$AD$29,15,FALSE)+($F18+($F18*0.5*($D18-1)))*(AG$3-1)</f>
        <v>26922</v>
      </c>
      <c r="AH18" s="112">
        <f>VLOOKUP($C$16,Servant!$B$5:$AD$29,15,FALSE)+($F18+($F18*0.5*($D18-1)))*(AH$3-1)</f>
        <v>27944</v>
      </c>
      <c r="AI18" s="112">
        <f>VLOOKUP($C$16,Servant!$B$5:$AD$29,15,FALSE)+($F18+($F18*0.5*($D18-1)))*(AI$3-1)</f>
        <v>28966</v>
      </c>
      <c r="AJ18" s="112">
        <f>VLOOKUP($C$16,Servant!$B$5:$AD$29,15,FALSE)+($F18+($F18*0.5*($D18-1)))*(AJ$3-1)</f>
        <v>29988</v>
      </c>
      <c r="AK18" s="112">
        <f>VLOOKUP($C$16,Servant!$B$5:$AD$29,15,FALSE)+($F18+($F18*0.5*($D18-1)))*(AK$3-1)</f>
        <v>31010</v>
      </c>
    </row>
    <row r="19" spans="2:37" x14ac:dyDescent="0.3">
      <c r="B19" s="309"/>
      <c r="C19" s="313" t="s">
        <v>300</v>
      </c>
      <c r="D19" s="131">
        <v>1</v>
      </c>
      <c r="E19" s="132">
        <f>VLOOKUP($C$19,ServantLevelUPdStatus!$B$5:$AD$29,3,FALSE)+(VLOOKUP($C$19,ServantLevelUPdStatus!$B$5:$AD$29,3,FALSE)*0.5*(Simulator_HP!$D19-1))</f>
        <v>516</v>
      </c>
      <c r="F19" s="132">
        <f>VLOOKUP($C$19,ServantLevelUPdStatus!$B$5:$AD$29,3,FALSE)</f>
        <v>516</v>
      </c>
      <c r="H19" s="133">
        <f>VLOOKUP($C$19,Servant!$B$5:$AD$29,15,FALSE)+($F19+($F19*0.5*($D19-1)))*(H$3-1)</f>
        <v>1357</v>
      </c>
      <c r="I19" s="133">
        <f>VLOOKUP($C$19,Servant!$B$5:$AD$29,15,FALSE)+($F19+($F19*0.5*($D19-1)))*(I$3-1)</f>
        <v>1873</v>
      </c>
      <c r="J19" s="133">
        <f>VLOOKUP($C$19,Servant!$B$5:$AD$29,15,FALSE)+($F19+($F19*0.5*($D19-1)))*(J$3-1)</f>
        <v>2389</v>
      </c>
      <c r="K19" s="133">
        <f>VLOOKUP($C$19,Servant!$B$5:$AD$29,15,FALSE)+($F19+($F19*0.5*($D19-1)))*(K$3-1)</f>
        <v>2905</v>
      </c>
      <c r="L19" s="133">
        <f>VLOOKUP($C$19,Servant!$B$5:$AD$29,15,FALSE)+($F19+($F19*0.5*($D19-1)))*(L$3-1)</f>
        <v>3421</v>
      </c>
      <c r="M19" s="133">
        <f>VLOOKUP($C$19,Servant!$B$5:$AD$29,15,FALSE)+($F19+($F19*0.5*($D19-1)))*(M$3-1)</f>
        <v>3937</v>
      </c>
      <c r="N19" s="133">
        <f>VLOOKUP($C$19,Servant!$B$5:$AD$29,15,FALSE)+($F19+($F19*0.5*($D19-1)))*(N$3-1)</f>
        <v>4453</v>
      </c>
      <c r="O19" s="133">
        <f>VLOOKUP($C$19,Servant!$B$5:$AD$29,15,FALSE)+($F19+($F19*0.5*($D19-1)))*(O$3-1)</f>
        <v>4969</v>
      </c>
      <c r="P19" s="133">
        <f>VLOOKUP($C$19,Servant!$B$5:$AD$29,15,FALSE)+($F19+($F19*0.5*($D19-1)))*(P$3-1)</f>
        <v>5485</v>
      </c>
      <c r="Q19" s="133">
        <f>VLOOKUP($C$19,Servant!$B$5:$AD$29,15,FALSE)+($F19+($F19*0.5*($D19-1)))*(Q$3-1)</f>
        <v>6001</v>
      </c>
      <c r="R19" s="133">
        <f>VLOOKUP($C$19,Servant!$B$5:$AD$29,15,FALSE)+($F19+($F19*0.5*($D19-1)))*(R$3-1)</f>
        <v>6517</v>
      </c>
      <c r="S19" s="133">
        <f>VLOOKUP($C$19,Servant!$B$5:$AD$29,15,FALSE)+($F19+($F19*0.5*($D19-1)))*(S$3-1)</f>
        <v>7033</v>
      </c>
      <c r="T19" s="133">
        <f>VLOOKUP($C$19,Servant!$B$5:$AD$29,15,FALSE)+($F19+($F19*0.5*($D19-1)))*(T$3-1)</f>
        <v>7549</v>
      </c>
      <c r="U19" s="133">
        <f>VLOOKUP($C$19,Servant!$B$5:$AD$29,15,FALSE)+($F19+($F19*0.5*($D19-1)))*(U$3-1)</f>
        <v>8065</v>
      </c>
      <c r="V19" s="133">
        <f>VLOOKUP($C$19,Servant!$B$5:$AD$29,15,FALSE)+($F19+($F19*0.5*($D19-1)))*(V$3-1)</f>
        <v>8581</v>
      </c>
      <c r="W19" s="133">
        <f>VLOOKUP($C$19,Servant!$B$5:$AD$29,15,FALSE)+($F19+($F19*0.5*($D19-1)))*(W$3-1)</f>
        <v>9097</v>
      </c>
      <c r="X19" s="133">
        <f>VLOOKUP($C$19,Servant!$B$5:$AD$29,15,FALSE)+($F19+($F19*0.5*($D19-1)))*(X$3-1)</f>
        <v>9613</v>
      </c>
      <c r="Y19" s="133">
        <f>VLOOKUP($C$19,Servant!$B$5:$AD$29,15,FALSE)+($F19+($F19*0.5*($D19-1)))*(Y$3-1)</f>
        <v>10129</v>
      </c>
      <c r="Z19" s="133">
        <f>VLOOKUP($C$19,Servant!$B$5:$AD$29,15,FALSE)+($F19+($F19*0.5*($D19-1)))*(Z$3-1)</f>
        <v>10645</v>
      </c>
      <c r="AA19" s="133">
        <f>VLOOKUP($C$19,Servant!$B$5:$AD$29,15,FALSE)+($F19+($F19*0.5*($D19-1)))*(AA$3-1)</f>
        <v>11161</v>
      </c>
      <c r="AB19" s="133">
        <f>VLOOKUP($C$19,Servant!$B$5:$AD$29,15,FALSE)+($F19+($F19*0.5*($D19-1)))*(AB$3-1)</f>
        <v>11677</v>
      </c>
      <c r="AC19" s="133">
        <f>VLOOKUP($C$19,Servant!$B$5:$AD$29,15,FALSE)+($F19+($F19*0.5*($D19-1)))*(AC$3-1)</f>
        <v>12193</v>
      </c>
      <c r="AD19" s="133">
        <f>VLOOKUP($C$19,Servant!$B$5:$AD$29,15,FALSE)+($F19+($F19*0.5*($D19-1)))*(AD$3-1)</f>
        <v>12709</v>
      </c>
      <c r="AE19" s="133">
        <f>VLOOKUP($C$19,Servant!$B$5:$AD$29,15,FALSE)+($F19+($F19*0.5*($D19-1)))*(AE$3-1)</f>
        <v>13225</v>
      </c>
      <c r="AF19" s="133">
        <f>VLOOKUP($C$19,Servant!$B$5:$AD$29,15,FALSE)+($F19+($F19*0.5*($D19-1)))*(AF$3-1)</f>
        <v>13741</v>
      </c>
      <c r="AG19" s="133">
        <f>VLOOKUP($C$19,Servant!$B$5:$AD$29,15,FALSE)+($F19+($F19*0.5*($D19-1)))*(AG$3-1)</f>
        <v>14257</v>
      </c>
      <c r="AH19" s="133">
        <f>VLOOKUP($C$19,Servant!$B$5:$AD$29,15,FALSE)+($F19+($F19*0.5*($D19-1)))*(AH$3-1)</f>
        <v>14773</v>
      </c>
      <c r="AI19" s="133">
        <f>VLOOKUP($C$19,Servant!$B$5:$AD$29,15,FALSE)+($F19+($F19*0.5*($D19-1)))*(AI$3-1)</f>
        <v>15289</v>
      </c>
      <c r="AJ19" s="133">
        <f>VLOOKUP($C$19,Servant!$B$5:$AD$29,15,FALSE)+($F19+($F19*0.5*($D19-1)))*(AJ$3-1)</f>
        <v>15805</v>
      </c>
      <c r="AK19" s="133">
        <f>VLOOKUP($C$19,Servant!$B$5:$AD$29,15,FALSE)+($F19+($F19*0.5*($D19-1)))*(AK$3-1)</f>
        <v>16321</v>
      </c>
    </row>
    <row r="20" spans="2:37" x14ac:dyDescent="0.3">
      <c r="B20" s="309"/>
      <c r="C20" s="314"/>
      <c r="D20" s="134">
        <v>2</v>
      </c>
      <c r="E20" s="132">
        <f>VLOOKUP($C$19,ServantLevelUPdStatus!$B$5:$AD$29,3,FALSE)+(VLOOKUP($C$19,ServantLevelUPdStatus!$B$5:$AD$29,3,FALSE)*0.5*(Simulator_HP!$D20-1))</f>
        <v>774</v>
      </c>
      <c r="F20" s="135">
        <f>F19</f>
        <v>516</v>
      </c>
      <c r="H20" s="133">
        <f>VLOOKUP($C$19,Servant!$B$5:$AD$29,15,FALSE)+($F20+($F20*0.5*($D20-1)))*(H$3-1)</f>
        <v>1357</v>
      </c>
      <c r="I20" s="133">
        <f>VLOOKUP($C$19,Servant!$B$5:$AD$29,15,FALSE)+($F20+($F20*0.5*($D20-1)))*(I$3-1)</f>
        <v>2131</v>
      </c>
      <c r="J20" s="133">
        <f>VLOOKUP($C$19,Servant!$B$5:$AD$29,15,FALSE)+($F20+($F20*0.5*($D20-1)))*(J$3-1)</f>
        <v>2905</v>
      </c>
      <c r="K20" s="133">
        <f>VLOOKUP($C$19,Servant!$B$5:$AD$29,15,FALSE)+($F20+($F20*0.5*($D20-1)))*(K$3-1)</f>
        <v>3679</v>
      </c>
      <c r="L20" s="133">
        <f>VLOOKUP($C$19,Servant!$B$5:$AD$29,15,FALSE)+($F20+($F20*0.5*($D20-1)))*(L$3-1)</f>
        <v>4453</v>
      </c>
      <c r="M20" s="133">
        <f>VLOOKUP($C$19,Servant!$B$5:$AD$29,15,FALSE)+($F20+($F20*0.5*($D20-1)))*(M$3-1)</f>
        <v>5227</v>
      </c>
      <c r="N20" s="133">
        <f>VLOOKUP($C$19,Servant!$B$5:$AD$29,15,FALSE)+($F20+($F20*0.5*($D20-1)))*(N$3-1)</f>
        <v>6001</v>
      </c>
      <c r="O20" s="133">
        <f>VLOOKUP($C$19,Servant!$B$5:$AD$29,15,FALSE)+($F20+($F20*0.5*($D20-1)))*(O$3-1)</f>
        <v>6775</v>
      </c>
      <c r="P20" s="133">
        <f>VLOOKUP($C$19,Servant!$B$5:$AD$29,15,FALSE)+($F20+($F20*0.5*($D20-1)))*(P$3-1)</f>
        <v>7549</v>
      </c>
      <c r="Q20" s="133">
        <f>VLOOKUP($C$19,Servant!$B$5:$AD$29,15,FALSE)+($F20+($F20*0.5*($D20-1)))*(Q$3-1)</f>
        <v>8323</v>
      </c>
      <c r="R20" s="133">
        <f>VLOOKUP($C$19,Servant!$B$5:$AD$29,15,FALSE)+($F20+($F20*0.5*($D20-1)))*(R$3-1)</f>
        <v>9097</v>
      </c>
      <c r="S20" s="133">
        <f>VLOOKUP($C$19,Servant!$B$5:$AD$29,15,FALSE)+($F20+($F20*0.5*($D20-1)))*(S$3-1)</f>
        <v>9871</v>
      </c>
      <c r="T20" s="133">
        <f>VLOOKUP($C$19,Servant!$B$5:$AD$29,15,FALSE)+($F20+($F20*0.5*($D20-1)))*(T$3-1)</f>
        <v>10645</v>
      </c>
      <c r="U20" s="133">
        <f>VLOOKUP($C$19,Servant!$B$5:$AD$29,15,FALSE)+($F20+($F20*0.5*($D20-1)))*(U$3-1)</f>
        <v>11419</v>
      </c>
      <c r="V20" s="133">
        <f>VLOOKUP($C$19,Servant!$B$5:$AD$29,15,FALSE)+($F20+($F20*0.5*($D20-1)))*(V$3-1)</f>
        <v>12193</v>
      </c>
      <c r="W20" s="133">
        <f>VLOOKUP($C$19,Servant!$B$5:$AD$29,15,FALSE)+($F20+($F20*0.5*($D20-1)))*(W$3-1)</f>
        <v>12967</v>
      </c>
      <c r="X20" s="133">
        <f>VLOOKUP($C$19,Servant!$B$5:$AD$29,15,FALSE)+($F20+($F20*0.5*($D20-1)))*(X$3-1)</f>
        <v>13741</v>
      </c>
      <c r="Y20" s="133">
        <f>VLOOKUP($C$19,Servant!$B$5:$AD$29,15,FALSE)+($F20+($F20*0.5*($D20-1)))*(Y$3-1)</f>
        <v>14515</v>
      </c>
      <c r="Z20" s="133">
        <f>VLOOKUP($C$19,Servant!$B$5:$AD$29,15,FALSE)+($F20+($F20*0.5*($D20-1)))*(Z$3-1)</f>
        <v>15289</v>
      </c>
      <c r="AA20" s="133">
        <f>VLOOKUP($C$19,Servant!$B$5:$AD$29,15,FALSE)+($F20+($F20*0.5*($D20-1)))*(AA$3-1)</f>
        <v>16063</v>
      </c>
      <c r="AB20" s="133">
        <f>VLOOKUP($C$19,Servant!$B$5:$AD$29,15,FALSE)+($F20+($F20*0.5*($D20-1)))*(AB$3-1)</f>
        <v>16837</v>
      </c>
      <c r="AC20" s="133">
        <f>VLOOKUP($C$19,Servant!$B$5:$AD$29,15,FALSE)+($F20+($F20*0.5*($D20-1)))*(AC$3-1)</f>
        <v>17611</v>
      </c>
      <c r="AD20" s="133">
        <f>VLOOKUP($C$19,Servant!$B$5:$AD$29,15,FALSE)+($F20+($F20*0.5*($D20-1)))*(AD$3-1)</f>
        <v>18385</v>
      </c>
      <c r="AE20" s="133">
        <f>VLOOKUP($C$19,Servant!$B$5:$AD$29,15,FALSE)+($F20+($F20*0.5*($D20-1)))*(AE$3-1)</f>
        <v>19159</v>
      </c>
      <c r="AF20" s="133">
        <f>VLOOKUP($C$19,Servant!$B$5:$AD$29,15,FALSE)+($F20+($F20*0.5*($D20-1)))*(AF$3-1)</f>
        <v>19933</v>
      </c>
      <c r="AG20" s="133">
        <f>VLOOKUP($C$19,Servant!$B$5:$AD$29,15,FALSE)+($F20+($F20*0.5*($D20-1)))*(AG$3-1)</f>
        <v>20707</v>
      </c>
      <c r="AH20" s="133">
        <f>VLOOKUP($C$19,Servant!$B$5:$AD$29,15,FALSE)+($F20+($F20*0.5*($D20-1)))*(AH$3-1)</f>
        <v>21481</v>
      </c>
      <c r="AI20" s="133">
        <f>VLOOKUP($C$19,Servant!$B$5:$AD$29,15,FALSE)+($F20+($F20*0.5*($D20-1)))*(AI$3-1)</f>
        <v>22255</v>
      </c>
      <c r="AJ20" s="133">
        <f>VLOOKUP($C$19,Servant!$B$5:$AD$29,15,FALSE)+($F20+($F20*0.5*($D20-1)))*(AJ$3-1)</f>
        <v>23029</v>
      </c>
      <c r="AK20" s="133">
        <f>VLOOKUP($C$19,Servant!$B$5:$AD$29,15,FALSE)+($F20+($F20*0.5*($D20-1)))*(AK$3-1)</f>
        <v>23803</v>
      </c>
    </row>
    <row r="21" spans="2:37" x14ac:dyDescent="0.3">
      <c r="B21" s="309"/>
      <c r="C21" s="314"/>
      <c r="D21" s="134">
        <v>3</v>
      </c>
      <c r="E21" s="132">
        <f>VLOOKUP($C$19,ServantLevelUPdStatus!$B$5:$AD$29,3,FALSE)+(VLOOKUP($C$19,ServantLevelUPdStatus!$B$5:$AD$29,3,FALSE)*0.5*(Simulator_HP!$D21-1))</f>
        <v>1032</v>
      </c>
      <c r="F21" s="135">
        <f>F20</f>
        <v>516</v>
      </c>
      <c r="H21" s="133">
        <f>VLOOKUP($C$19,Servant!$B$5:$AD$29,15,FALSE)+($F21+($F21*0.5*($D21-1)))*(H$3-1)</f>
        <v>1357</v>
      </c>
      <c r="I21" s="133">
        <f>VLOOKUP($C$19,Servant!$B$5:$AD$29,15,FALSE)+($F21+($F21*0.5*($D21-1)))*(I$3-1)</f>
        <v>2389</v>
      </c>
      <c r="J21" s="133">
        <f>VLOOKUP($C$19,Servant!$B$5:$AD$29,15,FALSE)+($F21+($F21*0.5*($D21-1)))*(J$3-1)</f>
        <v>3421</v>
      </c>
      <c r="K21" s="133">
        <f>VLOOKUP($C$19,Servant!$B$5:$AD$29,15,FALSE)+($F21+($F21*0.5*($D21-1)))*(K$3-1)</f>
        <v>4453</v>
      </c>
      <c r="L21" s="133">
        <f>VLOOKUP($C$19,Servant!$B$5:$AD$29,15,FALSE)+($F21+($F21*0.5*($D21-1)))*(L$3-1)</f>
        <v>5485</v>
      </c>
      <c r="M21" s="133">
        <f>VLOOKUP($C$19,Servant!$B$5:$AD$29,15,FALSE)+($F21+($F21*0.5*($D21-1)))*(M$3-1)</f>
        <v>6517</v>
      </c>
      <c r="N21" s="133">
        <f>VLOOKUP($C$19,Servant!$B$5:$AD$29,15,FALSE)+($F21+($F21*0.5*($D21-1)))*(N$3-1)</f>
        <v>7549</v>
      </c>
      <c r="O21" s="133">
        <f>VLOOKUP($C$19,Servant!$B$5:$AD$29,15,FALSE)+($F21+($F21*0.5*($D21-1)))*(O$3-1)</f>
        <v>8581</v>
      </c>
      <c r="P21" s="133">
        <f>VLOOKUP($C$19,Servant!$B$5:$AD$29,15,FALSE)+($F21+($F21*0.5*($D21-1)))*(P$3-1)</f>
        <v>9613</v>
      </c>
      <c r="Q21" s="133">
        <f>VLOOKUP($C$19,Servant!$B$5:$AD$29,15,FALSE)+($F21+($F21*0.5*($D21-1)))*(Q$3-1)</f>
        <v>10645</v>
      </c>
      <c r="R21" s="133">
        <f>VLOOKUP($C$19,Servant!$B$5:$AD$29,15,FALSE)+($F21+($F21*0.5*($D21-1)))*(R$3-1)</f>
        <v>11677</v>
      </c>
      <c r="S21" s="133">
        <f>VLOOKUP($C$19,Servant!$B$5:$AD$29,15,FALSE)+($F21+($F21*0.5*($D21-1)))*(S$3-1)</f>
        <v>12709</v>
      </c>
      <c r="T21" s="133">
        <f>VLOOKUP($C$19,Servant!$B$5:$AD$29,15,FALSE)+($F21+($F21*0.5*($D21-1)))*(T$3-1)</f>
        <v>13741</v>
      </c>
      <c r="U21" s="133">
        <f>VLOOKUP($C$19,Servant!$B$5:$AD$29,15,FALSE)+($F21+($F21*0.5*($D21-1)))*(U$3-1)</f>
        <v>14773</v>
      </c>
      <c r="V21" s="133">
        <f>VLOOKUP($C$19,Servant!$B$5:$AD$29,15,FALSE)+($F21+($F21*0.5*($D21-1)))*(V$3-1)</f>
        <v>15805</v>
      </c>
      <c r="W21" s="133">
        <f>VLOOKUP($C$19,Servant!$B$5:$AD$29,15,FALSE)+($F21+($F21*0.5*($D21-1)))*(W$3-1)</f>
        <v>16837</v>
      </c>
      <c r="X21" s="133">
        <f>VLOOKUP($C$19,Servant!$B$5:$AD$29,15,FALSE)+($F21+($F21*0.5*($D21-1)))*(X$3-1)</f>
        <v>17869</v>
      </c>
      <c r="Y21" s="133">
        <f>VLOOKUP($C$19,Servant!$B$5:$AD$29,15,FALSE)+($F21+($F21*0.5*($D21-1)))*(Y$3-1)</f>
        <v>18901</v>
      </c>
      <c r="Z21" s="133">
        <f>VLOOKUP($C$19,Servant!$B$5:$AD$29,15,FALSE)+($F21+($F21*0.5*($D21-1)))*(Z$3-1)</f>
        <v>19933</v>
      </c>
      <c r="AA21" s="133">
        <f>VLOOKUP($C$19,Servant!$B$5:$AD$29,15,FALSE)+($F21+($F21*0.5*($D21-1)))*(AA$3-1)</f>
        <v>20965</v>
      </c>
      <c r="AB21" s="133">
        <f>VLOOKUP($C$19,Servant!$B$5:$AD$29,15,FALSE)+($F21+($F21*0.5*($D21-1)))*(AB$3-1)</f>
        <v>21997</v>
      </c>
      <c r="AC21" s="133">
        <f>VLOOKUP($C$19,Servant!$B$5:$AD$29,15,FALSE)+($F21+($F21*0.5*($D21-1)))*(AC$3-1)</f>
        <v>23029</v>
      </c>
      <c r="AD21" s="133">
        <f>VLOOKUP($C$19,Servant!$B$5:$AD$29,15,FALSE)+($F21+($F21*0.5*($D21-1)))*(AD$3-1)</f>
        <v>24061</v>
      </c>
      <c r="AE21" s="133">
        <f>VLOOKUP($C$19,Servant!$B$5:$AD$29,15,FALSE)+($F21+($F21*0.5*($D21-1)))*(AE$3-1)</f>
        <v>25093</v>
      </c>
      <c r="AF21" s="133">
        <f>VLOOKUP($C$19,Servant!$B$5:$AD$29,15,FALSE)+($F21+($F21*0.5*($D21-1)))*(AF$3-1)</f>
        <v>26125</v>
      </c>
      <c r="AG21" s="133">
        <f>VLOOKUP($C$19,Servant!$B$5:$AD$29,15,FALSE)+($F21+($F21*0.5*($D21-1)))*(AG$3-1)</f>
        <v>27157</v>
      </c>
      <c r="AH21" s="133">
        <f>VLOOKUP($C$19,Servant!$B$5:$AD$29,15,FALSE)+($F21+($F21*0.5*($D21-1)))*(AH$3-1)</f>
        <v>28189</v>
      </c>
      <c r="AI21" s="133">
        <f>VLOOKUP($C$19,Servant!$B$5:$AD$29,15,FALSE)+($F21+($F21*0.5*($D21-1)))*(AI$3-1)</f>
        <v>29221</v>
      </c>
      <c r="AJ21" s="133">
        <f>VLOOKUP($C$19,Servant!$B$5:$AD$29,15,FALSE)+($F21+($F21*0.5*($D21-1)))*(AJ$3-1)</f>
        <v>30253</v>
      </c>
      <c r="AK21" s="133">
        <f>VLOOKUP($C$19,Servant!$B$5:$AD$29,15,FALSE)+($F21+($F21*0.5*($D21-1)))*(AK$3-1)</f>
        <v>31285</v>
      </c>
    </row>
    <row r="22" spans="2:37" x14ac:dyDescent="0.3">
      <c r="B22" s="309"/>
      <c r="C22" s="318" t="s">
        <v>237</v>
      </c>
      <c r="D22" s="127">
        <v>2</v>
      </c>
      <c r="E22" s="120">
        <f>VLOOKUP($C$22,ServantLevelUPdStatus!$B$5:$AD$29,3,FALSE)+(VLOOKUP($C$22,ServantLevelUPdStatus!$B$5:$AD$29,3,FALSE)*0.5*(Simulator_HP!$D22-1))</f>
        <v>1021.5</v>
      </c>
      <c r="F22" s="120">
        <f>VLOOKUP($C$22,ServantLevelUPdStatus!$B$5:$AD$29,3,FALSE)</f>
        <v>681</v>
      </c>
      <c r="H22" s="113">
        <f>VLOOKUP($C$22,Servant!$B$5:$AD$29,15,FALSE)+($F22+($F22*0.5*($D22-1)))*(H$3-1)</f>
        <v>2135</v>
      </c>
      <c r="I22" s="113">
        <f>VLOOKUP($C$22,Servant!$B$5:$AD$29,15,FALSE)+($F22+($F22*0.5*($D22-1)))*(I$3-1)</f>
        <v>3156.5</v>
      </c>
      <c r="J22" s="113">
        <f>VLOOKUP($C$22,Servant!$B$5:$AD$29,15,FALSE)+($F22+($F22*0.5*($D22-1)))*(J$3-1)</f>
        <v>4178</v>
      </c>
      <c r="K22" s="113">
        <f>VLOOKUP($C$22,Servant!$B$5:$AD$29,15,FALSE)+($F22+($F22*0.5*($D22-1)))*(K$3-1)</f>
        <v>5199.5</v>
      </c>
      <c r="L22" s="113">
        <f>VLOOKUP($C$22,Servant!$B$5:$AD$29,15,FALSE)+($F22+($F22*0.5*($D22-1)))*(L$3-1)</f>
        <v>6221</v>
      </c>
      <c r="M22" s="113">
        <f>VLOOKUP($C$22,Servant!$B$5:$AD$29,15,FALSE)+($F22+($F22*0.5*($D22-1)))*(M$3-1)</f>
        <v>7242.5</v>
      </c>
      <c r="N22" s="113">
        <f>VLOOKUP($C$22,Servant!$B$5:$AD$29,15,FALSE)+($F22+($F22*0.5*($D22-1)))*(N$3-1)</f>
        <v>8264</v>
      </c>
      <c r="O22" s="113">
        <f>VLOOKUP($C$22,Servant!$B$5:$AD$29,15,FALSE)+($F22+($F22*0.5*($D22-1)))*(O$3-1)</f>
        <v>9285.5</v>
      </c>
      <c r="P22" s="113">
        <f>VLOOKUP($C$22,Servant!$B$5:$AD$29,15,FALSE)+($F22+($F22*0.5*($D22-1)))*(P$3-1)</f>
        <v>10307</v>
      </c>
      <c r="Q22" s="113">
        <f>VLOOKUP($C$22,Servant!$B$5:$AD$29,15,FALSE)+($F22+($F22*0.5*($D22-1)))*(Q$3-1)</f>
        <v>11328.5</v>
      </c>
      <c r="R22" s="113">
        <f>VLOOKUP($C$22,Servant!$B$5:$AD$29,15,FALSE)+($F22+($F22*0.5*($D22-1)))*(R$3-1)</f>
        <v>12350</v>
      </c>
      <c r="S22" s="113">
        <f>VLOOKUP($C$22,Servant!$B$5:$AD$29,15,FALSE)+($F22+($F22*0.5*($D22-1)))*(S$3-1)</f>
        <v>13371.5</v>
      </c>
      <c r="T22" s="113">
        <f>VLOOKUP($C$22,Servant!$B$5:$AD$29,15,FALSE)+($F22+($F22*0.5*($D22-1)))*(T$3-1)</f>
        <v>14393</v>
      </c>
      <c r="U22" s="113">
        <f>VLOOKUP($C$22,Servant!$B$5:$AD$29,15,FALSE)+($F22+($F22*0.5*($D22-1)))*(U$3-1)</f>
        <v>15414.5</v>
      </c>
      <c r="V22" s="113">
        <f>VLOOKUP($C$22,Servant!$B$5:$AD$29,15,FALSE)+($F22+($F22*0.5*($D22-1)))*(V$3-1)</f>
        <v>16436</v>
      </c>
      <c r="W22" s="113">
        <f>VLOOKUP($C$22,Servant!$B$5:$AD$29,15,FALSE)+($F22+($F22*0.5*($D22-1)))*(W$3-1)</f>
        <v>17457.5</v>
      </c>
      <c r="X22" s="113">
        <f>VLOOKUP($C$22,Servant!$B$5:$AD$29,15,FALSE)+($F22+($F22*0.5*($D22-1)))*(X$3-1)</f>
        <v>18479</v>
      </c>
      <c r="Y22" s="113">
        <f>VLOOKUP($C$22,Servant!$B$5:$AD$29,15,FALSE)+($F22+($F22*0.5*($D22-1)))*(Y$3-1)</f>
        <v>19500.5</v>
      </c>
      <c r="Z22" s="113">
        <f>VLOOKUP($C$22,Servant!$B$5:$AD$29,15,FALSE)+($F22+($F22*0.5*($D22-1)))*(Z$3-1)</f>
        <v>20522</v>
      </c>
      <c r="AA22" s="113">
        <f>VLOOKUP($C$22,Servant!$B$5:$AD$29,15,FALSE)+($F22+($F22*0.5*($D22-1)))*(AA$3-1)</f>
        <v>21543.5</v>
      </c>
      <c r="AB22" s="113">
        <f>VLOOKUP($C$22,Servant!$B$5:$AD$29,15,FALSE)+($F22+($F22*0.5*($D22-1)))*(AB$3-1)</f>
        <v>22565</v>
      </c>
      <c r="AC22" s="113">
        <f>VLOOKUP($C$22,Servant!$B$5:$AD$29,15,FALSE)+($F22+($F22*0.5*($D22-1)))*(AC$3-1)</f>
        <v>23586.5</v>
      </c>
      <c r="AD22" s="113">
        <f>VLOOKUP($C$22,Servant!$B$5:$AD$29,15,FALSE)+($F22+($F22*0.5*($D22-1)))*(AD$3-1)</f>
        <v>24608</v>
      </c>
      <c r="AE22" s="113">
        <f>VLOOKUP($C$22,Servant!$B$5:$AD$29,15,FALSE)+($F22+($F22*0.5*($D22-1)))*(AE$3-1)</f>
        <v>25629.5</v>
      </c>
      <c r="AF22" s="113">
        <f>VLOOKUP($C$22,Servant!$B$5:$AD$29,15,FALSE)+($F22+($F22*0.5*($D22-1)))*(AF$3-1)</f>
        <v>26651</v>
      </c>
      <c r="AG22" s="113">
        <f>VLOOKUP($C$22,Servant!$B$5:$AD$29,15,FALSE)+($F22+($F22*0.5*($D22-1)))*(AG$3-1)</f>
        <v>27672.5</v>
      </c>
      <c r="AH22" s="113">
        <f>VLOOKUP($C$22,Servant!$B$5:$AD$29,15,FALSE)+($F22+($F22*0.5*($D22-1)))*(AH$3-1)</f>
        <v>28694</v>
      </c>
      <c r="AI22" s="113">
        <f>VLOOKUP($C$22,Servant!$B$5:$AD$29,15,FALSE)+($F22+($F22*0.5*($D22-1)))*(AI$3-1)</f>
        <v>29715.5</v>
      </c>
      <c r="AJ22" s="113">
        <f>VLOOKUP($C$22,Servant!$B$5:$AD$29,15,FALSE)+($F22+($F22*0.5*($D22-1)))*(AJ$3-1)</f>
        <v>30737</v>
      </c>
      <c r="AK22" s="113">
        <f>VLOOKUP($C$22,Servant!$B$5:$AD$29,15,FALSE)+($F22+($F22*0.5*($D22-1)))*(AK$3-1)</f>
        <v>31758.5</v>
      </c>
    </row>
    <row r="23" spans="2:37" x14ac:dyDescent="0.3">
      <c r="B23" s="309"/>
      <c r="C23" s="318"/>
      <c r="D23" s="127">
        <v>3</v>
      </c>
      <c r="E23" s="120">
        <f>VLOOKUP($C$22,ServantLevelUPdStatus!$B$5:$AD$29,3,FALSE)+(VLOOKUP($C$22,ServantLevelUPdStatus!$B$5:$AD$29,3,FALSE)*0.5*(Simulator_HP!$D23-1))</f>
        <v>1362</v>
      </c>
      <c r="F23" s="119">
        <f>F22</f>
        <v>681</v>
      </c>
      <c r="H23" s="113">
        <f>VLOOKUP($C$22,Servant!$B$5:$AD$29,15,FALSE)+($F23+($F23*0.5*($D23-1)))*(H$3-1)</f>
        <v>2135</v>
      </c>
      <c r="I23" s="113">
        <f>VLOOKUP($C$22,Servant!$B$5:$AD$29,15,FALSE)+($F23+($F23*0.5*($D23-1)))*(I$3-1)</f>
        <v>3497</v>
      </c>
      <c r="J23" s="113">
        <f>VLOOKUP($C$22,Servant!$B$5:$AD$29,15,FALSE)+($F23+($F23*0.5*($D23-1)))*(J$3-1)</f>
        <v>4859</v>
      </c>
      <c r="K23" s="113">
        <f>VLOOKUP($C$22,Servant!$B$5:$AD$29,15,FALSE)+($F23+($F23*0.5*($D23-1)))*(K$3-1)</f>
        <v>6221</v>
      </c>
      <c r="L23" s="113">
        <f>VLOOKUP($C$22,Servant!$B$5:$AD$29,15,FALSE)+($F23+($F23*0.5*($D23-1)))*(L$3-1)</f>
        <v>7583</v>
      </c>
      <c r="M23" s="113">
        <f>VLOOKUP($C$22,Servant!$B$5:$AD$29,15,FALSE)+($F23+($F23*0.5*($D23-1)))*(M$3-1)</f>
        <v>8945</v>
      </c>
      <c r="N23" s="113">
        <f>VLOOKUP($C$22,Servant!$B$5:$AD$29,15,FALSE)+($F23+($F23*0.5*($D23-1)))*(N$3-1)</f>
        <v>10307</v>
      </c>
      <c r="O23" s="113">
        <f>VLOOKUP($C$22,Servant!$B$5:$AD$29,15,FALSE)+($F23+($F23*0.5*($D23-1)))*(O$3-1)</f>
        <v>11669</v>
      </c>
      <c r="P23" s="113">
        <f>VLOOKUP($C$22,Servant!$B$5:$AD$29,15,FALSE)+($F23+($F23*0.5*($D23-1)))*(P$3-1)</f>
        <v>13031</v>
      </c>
      <c r="Q23" s="113">
        <f>VLOOKUP($C$22,Servant!$B$5:$AD$29,15,FALSE)+($F23+($F23*0.5*($D23-1)))*(Q$3-1)</f>
        <v>14393</v>
      </c>
      <c r="R23" s="113">
        <f>VLOOKUP($C$22,Servant!$B$5:$AD$29,15,FALSE)+($F23+($F23*0.5*($D23-1)))*(R$3-1)</f>
        <v>15755</v>
      </c>
      <c r="S23" s="113">
        <f>VLOOKUP($C$22,Servant!$B$5:$AD$29,15,FALSE)+($F23+($F23*0.5*($D23-1)))*(S$3-1)</f>
        <v>17117</v>
      </c>
      <c r="T23" s="113">
        <f>VLOOKUP($C$22,Servant!$B$5:$AD$29,15,FALSE)+($F23+($F23*0.5*($D23-1)))*(T$3-1)</f>
        <v>18479</v>
      </c>
      <c r="U23" s="113">
        <f>VLOOKUP($C$22,Servant!$B$5:$AD$29,15,FALSE)+($F23+($F23*0.5*($D23-1)))*(U$3-1)</f>
        <v>19841</v>
      </c>
      <c r="V23" s="113">
        <f>VLOOKUP($C$22,Servant!$B$5:$AD$29,15,FALSE)+($F23+($F23*0.5*($D23-1)))*(V$3-1)</f>
        <v>21203</v>
      </c>
      <c r="W23" s="113">
        <f>VLOOKUP($C$22,Servant!$B$5:$AD$29,15,FALSE)+($F23+($F23*0.5*($D23-1)))*(W$3-1)</f>
        <v>22565</v>
      </c>
      <c r="X23" s="113">
        <f>VLOOKUP($C$22,Servant!$B$5:$AD$29,15,FALSE)+($F23+($F23*0.5*($D23-1)))*(X$3-1)</f>
        <v>23927</v>
      </c>
      <c r="Y23" s="113">
        <f>VLOOKUP($C$22,Servant!$B$5:$AD$29,15,FALSE)+($F23+($F23*0.5*($D23-1)))*(Y$3-1)</f>
        <v>25289</v>
      </c>
      <c r="Z23" s="113">
        <f>VLOOKUP($C$22,Servant!$B$5:$AD$29,15,FALSE)+($F23+($F23*0.5*($D23-1)))*(Z$3-1)</f>
        <v>26651</v>
      </c>
      <c r="AA23" s="113">
        <f>VLOOKUP($C$22,Servant!$B$5:$AD$29,15,FALSE)+($F23+($F23*0.5*($D23-1)))*(AA$3-1)</f>
        <v>28013</v>
      </c>
      <c r="AB23" s="113">
        <f>VLOOKUP($C$22,Servant!$B$5:$AD$29,15,FALSE)+($F23+($F23*0.5*($D23-1)))*(AB$3-1)</f>
        <v>29375</v>
      </c>
      <c r="AC23" s="113">
        <f>VLOOKUP($C$22,Servant!$B$5:$AD$29,15,FALSE)+($F23+($F23*0.5*($D23-1)))*(AC$3-1)</f>
        <v>30737</v>
      </c>
      <c r="AD23" s="113">
        <f>VLOOKUP($C$22,Servant!$B$5:$AD$29,15,FALSE)+($F23+($F23*0.5*($D23-1)))*(AD$3-1)</f>
        <v>32099</v>
      </c>
      <c r="AE23" s="113">
        <f>VLOOKUP($C$22,Servant!$B$5:$AD$29,15,FALSE)+($F23+($F23*0.5*($D23-1)))*(AE$3-1)</f>
        <v>33461</v>
      </c>
      <c r="AF23" s="113">
        <f>VLOOKUP($C$22,Servant!$B$5:$AD$29,15,FALSE)+($F23+($F23*0.5*($D23-1)))*(AF$3-1)</f>
        <v>34823</v>
      </c>
      <c r="AG23" s="113">
        <f>VLOOKUP($C$22,Servant!$B$5:$AD$29,15,FALSE)+($F23+($F23*0.5*($D23-1)))*(AG$3-1)</f>
        <v>36185</v>
      </c>
      <c r="AH23" s="113">
        <f>VLOOKUP($C$22,Servant!$B$5:$AD$29,15,FALSE)+($F23+($F23*0.5*($D23-1)))*(AH$3-1)</f>
        <v>37547</v>
      </c>
      <c r="AI23" s="113">
        <f>VLOOKUP($C$22,Servant!$B$5:$AD$29,15,FALSE)+($F23+($F23*0.5*($D23-1)))*(AI$3-1)</f>
        <v>38909</v>
      </c>
      <c r="AJ23" s="113">
        <f>VLOOKUP($C$22,Servant!$B$5:$AD$29,15,FALSE)+($F23+($F23*0.5*($D23-1)))*(AJ$3-1)</f>
        <v>40271</v>
      </c>
      <c r="AK23" s="113">
        <f>VLOOKUP($C$22,Servant!$B$5:$AD$29,15,FALSE)+($F23+($F23*0.5*($D23-1)))*(AK$3-1)</f>
        <v>41633</v>
      </c>
    </row>
    <row r="24" spans="2:37" x14ac:dyDescent="0.3">
      <c r="B24" s="309"/>
      <c r="C24" s="318"/>
      <c r="D24" s="127">
        <v>4</v>
      </c>
      <c r="E24" s="120">
        <f>VLOOKUP($C$22,ServantLevelUPdStatus!$B$5:$AD$29,3,FALSE)+(VLOOKUP($C$22,ServantLevelUPdStatus!$B$5:$AD$29,3,FALSE)*0.5*(Simulator_HP!$D24-1))</f>
        <v>1702.5</v>
      </c>
      <c r="F24" s="119">
        <f>F23</f>
        <v>681</v>
      </c>
      <c r="H24" s="113">
        <f>VLOOKUP($C$22,Servant!$B$5:$AD$29,15,FALSE)+($F24+($F24*0.5*($D24-1)))*(H$3-1)</f>
        <v>2135</v>
      </c>
      <c r="I24" s="113">
        <f>VLOOKUP($C$22,Servant!$B$5:$AD$29,15,FALSE)+($F24+($F24*0.5*($D24-1)))*(I$3-1)</f>
        <v>3837.5</v>
      </c>
      <c r="J24" s="113">
        <f>VLOOKUP($C$22,Servant!$B$5:$AD$29,15,FALSE)+($F24+($F24*0.5*($D24-1)))*(J$3-1)</f>
        <v>5540</v>
      </c>
      <c r="K24" s="113">
        <f>VLOOKUP($C$22,Servant!$B$5:$AD$29,15,FALSE)+($F24+($F24*0.5*($D24-1)))*(K$3-1)</f>
        <v>7242.5</v>
      </c>
      <c r="L24" s="113">
        <f>VLOOKUP($C$22,Servant!$B$5:$AD$29,15,FALSE)+($F24+($F24*0.5*($D24-1)))*(L$3-1)</f>
        <v>8945</v>
      </c>
      <c r="M24" s="113">
        <f>VLOOKUP($C$22,Servant!$B$5:$AD$29,15,FALSE)+($F24+($F24*0.5*($D24-1)))*(M$3-1)</f>
        <v>10647.5</v>
      </c>
      <c r="N24" s="113">
        <f>VLOOKUP($C$22,Servant!$B$5:$AD$29,15,FALSE)+($F24+($F24*0.5*($D24-1)))*(N$3-1)</f>
        <v>12350</v>
      </c>
      <c r="O24" s="113">
        <f>VLOOKUP($C$22,Servant!$B$5:$AD$29,15,FALSE)+($F24+($F24*0.5*($D24-1)))*(O$3-1)</f>
        <v>14052.5</v>
      </c>
      <c r="P24" s="113">
        <f>VLOOKUP($C$22,Servant!$B$5:$AD$29,15,FALSE)+($F24+($F24*0.5*($D24-1)))*(P$3-1)</f>
        <v>15755</v>
      </c>
      <c r="Q24" s="113">
        <f>VLOOKUP($C$22,Servant!$B$5:$AD$29,15,FALSE)+($F24+($F24*0.5*($D24-1)))*(Q$3-1)</f>
        <v>17457.5</v>
      </c>
      <c r="R24" s="113">
        <f>VLOOKUP($C$22,Servant!$B$5:$AD$29,15,FALSE)+($F24+($F24*0.5*($D24-1)))*(R$3-1)</f>
        <v>19160</v>
      </c>
      <c r="S24" s="113">
        <f>VLOOKUP($C$22,Servant!$B$5:$AD$29,15,FALSE)+($F24+($F24*0.5*($D24-1)))*(S$3-1)</f>
        <v>20862.5</v>
      </c>
      <c r="T24" s="113">
        <f>VLOOKUP($C$22,Servant!$B$5:$AD$29,15,FALSE)+($F24+($F24*0.5*($D24-1)))*(T$3-1)</f>
        <v>22565</v>
      </c>
      <c r="U24" s="113">
        <f>VLOOKUP($C$22,Servant!$B$5:$AD$29,15,FALSE)+($F24+($F24*0.5*($D24-1)))*(U$3-1)</f>
        <v>24267.5</v>
      </c>
      <c r="V24" s="113">
        <f>VLOOKUP($C$22,Servant!$B$5:$AD$29,15,FALSE)+($F24+($F24*0.5*($D24-1)))*(V$3-1)</f>
        <v>25970</v>
      </c>
      <c r="W24" s="113">
        <f>VLOOKUP($C$22,Servant!$B$5:$AD$29,15,FALSE)+($F24+($F24*0.5*($D24-1)))*(W$3-1)</f>
        <v>27672.5</v>
      </c>
      <c r="X24" s="113">
        <f>VLOOKUP($C$22,Servant!$B$5:$AD$29,15,FALSE)+($F24+($F24*0.5*($D24-1)))*(X$3-1)</f>
        <v>29375</v>
      </c>
      <c r="Y24" s="113">
        <f>VLOOKUP($C$22,Servant!$B$5:$AD$29,15,FALSE)+($F24+($F24*0.5*($D24-1)))*(Y$3-1)</f>
        <v>31077.5</v>
      </c>
      <c r="Z24" s="113">
        <f>VLOOKUP($C$22,Servant!$B$5:$AD$29,15,FALSE)+($F24+($F24*0.5*($D24-1)))*(Z$3-1)</f>
        <v>32780</v>
      </c>
      <c r="AA24" s="113">
        <f>VLOOKUP($C$22,Servant!$B$5:$AD$29,15,FALSE)+($F24+($F24*0.5*($D24-1)))*(AA$3-1)</f>
        <v>34482.5</v>
      </c>
      <c r="AB24" s="113">
        <f>VLOOKUP($C$22,Servant!$B$5:$AD$29,15,FALSE)+($F24+($F24*0.5*($D24-1)))*(AB$3-1)</f>
        <v>36185</v>
      </c>
      <c r="AC24" s="113">
        <f>VLOOKUP($C$22,Servant!$B$5:$AD$29,15,FALSE)+($F24+($F24*0.5*($D24-1)))*(AC$3-1)</f>
        <v>37887.5</v>
      </c>
      <c r="AD24" s="113">
        <f>VLOOKUP($C$22,Servant!$B$5:$AD$29,15,FALSE)+($F24+($F24*0.5*($D24-1)))*(AD$3-1)</f>
        <v>39590</v>
      </c>
      <c r="AE24" s="113">
        <f>VLOOKUP($C$22,Servant!$B$5:$AD$29,15,FALSE)+($F24+($F24*0.5*($D24-1)))*(AE$3-1)</f>
        <v>41292.5</v>
      </c>
      <c r="AF24" s="113">
        <f>VLOOKUP($C$22,Servant!$B$5:$AD$29,15,FALSE)+($F24+($F24*0.5*($D24-1)))*(AF$3-1)</f>
        <v>42995</v>
      </c>
      <c r="AG24" s="113">
        <f>VLOOKUP($C$22,Servant!$B$5:$AD$29,15,FALSE)+($F24+($F24*0.5*($D24-1)))*(AG$3-1)</f>
        <v>44697.5</v>
      </c>
      <c r="AH24" s="113">
        <f>VLOOKUP($C$22,Servant!$B$5:$AD$29,15,FALSE)+($F24+($F24*0.5*($D24-1)))*(AH$3-1)</f>
        <v>46400</v>
      </c>
      <c r="AI24" s="113">
        <f>VLOOKUP($C$22,Servant!$B$5:$AD$29,15,FALSE)+($F24+($F24*0.5*($D24-1)))*(AI$3-1)</f>
        <v>48102.5</v>
      </c>
      <c r="AJ24" s="113">
        <f>VLOOKUP($C$22,Servant!$B$5:$AD$29,15,FALSE)+($F24+($F24*0.5*($D24-1)))*(AJ$3-1)</f>
        <v>49805</v>
      </c>
      <c r="AK24" s="113">
        <f>VLOOKUP($C$22,Servant!$B$5:$AD$29,15,FALSE)+($F24+($F24*0.5*($D24-1)))*(AK$3-1)</f>
        <v>51507.5</v>
      </c>
    </row>
    <row r="25" spans="2:37" x14ac:dyDescent="0.3">
      <c r="B25" s="309"/>
      <c r="C25" s="319" t="s">
        <v>304</v>
      </c>
      <c r="D25" s="140">
        <v>2</v>
      </c>
      <c r="E25" s="141">
        <f>VLOOKUP($C$25,ServantLevelUPdStatus!$B$5:$AD$29,3,FALSE)+(VLOOKUP($C$25,ServantLevelUPdStatus!$B$5:$AD$29,3,FALSE)*0.5*(Simulator_HP!$D25-1))</f>
        <v>1123.5</v>
      </c>
      <c r="F25" s="141">
        <f>VLOOKUP($C$25,ServantLevelUPdStatus!$B$5:$AD$29,3,FALSE)</f>
        <v>749</v>
      </c>
      <c r="H25" s="142">
        <f>VLOOKUP($C$25,Servant!$B$5:$AD$29,15,FALSE)+($F25+($F25*0.5*($D25-1)))*(H$3-1)</f>
        <v>2348</v>
      </c>
      <c r="I25" s="142">
        <f>VLOOKUP($C$25,Servant!$B$5:$AD$29,15,FALSE)+($F25+($F25*0.5*($D25-1)))*(I$3-1)</f>
        <v>3471.5</v>
      </c>
      <c r="J25" s="142">
        <f>VLOOKUP($C$25,Servant!$B$5:$AD$29,15,FALSE)+($F25+($F25*0.5*($D25-1)))*(J$3-1)</f>
        <v>4595</v>
      </c>
      <c r="K25" s="142">
        <f>VLOOKUP($C$25,Servant!$B$5:$AD$29,15,FALSE)+($F25+($F25*0.5*($D25-1)))*(K$3-1)</f>
        <v>5718.5</v>
      </c>
      <c r="L25" s="142">
        <f>VLOOKUP($C$25,Servant!$B$5:$AD$29,15,FALSE)+($F25+($F25*0.5*($D25-1)))*(L$3-1)</f>
        <v>6842</v>
      </c>
      <c r="M25" s="142">
        <f>VLOOKUP($C$25,Servant!$B$5:$AD$29,15,FALSE)+($F25+($F25*0.5*($D25-1)))*(M$3-1)</f>
        <v>7965.5</v>
      </c>
      <c r="N25" s="142">
        <f>VLOOKUP($C$25,Servant!$B$5:$AD$29,15,FALSE)+($F25+($F25*0.5*($D25-1)))*(N$3-1)</f>
        <v>9089</v>
      </c>
      <c r="O25" s="142">
        <f>VLOOKUP($C$25,Servant!$B$5:$AD$29,15,FALSE)+($F25+($F25*0.5*($D25-1)))*(O$3-1)</f>
        <v>10212.5</v>
      </c>
      <c r="P25" s="142">
        <f>VLOOKUP($C$25,Servant!$B$5:$AD$29,15,FALSE)+($F25+($F25*0.5*($D25-1)))*(P$3-1)</f>
        <v>11336</v>
      </c>
      <c r="Q25" s="142">
        <f>VLOOKUP($C$25,Servant!$B$5:$AD$29,15,FALSE)+($F25+($F25*0.5*($D25-1)))*(Q$3-1)</f>
        <v>12459.5</v>
      </c>
      <c r="R25" s="142">
        <f>VLOOKUP($C$25,Servant!$B$5:$AD$29,15,FALSE)+($F25+($F25*0.5*($D25-1)))*(R$3-1)</f>
        <v>13583</v>
      </c>
      <c r="S25" s="142">
        <f>VLOOKUP($C$25,Servant!$B$5:$AD$29,15,FALSE)+($F25+($F25*0.5*($D25-1)))*(S$3-1)</f>
        <v>14706.5</v>
      </c>
      <c r="T25" s="142">
        <f>VLOOKUP($C$25,Servant!$B$5:$AD$29,15,FALSE)+($F25+($F25*0.5*($D25-1)))*(T$3-1)</f>
        <v>15830</v>
      </c>
      <c r="U25" s="142">
        <f>VLOOKUP($C$25,Servant!$B$5:$AD$29,15,FALSE)+($F25+($F25*0.5*($D25-1)))*(U$3-1)</f>
        <v>16953.5</v>
      </c>
      <c r="V25" s="142">
        <f>VLOOKUP($C$25,Servant!$B$5:$AD$29,15,FALSE)+($F25+($F25*0.5*($D25-1)))*(V$3-1)</f>
        <v>18077</v>
      </c>
      <c r="W25" s="142">
        <f>VLOOKUP($C$25,Servant!$B$5:$AD$29,15,FALSE)+($F25+($F25*0.5*($D25-1)))*(W$3-1)</f>
        <v>19200.5</v>
      </c>
      <c r="X25" s="142">
        <f>VLOOKUP($C$25,Servant!$B$5:$AD$29,15,FALSE)+($F25+($F25*0.5*($D25-1)))*(X$3-1)</f>
        <v>20324</v>
      </c>
      <c r="Y25" s="142">
        <f>VLOOKUP($C$25,Servant!$B$5:$AD$29,15,FALSE)+($F25+($F25*0.5*($D25-1)))*(Y$3-1)</f>
        <v>21447.5</v>
      </c>
      <c r="Z25" s="142">
        <f>VLOOKUP($C$25,Servant!$B$5:$AD$29,15,FALSE)+($F25+($F25*0.5*($D25-1)))*(Z$3-1)</f>
        <v>22571</v>
      </c>
      <c r="AA25" s="142">
        <f>VLOOKUP($C$25,Servant!$B$5:$AD$29,15,FALSE)+($F25+($F25*0.5*($D25-1)))*(AA$3-1)</f>
        <v>23694.5</v>
      </c>
      <c r="AB25" s="142">
        <f>VLOOKUP($C$25,Servant!$B$5:$AD$29,15,FALSE)+($F25+($F25*0.5*($D25-1)))*(AB$3-1)</f>
        <v>24818</v>
      </c>
      <c r="AC25" s="142">
        <f>VLOOKUP($C$25,Servant!$B$5:$AD$29,15,FALSE)+($F25+($F25*0.5*($D25-1)))*(AC$3-1)</f>
        <v>25941.5</v>
      </c>
      <c r="AD25" s="142">
        <f>VLOOKUP($C$25,Servant!$B$5:$AD$29,15,FALSE)+($F25+($F25*0.5*($D25-1)))*(AD$3-1)</f>
        <v>27065</v>
      </c>
      <c r="AE25" s="142">
        <f>VLOOKUP($C$25,Servant!$B$5:$AD$29,15,FALSE)+($F25+($F25*0.5*($D25-1)))*(AE$3-1)</f>
        <v>28188.5</v>
      </c>
      <c r="AF25" s="142">
        <f>VLOOKUP($C$25,Servant!$B$5:$AD$29,15,FALSE)+($F25+($F25*0.5*($D25-1)))*(AF$3-1)</f>
        <v>29312</v>
      </c>
      <c r="AG25" s="142">
        <f>VLOOKUP($C$25,Servant!$B$5:$AD$29,15,FALSE)+($F25+($F25*0.5*($D25-1)))*(AG$3-1)</f>
        <v>30435.5</v>
      </c>
      <c r="AH25" s="142">
        <f>VLOOKUP($C$25,Servant!$B$5:$AD$29,15,FALSE)+($F25+($F25*0.5*($D25-1)))*(AH$3-1)</f>
        <v>31559</v>
      </c>
      <c r="AI25" s="142">
        <f>VLOOKUP($C$25,Servant!$B$5:$AD$29,15,FALSE)+($F25+($F25*0.5*($D25-1)))*(AI$3-1)</f>
        <v>32682.5</v>
      </c>
      <c r="AJ25" s="142">
        <f>VLOOKUP($C$25,Servant!$B$5:$AD$29,15,FALSE)+($F25+($F25*0.5*($D25-1)))*(AJ$3-1)</f>
        <v>33806</v>
      </c>
      <c r="AK25" s="142">
        <f>VLOOKUP($C$25,Servant!$B$5:$AD$29,15,FALSE)+($F25+($F25*0.5*($D25-1)))*(AK$3-1)</f>
        <v>34929.5</v>
      </c>
    </row>
    <row r="26" spans="2:37" x14ac:dyDescent="0.3">
      <c r="B26" s="309"/>
      <c r="C26" s="319"/>
      <c r="D26" s="140">
        <v>3</v>
      </c>
      <c r="E26" s="141">
        <f>VLOOKUP($C$25,ServantLevelUPdStatus!$B$5:$AD$29,3,FALSE)+(VLOOKUP($C$25,ServantLevelUPdStatus!$B$5:$AD$29,3,FALSE)*0.5*(Simulator_HP!$D26-1))</f>
        <v>1498</v>
      </c>
      <c r="F26" s="143">
        <f>F25</f>
        <v>749</v>
      </c>
      <c r="H26" s="142">
        <f>VLOOKUP($C$25,Servant!$B$5:$AD$29,15,FALSE)+($F26+($F26*0.5*($D26-1)))*(H$3-1)</f>
        <v>2348</v>
      </c>
      <c r="I26" s="142">
        <f>VLOOKUP($C$25,Servant!$B$5:$AD$29,15,FALSE)+($F26+($F26*0.5*($D26-1)))*(I$3-1)</f>
        <v>3846</v>
      </c>
      <c r="J26" s="142">
        <f>VLOOKUP($C$25,Servant!$B$5:$AD$29,15,FALSE)+($F26+($F26*0.5*($D26-1)))*(J$3-1)</f>
        <v>5344</v>
      </c>
      <c r="K26" s="142">
        <f>VLOOKUP($C$25,Servant!$B$5:$AD$29,15,FALSE)+($F26+($F26*0.5*($D26-1)))*(K$3-1)</f>
        <v>6842</v>
      </c>
      <c r="L26" s="142">
        <f>VLOOKUP($C$25,Servant!$B$5:$AD$29,15,FALSE)+($F26+($F26*0.5*($D26-1)))*(L$3-1)</f>
        <v>8340</v>
      </c>
      <c r="M26" s="142">
        <f>VLOOKUP($C$25,Servant!$B$5:$AD$29,15,FALSE)+($F26+($F26*0.5*($D26-1)))*(M$3-1)</f>
        <v>9838</v>
      </c>
      <c r="N26" s="142">
        <f>VLOOKUP($C$25,Servant!$B$5:$AD$29,15,FALSE)+($F26+($F26*0.5*($D26-1)))*(N$3-1)</f>
        <v>11336</v>
      </c>
      <c r="O26" s="142">
        <f>VLOOKUP($C$25,Servant!$B$5:$AD$29,15,FALSE)+($F26+($F26*0.5*($D26-1)))*(O$3-1)</f>
        <v>12834</v>
      </c>
      <c r="P26" s="142">
        <f>VLOOKUP($C$25,Servant!$B$5:$AD$29,15,FALSE)+($F26+($F26*0.5*($D26-1)))*(P$3-1)</f>
        <v>14332</v>
      </c>
      <c r="Q26" s="142">
        <f>VLOOKUP($C$25,Servant!$B$5:$AD$29,15,FALSE)+($F26+($F26*0.5*($D26-1)))*(Q$3-1)</f>
        <v>15830</v>
      </c>
      <c r="R26" s="142">
        <f>VLOOKUP($C$25,Servant!$B$5:$AD$29,15,FALSE)+($F26+($F26*0.5*($D26-1)))*(R$3-1)</f>
        <v>17328</v>
      </c>
      <c r="S26" s="142">
        <f>VLOOKUP($C$25,Servant!$B$5:$AD$29,15,FALSE)+($F26+($F26*0.5*($D26-1)))*(S$3-1)</f>
        <v>18826</v>
      </c>
      <c r="T26" s="142">
        <f>VLOOKUP($C$25,Servant!$B$5:$AD$29,15,FALSE)+($F26+($F26*0.5*($D26-1)))*(T$3-1)</f>
        <v>20324</v>
      </c>
      <c r="U26" s="142">
        <f>VLOOKUP($C$25,Servant!$B$5:$AD$29,15,FALSE)+($F26+($F26*0.5*($D26-1)))*(U$3-1)</f>
        <v>21822</v>
      </c>
      <c r="V26" s="142">
        <f>VLOOKUP($C$25,Servant!$B$5:$AD$29,15,FALSE)+($F26+($F26*0.5*($D26-1)))*(V$3-1)</f>
        <v>23320</v>
      </c>
      <c r="W26" s="142">
        <f>VLOOKUP($C$25,Servant!$B$5:$AD$29,15,FALSE)+($F26+($F26*0.5*($D26-1)))*(W$3-1)</f>
        <v>24818</v>
      </c>
      <c r="X26" s="142">
        <f>VLOOKUP($C$25,Servant!$B$5:$AD$29,15,FALSE)+($F26+($F26*0.5*($D26-1)))*(X$3-1)</f>
        <v>26316</v>
      </c>
      <c r="Y26" s="142">
        <f>VLOOKUP($C$25,Servant!$B$5:$AD$29,15,FALSE)+($F26+($F26*0.5*($D26-1)))*(Y$3-1)</f>
        <v>27814</v>
      </c>
      <c r="Z26" s="142">
        <f>VLOOKUP($C$25,Servant!$B$5:$AD$29,15,FALSE)+($F26+($F26*0.5*($D26-1)))*(Z$3-1)</f>
        <v>29312</v>
      </c>
      <c r="AA26" s="142">
        <f>VLOOKUP($C$25,Servant!$B$5:$AD$29,15,FALSE)+($F26+($F26*0.5*($D26-1)))*(AA$3-1)</f>
        <v>30810</v>
      </c>
      <c r="AB26" s="142">
        <f>VLOOKUP($C$25,Servant!$B$5:$AD$29,15,FALSE)+($F26+($F26*0.5*($D26-1)))*(AB$3-1)</f>
        <v>32308</v>
      </c>
      <c r="AC26" s="142">
        <f>VLOOKUP($C$25,Servant!$B$5:$AD$29,15,FALSE)+($F26+($F26*0.5*($D26-1)))*(AC$3-1)</f>
        <v>33806</v>
      </c>
      <c r="AD26" s="142">
        <f>VLOOKUP($C$25,Servant!$B$5:$AD$29,15,FALSE)+($F26+($F26*0.5*($D26-1)))*(AD$3-1)</f>
        <v>35304</v>
      </c>
      <c r="AE26" s="142">
        <f>VLOOKUP($C$25,Servant!$B$5:$AD$29,15,FALSE)+($F26+($F26*0.5*($D26-1)))*(AE$3-1)</f>
        <v>36802</v>
      </c>
      <c r="AF26" s="142">
        <f>VLOOKUP($C$25,Servant!$B$5:$AD$29,15,FALSE)+($F26+($F26*0.5*($D26-1)))*(AF$3-1)</f>
        <v>38300</v>
      </c>
      <c r="AG26" s="142">
        <f>VLOOKUP($C$25,Servant!$B$5:$AD$29,15,FALSE)+($F26+($F26*0.5*($D26-1)))*(AG$3-1)</f>
        <v>39798</v>
      </c>
      <c r="AH26" s="142">
        <f>VLOOKUP($C$25,Servant!$B$5:$AD$29,15,FALSE)+($F26+($F26*0.5*($D26-1)))*(AH$3-1)</f>
        <v>41296</v>
      </c>
      <c r="AI26" s="142">
        <f>VLOOKUP($C$25,Servant!$B$5:$AD$29,15,FALSE)+($F26+($F26*0.5*($D26-1)))*(AI$3-1)</f>
        <v>42794</v>
      </c>
      <c r="AJ26" s="142">
        <f>VLOOKUP($C$25,Servant!$B$5:$AD$29,15,FALSE)+($F26+($F26*0.5*($D26-1)))*(AJ$3-1)</f>
        <v>44292</v>
      </c>
      <c r="AK26" s="142">
        <f>VLOOKUP($C$25,Servant!$B$5:$AD$29,15,FALSE)+($F26+($F26*0.5*($D26-1)))*(AK$3-1)</f>
        <v>45790</v>
      </c>
    </row>
    <row r="27" spans="2:37" x14ac:dyDescent="0.3">
      <c r="B27" s="309"/>
      <c r="C27" s="319"/>
      <c r="D27" s="140">
        <v>4</v>
      </c>
      <c r="E27" s="141">
        <f>VLOOKUP($C$25,ServantLevelUPdStatus!$B$5:$AD$29,3,FALSE)+(VLOOKUP($C$25,ServantLevelUPdStatus!$B$5:$AD$29,3,FALSE)*0.5*(Simulator_HP!$D27-1))</f>
        <v>1872.5</v>
      </c>
      <c r="F27" s="143">
        <f>F26</f>
        <v>749</v>
      </c>
      <c r="H27" s="142">
        <f>VLOOKUP($C$25,Servant!$B$5:$AD$29,15,FALSE)+($F27+($F27*0.5*($D27-1)))*(H$3-1)</f>
        <v>2348</v>
      </c>
      <c r="I27" s="142">
        <f>VLOOKUP($C$25,Servant!$B$5:$AD$29,15,FALSE)+($F27+($F27*0.5*($D27-1)))*(I$3-1)</f>
        <v>4220.5</v>
      </c>
      <c r="J27" s="142">
        <f>VLOOKUP($C$25,Servant!$B$5:$AD$29,15,FALSE)+($F27+($F27*0.5*($D27-1)))*(J$3-1)</f>
        <v>6093</v>
      </c>
      <c r="K27" s="142">
        <f>VLOOKUP($C$25,Servant!$B$5:$AD$29,15,FALSE)+($F27+($F27*0.5*($D27-1)))*(K$3-1)</f>
        <v>7965.5</v>
      </c>
      <c r="L27" s="142">
        <f>VLOOKUP($C$25,Servant!$B$5:$AD$29,15,FALSE)+($F27+($F27*0.5*($D27-1)))*(L$3-1)</f>
        <v>9838</v>
      </c>
      <c r="M27" s="142">
        <f>VLOOKUP($C$25,Servant!$B$5:$AD$29,15,FALSE)+($F27+($F27*0.5*($D27-1)))*(M$3-1)</f>
        <v>11710.5</v>
      </c>
      <c r="N27" s="142">
        <f>VLOOKUP($C$25,Servant!$B$5:$AD$29,15,FALSE)+($F27+($F27*0.5*($D27-1)))*(N$3-1)</f>
        <v>13583</v>
      </c>
      <c r="O27" s="142">
        <f>VLOOKUP($C$25,Servant!$B$5:$AD$29,15,FALSE)+($F27+($F27*0.5*($D27-1)))*(O$3-1)</f>
        <v>15455.5</v>
      </c>
      <c r="P27" s="142">
        <f>VLOOKUP($C$25,Servant!$B$5:$AD$29,15,FALSE)+($F27+($F27*0.5*($D27-1)))*(P$3-1)</f>
        <v>17328</v>
      </c>
      <c r="Q27" s="142">
        <f>VLOOKUP($C$25,Servant!$B$5:$AD$29,15,FALSE)+($F27+($F27*0.5*($D27-1)))*(Q$3-1)</f>
        <v>19200.5</v>
      </c>
      <c r="R27" s="142">
        <f>VLOOKUP($C$25,Servant!$B$5:$AD$29,15,FALSE)+($F27+($F27*0.5*($D27-1)))*(R$3-1)</f>
        <v>21073</v>
      </c>
      <c r="S27" s="142">
        <f>VLOOKUP($C$25,Servant!$B$5:$AD$29,15,FALSE)+($F27+($F27*0.5*($D27-1)))*(S$3-1)</f>
        <v>22945.5</v>
      </c>
      <c r="T27" s="142">
        <f>VLOOKUP($C$25,Servant!$B$5:$AD$29,15,FALSE)+($F27+($F27*0.5*($D27-1)))*(T$3-1)</f>
        <v>24818</v>
      </c>
      <c r="U27" s="142">
        <f>VLOOKUP($C$25,Servant!$B$5:$AD$29,15,FALSE)+($F27+($F27*0.5*($D27-1)))*(U$3-1)</f>
        <v>26690.5</v>
      </c>
      <c r="V27" s="142">
        <f>VLOOKUP($C$25,Servant!$B$5:$AD$29,15,FALSE)+($F27+($F27*0.5*($D27-1)))*(V$3-1)</f>
        <v>28563</v>
      </c>
      <c r="W27" s="142">
        <f>VLOOKUP($C$25,Servant!$B$5:$AD$29,15,FALSE)+($F27+($F27*0.5*($D27-1)))*(W$3-1)</f>
        <v>30435.5</v>
      </c>
      <c r="X27" s="142">
        <f>VLOOKUP($C$25,Servant!$B$5:$AD$29,15,FALSE)+($F27+($F27*0.5*($D27-1)))*(X$3-1)</f>
        <v>32308</v>
      </c>
      <c r="Y27" s="142">
        <f>VLOOKUP($C$25,Servant!$B$5:$AD$29,15,FALSE)+($F27+($F27*0.5*($D27-1)))*(Y$3-1)</f>
        <v>34180.5</v>
      </c>
      <c r="Z27" s="142">
        <f>VLOOKUP($C$25,Servant!$B$5:$AD$29,15,FALSE)+($F27+($F27*0.5*($D27-1)))*(Z$3-1)</f>
        <v>36053</v>
      </c>
      <c r="AA27" s="142">
        <f>VLOOKUP($C$25,Servant!$B$5:$AD$29,15,FALSE)+($F27+($F27*0.5*($D27-1)))*(AA$3-1)</f>
        <v>37925.5</v>
      </c>
      <c r="AB27" s="142">
        <f>VLOOKUP($C$25,Servant!$B$5:$AD$29,15,FALSE)+($F27+($F27*0.5*($D27-1)))*(AB$3-1)</f>
        <v>39798</v>
      </c>
      <c r="AC27" s="142">
        <f>VLOOKUP($C$25,Servant!$B$5:$AD$29,15,FALSE)+($F27+($F27*0.5*($D27-1)))*(AC$3-1)</f>
        <v>41670.5</v>
      </c>
      <c r="AD27" s="142">
        <f>VLOOKUP($C$25,Servant!$B$5:$AD$29,15,FALSE)+($F27+($F27*0.5*($D27-1)))*(AD$3-1)</f>
        <v>43543</v>
      </c>
      <c r="AE27" s="142">
        <f>VLOOKUP($C$25,Servant!$B$5:$AD$29,15,FALSE)+($F27+($F27*0.5*($D27-1)))*(AE$3-1)</f>
        <v>45415.5</v>
      </c>
      <c r="AF27" s="142">
        <f>VLOOKUP($C$25,Servant!$B$5:$AD$29,15,FALSE)+($F27+($F27*0.5*($D27-1)))*(AF$3-1)</f>
        <v>47288</v>
      </c>
      <c r="AG27" s="142">
        <f>VLOOKUP($C$25,Servant!$B$5:$AD$29,15,FALSE)+($F27+($F27*0.5*($D27-1)))*(AG$3-1)</f>
        <v>49160.5</v>
      </c>
      <c r="AH27" s="142">
        <f>VLOOKUP($C$25,Servant!$B$5:$AD$29,15,FALSE)+($F27+($F27*0.5*($D27-1)))*(AH$3-1)</f>
        <v>51033</v>
      </c>
      <c r="AI27" s="142">
        <f>VLOOKUP($C$25,Servant!$B$5:$AD$29,15,FALSE)+($F27+($F27*0.5*($D27-1)))*(AI$3-1)</f>
        <v>52905.5</v>
      </c>
      <c r="AJ27" s="142">
        <f>VLOOKUP($C$25,Servant!$B$5:$AD$29,15,FALSE)+($F27+($F27*0.5*($D27-1)))*(AJ$3-1)</f>
        <v>54778</v>
      </c>
      <c r="AK27" s="142">
        <f>VLOOKUP($C$25,Servant!$B$5:$AD$29,15,FALSE)+($F27+($F27*0.5*($D27-1)))*(AK$3-1)</f>
        <v>56650.5</v>
      </c>
    </row>
    <row r="28" spans="2:37" x14ac:dyDescent="0.3">
      <c r="B28" s="309"/>
      <c r="C28" s="318" t="s">
        <v>305</v>
      </c>
      <c r="D28" s="127">
        <v>2</v>
      </c>
      <c r="E28" s="120">
        <f>VLOOKUP($C$28,ServantLevelUPdStatus!$B$5:$AD$29,3,FALSE)+(VLOOKUP($C$28,ServantLevelUPdStatus!$B$5:$AD$29,3,FALSE)*0.5*(Simulator_HP!$D28-1))</f>
        <v>1194</v>
      </c>
      <c r="F28" s="120">
        <f>VLOOKUP($C$28,ServantLevelUPdStatus!$B$5:$AD$29,3,FALSE)</f>
        <v>796</v>
      </c>
      <c r="H28" s="113">
        <f>VLOOKUP($C$28,Servant!$B$5:$AD$29,15,FALSE)+($F28+($F28*0.5*($D28-1)))*(H$3-1)</f>
        <v>2604</v>
      </c>
      <c r="I28" s="113">
        <f>VLOOKUP($C$28,Servant!$B$5:$AD$29,15,FALSE)+($F28+($F28*0.5*($D28-1)))*(I$3-1)</f>
        <v>3798</v>
      </c>
      <c r="J28" s="113">
        <f>VLOOKUP($C$28,Servant!$B$5:$AD$29,15,FALSE)+($F28+($F28*0.5*($D28-1)))*(J$3-1)</f>
        <v>4992</v>
      </c>
      <c r="K28" s="113">
        <f>VLOOKUP($C$28,Servant!$B$5:$AD$29,15,FALSE)+($F28+($F28*0.5*($D28-1)))*(K$3-1)</f>
        <v>6186</v>
      </c>
      <c r="L28" s="113">
        <f>VLOOKUP($C$28,Servant!$B$5:$AD$29,15,FALSE)+($F28+($F28*0.5*($D28-1)))*(L$3-1)</f>
        <v>7380</v>
      </c>
      <c r="M28" s="113">
        <f>VLOOKUP($C$28,Servant!$B$5:$AD$29,15,FALSE)+($F28+($F28*0.5*($D28-1)))*(M$3-1)</f>
        <v>8574</v>
      </c>
      <c r="N28" s="113">
        <f>VLOOKUP($C$28,Servant!$B$5:$AD$29,15,FALSE)+($F28+($F28*0.5*($D28-1)))*(N$3-1)</f>
        <v>9768</v>
      </c>
      <c r="O28" s="113">
        <f>VLOOKUP($C$28,Servant!$B$5:$AD$29,15,FALSE)+($F28+($F28*0.5*($D28-1)))*(O$3-1)</f>
        <v>10962</v>
      </c>
      <c r="P28" s="113">
        <f>VLOOKUP($C$28,Servant!$B$5:$AD$29,15,FALSE)+($F28+($F28*0.5*($D28-1)))*(P$3-1)</f>
        <v>12156</v>
      </c>
      <c r="Q28" s="113">
        <f>VLOOKUP($C$28,Servant!$B$5:$AD$29,15,FALSE)+($F28+($F28*0.5*($D28-1)))*(Q$3-1)</f>
        <v>13350</v>
      </c>
      <c r="R28" s="113">
        <f>VLOOKUP($C$28,Servant!$B$5:$AD$29,15,FALSE)+($F28+($F28*0.5*($D28-1)))*(R$3-1)</f>
        <v>14544</v>
      </c>
      <c r="S28" s="113">
        <f>VLOOKUP($C$28,Servant!$B$5:$AD$29,15,FALSE)+($F28+($F28*0.5*($D28-1)))*(S$3-1)</f>
        <v>15738</v>
      </c>
      <c r="T28" s="113">
        <f>VLOOKUP($C$28,Servant!$B$5:$AD$29,15,FALSE)+($F28+($F28*0.5*($D28-1)))*(T$3-1)</f>
        <v>16932</v>
      </c>
      <c r="U28" s="113">
        <f>VLOOKUP($C$28,Servant!$B$5:$AD$29,15,FALSE)+($F28+($F28*0.5*($D28-1)))*(U$3-1)</f>
        <v>18126</v>
      </c>
      <c r="V28" s="113">
        <f>VLOOKUP($C$28,Servant!$B$5:$AD$29,15,FALSE)+($F28+($F28*0.5*($D28-1)))*(V$3-1)</f>
        <v>19320</v>
      </c>
      <c r="W28" s="113">
        <f>VLOOKUP($C$28,Servant!$B$5:$AD$29,15,FALSE)+($F28+($F28*0.5*($D28-1)))*(W$3-1)</f>
        <v>20514</v>
      </c>
      <c r="X28" s="113">
        <f>VLOOKUP($C$28,Servant!$B$5:$AD$29,15,FALSE)+($F28+($F28*0.5*($D28-1)))*(X$3-1)</f>
        <v>21708</v>
      </c>
      <c r="Y28" s="113">
        <f>VLOOKUP($C$28,Servant!$B$5:$AD$29,15,FALSE)+($F28+($F28*0.5*($D28-1)))*(Y$3-1)</f>
        <v>22902</v>
      </c>
      <c r="Z28" s="113">
        <f>VLOOKUP($C$28,Servant!$B$5:$AD$29,15,FALSE)+($F28+($F28*0.5*($D28-1)))*(Z$3-1)</f>
        <v>24096</v>
      </c>
      <c r="AA28" s="113">
        <f>VLOOKUP($C$28,Servant!$B$5:$AD$29,15,FALSE)+($F28+($F28*0.5*($D28-1)))*(AA$3-1)</f>
        <v>25290</v>
      </c>
      <c r="AB28" s="113">
        <f>VLOOKUP($C$28,Servant!$B$5:$AD$29,15,FALSE)+($F28+($F28*0.5*($D28-1)))*(AB$3-1)</f>
        <v>26484</v>
      </c>
      <c r="AC28" s="113">
        <f>VLOOKUP($C$28,Servant!$B$5:$AD$29,15,FALSE)+($F28+($F28*0.5*($D28-1)))*(AC$3-1)</f>
        <v>27678</v>
      </c>
      <c r="AD28" s="113">
        <f>VLOOKUP($C$28,Servant!$B$5:$AD$29,15,FALSE)+($F28+($F28*0.5*($D28-1)))*(AD$3-1)</f>
        <v>28872</v>
      </c>
      <c r="AE28" s="113">
        <f>VLOOKUP($C$28,Servant!$B$5:$AD$29,15,FALSE)+($F28+($F28*0.5*($D28-1)))*(AE$3-1)</f>
        <v>30066</v>
      </c>
      <c r="AF28" s="113">
        <f>VLOOKUP($C$28,Servant!$B$5:$AD$29,15,FALSE)+($F28+($F28*0.5*($D28-1)))*(AF$3-1)</f>
        <v>31260</v>
      </c>
      <c r="AG28" s="113">
        <f>VLOOKUP($C$28,Servant!$B$5:$AD$29,15,FALSE)+($F28+($F28*0.5*($D28-1)))*(AG$3-1)</f>
        <v>32454</v>
      </c>
      <c r="AH28" s="113">
        <f>VLOOKUP($C$28,Servant!$B$5:$AD$29,15,FALSE)+($F28+($F28*0.5*($D28-1)))*(AH$3-1)</f>
        <v>33648</v>
      </c>
      <c r="AI28" s="113">
        <f>VLOOKUP($C$28,Servant!$B$5:$AD$29,15,FALSE)+($F28+($F28*0.5*($D28-1)))*(AI$3-1)</f>
        <v>34842</v>
      </c>
      <c r="AJ28" s="113">
        <f>VLOOKUP($C$28,Servant!$B$5:$AD$29,15,FALSE)+($F28+($F28*0.5*($D28-1)))*(AJ$3-1)</f>
        <v>36036</v>
      </c>
      <c r="AK28" s="113">
        <f>VLOOKUP($C$28,Servant!$B$5:$AD$29,15,FALSE)+($F28+($F28*0.5*($D28-1)))*(AK$3-1)</f>
        <v>37230</v>
      </c>
    </row>
    <row r="29" spans="2:37" x14ac:dyDescent="0.3">
      <c r="B29" s="309"/>
      <c r="C29" s="318"/>
      <c r="D29" s="127">
        <v>3</v>
      </c>
      <c r="E29" s="120">
        <f>VLOOKUP($C$28,ServantLevelUPdStatus!$B$5:$AD$29,3,FALSE)+(VLOOKUP($C$28,ServantLevelUPdStatus!$B$5:$AD$29,3,FALSE)*0.5*(Simulator_HP!$D29-1))</f>
        <v>1592</v>
      </c>
      <c r="F29" s="119">
        <f>F28</f>
        <v>796</v>
      </c>
      <c r="H29" s="113">
        <f>VLOOKUP($C$28,Servant!$B$5:$AD$29,15,FALSE)+($F29+($F29*0.5*($D29-1)))*(H$3-1)</f>
        <v>2604</v>
      </c>
      <c r="I29" s="113">
        <f>VLOOKUP($C$28,Servant!$B$5:$AD$29,15,FALSE)+($F29+($F29*0.5*($D29-1)))*(I$3-1)</f>
        <v>4196</v>
      </c>
      <c r="J29" s="113">
        <f>VLOOKUP($C$28,Servant!$B$5:$AD$29,15,FALSE)+($F29+($F29*0.5*($D29-1)))*(J$3-1)</f>
        <v>5788</v>
      </c>
      <c r="K29" s="113">
        <f>VLOOKUP($C$28,Servant!$B$5:$AD$29,15,FALSE)+($F29+($F29*0.5*($D29-1)))*(K$3-1)</f>
        <v>7380</v>
      </c>
      <c r="L29" s="113">
        <f>VLOOKUP($C$28,Servant!$B$5:$AD$29,15,FALSE)+($F29+($F29*0.5*($D29-1)))*(L$3-1)</f>
        <v>8972</v>
      </c>
      <c r="M29" s="113">
        <f>VLOOKUP($C$28,Servant!$B$5:$AD$29,15,FALSE)+($F29+($F29*0.5*($D29-1)))*(M$3-1)</f>
        <v>10564</v>
      </c>
      <c r="N29" s="113">
        <f>VLOOKUP($C$28,Servant!$B$5:$AD$29,15,FALSE)+($F29+($F29*0.5*($D29-1)))*(N$3-1)</f>
        <v>12156</v>
      </c>
      <c r="O29" s="113">
        <f>VLOOKUP($C$28,Servant!$B$5:$AD$29,15,FALSE)+($F29+($F29*0.5*($D29-1)))*(O$3-1)</f>
        <v>13748</v>
      </c>
      <c r="P29" s="113">
        <f>VLOOKUP($C$28,Servant!$B$5:$AD$29,15,FALSE)+($F29+($F29*0.5*($D29-1)))*(P$3-1)</f>
        <v>15340</v>
      </c>
      <c r="Q29" s="113">
        <f>VLOOKUP($C$28,Servant!$B$5:$AD$29,15,FALSE)+($F29+($F29*0.5*($D29-1)))*(Q$3-1)</f>
        <v>16932</v>
      </c>
      <c r="R29" s="113">
        <f>VLOOKUP($C$28,Servant!$B$5:$AD$29,15,FALSE)+($F29+($F29*0.5*($D29-1)))*(R$3-1)</f>
        <v>18524</v>
      </c>
      <c r="S29" s="113">
        <f>VLOOKUP($C$28,Servant!$B$5:$AD$29,15,FALSE)+($F29+($F29*0.5*($D29-1)))*(S$3-1)</f>
        <v>20116</v>
      </c>
      <c r="T29" s="113">
        <f>VLOOKUP($C$28,Servant!$B$5:$AD$29,15,FALSE)+($F29+($F29*0.5*($D29-1)))*(T$3-1)</f>
        <v>21708</v>
      </c>
      <c r="U29" s="113">
        <f>VLOOKUP($C$28,Servant!$B$5:$AD$29,15,FALSE)+($F29+($F29*0.5*($D29-1)))*(U$3-1)</f>
        <v>23300</v>
      </c>
      <c r="V29" s="113">
        <f>VLOOKUP($C$28,Servant!$B$5:$AD$29,15,FALSE)+($F29+($F29*0.5*($D29-1)))*(V$3-1)</f>
        <v>24892</v>
      </c>
      <c r="W29" s="113">
        <f>VLOOKUP($C$28,Servant!$B$5:$AD$29,15,FALSE)+($F29+($F29*0.5*($D29-1)))*(W$3-1)</f>
        <v>26484</v>
      </c>
      <c r="X29" s="113">
        <f>VLOOKUP($C$28,Servant!$B$5:$AD$29,15,FALSE)+($F29+($F29*0.5*($D29-1)))*(X$3-1)</f>
        <v>28076</v>
      </c>
      <c r="Y29" s="113">
        <f>VLOOKUP($C$28,Servant!$B$5:$AD$29,15,FALSE)+($F29+($F29*0.5*($D29-1)))*(Y$3-1)</f>
        <v>29668</v>
      </c>
      <c r="Z29" s="113">
        <f>VLOOKUP($C$28,Servant!$B$5:$AD$29,15,FALSE)+($F29+($F29*0.5*($D29-1)))*(Z$3-1)</f>
        <v>31260</v>
      </c>
      <c r="AA29" s="113">
        <f>VLOOKUP($C$28,Servant!$B$5:$AD$29,15,FALSE)+($F29+($F29*0.5*($D29-1)))*(AA$3-1)</f>
        <v>32852</v>
      </c>
      <c r="AB29" s="113">
        <f>VLOOKUP($C$28,Servant!$B$5:$AD$29,15,FALSE)+($F29+($F29*0.5*($D29-1)))*(AB$3-1)</f>
        <v>34444</v>
      </c>
      <c r="AC29" s="113">
        <f>VLOOKUP($C$28,Servant!$B$5:$AD$29,15,FALSE)+($F29+($F29*0.5*($D29-1)))*(AC$3-1)</f>
        <v>36036</v>
      </c>
      <c r="AD29" s="113">
        <f>VLOOKUP($C$28,Servant!$B$5:$AD$29,15,FALSE)+($F29+($F29*0.5*($D29-1)))*(AD$3-1)</f>
        <v>37628</v>
      </c>
      <c r="AE29" s="113">
        <f>VLOOKUP($C$28,Servant!$B$5:$AD$29,15,FALSE)+($F29+($F29*0.5*($D29-1)))*(AE$3-1)</f>
        <v>39220</v>
      </c>
      <c r="AF29" s="113">
        <f>VLOOKUP($C$28,Servant!$B$5:$AD$29,15,FALSE)+($F29+($F29*0.5*($D29-1)))*(AF$3-1)</f>
        <v>40812</v>
      </c>
      <c r="AG29" s="113">
        <f>VLOOKUP($C$28,Servant!$B$5:$AD$29,15,FALSE)+($F29+($F29*0.5*($D29-1)))*(AG$3-1)</f>
        <v>42404</v>
      </c>
      <c r="AH29" s="113">
        <f>VLOOKUP($C$28,Servant!$B$5:$AD$29,15,FALSE)+($F29+($F29*0.5*($D29-1)))*(AH$3-1)</f>
        <v>43996</v>
      </c>
      <c r="AI29" s="113">
        <f>VLOOKUP($C$28,Servant!$B$5:$AD$29,15,FALSE)+($F29+($F29*0.5*($D29-1)))*(AI$3-1)</f>
        <v>45588</v>
      </c>
      <c r="AJ29" s="113">
        <f>VLOOKUP($C$28,Servant!$B$5:$AD$29,15,FALSE)+($F29+($F29*0.5*($D29-1)))*(AJ$3-1)</f>
        <v>47180</v>
      </c>
      <c r="AK29" s="113">
        <f>VLOOKUP($C$28,Servant!$B$5:$AD$29,15,FALSE)+($F29+($F29*0.5*($D29-1)))*(AK$3-1)</f>
        <v>48772</v>
      </c>
    </row>
    <row r="30" spans="2:37" x14ac:dyDescent="0.3">
      <c r="B30" s="309"/>
      <c r="C30" s="318"/>
      <c r="D30" s="127">
        <v>4</v>
      </c>
      <c r="E30" s="120">
        <f>VLOOKUP($C$28,ServantLevelUPdStatus!$B$5:$AD$29,3,FALSE)+(VLOOKUP($C$28,ServantLevelUPdStatus!$B$5:$AD$29,3,FALSE)*0.5*(Simulator_HP!$D30-1))</f>
        <v>1990</v>
      </c>
      <c r="F30" s="119">
        <f>F29</f>
        <v>796</v>
      </c>
      <c r="H30" s="113">
        <f>VLOOKUP($C$28,Servant!$B$5:$AD$29,15,FALSE)+($F30+($F30*0.5*($D30-1)))*(H$3-1)</f>
        <v>2604</v>
      </c>
      <c r="I30" s="113">
        <f>VLOOKUP($C$28,Servant!$B$5:$AD$29,15,FALSE)+($F30+($F30*0.5*($D30-1)))*(I$3-1)</f>
        <v>4594</v>
      </c>
      <c r="J30" s="113">
        <f>VLOOKUP($C$28,Servant!$B$5:$AD$29,15,FALSE)+($F30+($F30*0.5*($D30-1)))*(J$3-1)</f>
        <v>6584</v>
      </c>
      <c r="K30" s="113">
        <f>VLOOKUP($C$28,Servant!$B$5:$AD$29,15,FALSE)+($F30+($F30*0.5*($D30-1)))*(K$3-1)</f>
        <v>8574</v>
      </c>
      <c r="L30" s="113">
        <f>VLOOKUP($C$28,Servant!$B$5:$AD$29,15,FALSE)+($F30+($F30*0.5*($D30-1)))*(L$3-1)</f>
        <v>10564</v>
      </c>
      <c r="M30" s="113">
        <f>VLOOKUP($C$28,Servant!$B$5:$AD$29,15,FALSE)+($F30+($F30*0.5*($D30-1)))*(M$3-1)</f>
        <v>12554</v>
      </c>
      <c r="N30" s="113">
        <f>VLOOKUP($C$28,Servant!$B$5:$AD$29,15,FALSE)+($F30+($F30*0.5*($D30-1)))*(N$3-1)</f>
        <v>14544</v>
      </c>
      <c r="O30" s="113">
        <f>VLOOKUP($C$28,Servant!$B$5:$AD$29,15,FALSE)+($F30+($F30*0.5*($D30-1)))*(O$3-1)</f>
        <v>16534</v>
      </c>
      <c r="P30" s="113">
        <f>VLOOKUP($C$28,Servant!$B$5:$AD$29,15,FALSE)+($F30+($F30*0.5*($D30-1)))*(P$3-1)</f>
        <v>18524</v>
      </c>
      <c r="Q30" s="113">
        <f>VLOOKUP($C$28,Servant!$B$5:$AD$29,15,FALSE)+($F30+($F30*0.5*($D30-1)))*(Q$3-1)</f>
        <v>20514</v>
      </c>
      <c r="R30" s="113">
        <f>VLOOKUP($C$28,Servant!$B$5:$AD$29,15,FALSE)+($F30+($F30*0.5*($D30-1)))*(R$3-1)</f>
        <v>22504</v>
      </c>
      <c r="S30" s="113">
        <f>VLOOKUP($C$28,Servant!$B$5:$AD$29,15,FALSE)+($F30+($F30*0.5*($D30-1)))*(S$3-1)</f>
        <v>24494</v>
      </c>
      <c r="T30" s="113">
        <f>VLOOKUP($C$28,Servant!$B$5:$AD$29,15,FALSE)+($F30+($F30*0.5*($D30-1)))*(T$3-1)</f>
        <v>26484</v>
      </c>
      <c r="U30" s="113">
        <f>VLOOKUP($C$28,Servant!$B$5:$AD$29,15,FALSE)+($F30+($F30*0.5*($D30-1)))*(U$3-1)</f>
        <v>28474</v>
      </c>
      <c r="V30" s="113">
        <f>VLOOKUP($C$28,Servant!$B$5:$AD$29,15,FALSE)+($F30+($F30*0.5*($D30-1)))*(V$3-1)</f>
        <v>30464</v>
      </c>
      <c r="W30" s="113">
        <f>VLOOKUP($C$28,Servant!$B$5:$AD$29,15,FALSE)+($F30+($F30*0.5*($D30-1)))*(W$3-1)</f>
        <v>32454</v>
      </c>
      <c r="X30" s="113">
        <f>VLOOKUP($C$28,Servant!$B$5:$AD$29,15,FALSE)+($F30+($F30*0.5*($D30-1)))*(X$3-1)</f>
        <v>34444</v>
      </c>
      <c r="Y30" s="113">
        <f>VLOOKUP($C$28,Servant!$B$5:$AD$29,15,FALSE)+($F30+($F30*0.5*($D30-1)))*(Y$3-1)</f>
        <v>36434</v>
      </c>
      <c r="Z30" s="113">
        <f>VLOOKUP($C$28,Servant!$B$5:$AD$29,15,FALSE)+($F30+($F30*0.5*($D30-1)))*(Z$3-1)</f>
        <v>38424</v>
      </c>
      <c r="AA30" s="113">
        <f>VLOOKUP($C$28,Servant!$B$5:$AD$29,15,FALSE)+($F30+($F30*0.5*($D30-1)))*(AA$3-1)</f>
        <v>40414</v>
      </c>
      <c r="AB30" s="113">
        <f>VLOOKUP($C$28,Servant!$B$5:$AD$29,15,FALSE)+($F30+($F30*0.5*($D30-1)))*(AB$3-1)</f>
        <v>42404</v>
      </c>
      <c r="AC30" s="113">
        <f>VLOOKUP($C$28,Servant!$B$5:$AD$29,15,FALSE)+($F30+($F30*0.5*($D30-1)))*(AC$3-1)</f>
        <v>44394</v>
      </c>
      <c r="AD30" s="113">
        <f>VLOOKUP($C$28,Servant!$B$5:$AD$29,15,FALSE)+($F30+($F30*0.5*($D30-1)))*(AD$3-1)</f>
        <v>46384</v>
      </c>
      <c r="AE30" s="113">
        <f>VLOOKUP($C$28,Servant!$B$5:$AD$29,15,FALSE)+($F30+($F30*0.5*($D30-1)))*(AE$3-1)</f>
        <v>48374</v>
      </c>
      <c r="AF30" s="113">
        <f>VLOOKUP($C$28,Servant!$B$5:$AD$29,15,FALSE)+($F30+($F30*0.5*($D30-1)))*(AF$3-1)</f>
        <v>50364</v>
      </c>
      <c r="AG30" s="113">
        <f>VLOOKUP($C$28,Servant!$B$5:$AD$29,15,FALSE)+($F30+($F30*0.5*($D30-1)))*(AG$3-1)</f>
        <v>52354</v>
      </c>
      <c r="AH30" s="113">
        <f>VLOOKUP($C$28,Servant!$B$5:$AD$29,15,FALSE)+($F30+($F30*0.5*($D30-1)))*(AH$3-1)</f>
        <v>54344</v>
      </c>
      <c r="AI30" s="113">
        <f>VLOOKUP($C$28,Servant!$B$5:$AD$29,15,FALSE)+($F30+($F30*0.5*($D30-1)))*(AI$3-1)</f>
        <v>56334</v>
      </c>
      <c r="AJ30" s="113">
        <f>VLOOKUP($C$28,Servant!$B$5:$AD$29,15,FALSE)+($F30+($F30*0.5*($D30-1)))*(AJ$3-1)</f>
        <v>58324</v>
      </c>
      <c r="AK30" s="113">
        <f>VLOOKUP($C$28,Servant!$B$5:$AD$29,15,FALSE)+($F30+($F30*0.5*($D30-1)))*(AK$3-1)</f>
        <v>60314</v>
      </c>
    </row>
    <row r="31" spans="2:37" x14ac:dyDescent="0.3">
      <c r="B31" s="309"/>
      <c r="C31" s="319" t="s">
        <v>306</v>
      </c>
      <c r="D31" s="140">
        <v>2</v>
      </c>
      <c r="E31" s="141">
        <f>VLOOKUP($C$31,ServantLevelUPdStatus!$B$5:$AD$29,3,FALSE)+(VLOOKUP($C$31,ServantLevelUPdStatus!$B$5:$AD$29,3,FALSE)*0.5*(Simulator_HP!$D31-1))</f>
        <v>939</v>
      </c>
      <c r="F31" s="141">
        <f>VLOOKUP($C$31,ServantLevelUPdStatus!$B$5:$AD$29,3,FALSE)</f>
        <v>626</v>
      </c>
      <c r="H31" s="142">
        <f>VLOOKUP($C$31,Servant!$B$5:$AD$29,15,FALSE)+($F31+($F31*0.5*($D31-1)))*(H$3-1)</f>
        <v>1964</v>
      </c>
      <c r="I31" s="142">
        <f>VLOOKUP($C$31,Servant!$B$5:$AD$29,15,FALSE)+($F31+($F31*0.5*($D31-1)))*(I$3-1)</f>
        <v>2903</v>
      </c>
      <c r="J31" s="142">
        <f>VLOOKUP($C$31,Servant!$B$5:$AD$29,15,FALSE)+($F31+($F31*0.5*($D31-1)))*(J$3-1)</f>
        <v>3842</v>
      </c>
      <c r="K31" s="142">
        <f>VLOOKUP($C$31,Servant!$B$5:$AD$29,15,FALSE)+($F31+($F31*0.5*($D31-1)))*(K$3-1)</f>
        <v>4781</v>
      </c>
      <c r="L31" s="142">
        <f>VLOOKUP($C$31,Servant!$B$5:$AD$29,15,FALSE)+($F31+($F31*0.5*($D31-1)))*(L$3-1)</f>
        <v>5720</v>
      </c>
      <c r="M31" s="142">
        <f>VLOOKUP($C$31,Servant!$B$5:$AD$29,15,FALSE)+($F31+($F31*0.5*($D31-1)))*(M$3-1)</f>
        <v>6659</v>
      </c>
      <c r="N31" s="142">
        <f>VLOOKUP($C$31,Servant!$B$5:$AD$29,15,FALSE)+($F31+($F31*0.5*($D31-1)))*(N$3-1)</f>
        <v>7598</v>
      </c>
      <c r="O31" s="142">
        <f>VLOOKUP($C$31,Servant!$B$5:$AD$29,15,FALSE)+($F31+($F31*0.5*($D31-1)))*(O$3-1)</f>
        <v>8537</v>
      </c>
      <c r="P31" s="142">
        <f>VLOOKUP($C$31,Servant!$B$5:$AD$29,15,FALSE)+($F31+($F31*0.5*($D31-1)))*(P$3-1)</f>
        <v>9476</v>
      </c>
      <c r="Q31" s="142">
        <f>VLOOKUP($C$31,Servant!$B$5:$AD$29,15,FALSE)+($F31+($F31*0.5*($D31-1)))*(Q$3-1)</f>
        <v>10415</v>
      </c>
      <c r="R31" s="142">
        <f>VLOOKUP($C$31,Servant!$B$5:$AD$29,15,FALSE)+($F31+($F31*0.5*($D31-1)))*(R$3-1)</f>
        <v>11354</v>
      </c>
      <c r="S31" s="142">
        <f>VLOOKUP($C$31,Servant!$B$5:$AD$29,15,FALSE)+($F31+($F31*0.5*($D31-1)))*(S$3-1)</f>
        <v>12293</v>
      </c>
      <c r="T31" s="142">
        <f>VLOOKUP($C$31,Servant!$B$5:$AD$29,15,FALSE)+($F31+($F31*0.5*($D31-1)))*(T$3-1)</f>
        <v>13232</v>
      </c>
      <c r="U31" s="142">
        <f>VLOOKUP($C$31,Servant!$B$5:$AD$29,15,FALSE)+($F31+($F31*0.5*($D31-1)))*(U$3-1)</f>
        <v>14171</v>
      </c>
      <c r="V31" s="142">
        <f>VLOOKUP($C$31,Servant!$B$5:$AD$29,15,FALSE)+($F31+($F31*0.5*($D31-1)))*(V$3-1)</f>
        <v>15110</v>
      </c>
      <c r="W31" s="142">
        <f>VLOOKUP($C$31,Servant!$B$5:$AD$29,15,FALSE)+($F31+($F31*0.5*($D31-1)))*(W$3-1)</f>
        <v>16049</v>
      </c>
      <c r="X31" s="142">
        <f>VLOOKUP($C$31,Servant!$B$5:$AD$29,15,FALSE)+($F31+($F31*0.5*($D31-1)))*(X$3-1)</f>
        <v>16988</v>
      </c>
      <c r="Y31" s="142">
        <f>VLOOKUP($C$31,Servant!$B$5:$AD$29,15,FALSE)+($F31+($F31*0.5*($D31-1)))*(Y$3-1)</f>
        <v>17927</v>
      </c>
      <c r="Z31" s="142">
        <f>VLOOKUP($C$31,Servant!$B$5:$AD$29,15,FALSE)+($F31+($F31*0.5*($D31-1)))*(Z$3-1)</f>
        <v>18866</v>
      </c>
      <c r="AA31" s="142">
        <f>VLOOKUP($C$31,Servant!$B$5:$AD$29,15,FALSE)+($F31+($F31*0.5*($D31-1)))*(AA$3-1)</f>
        <v>19805</v>
      </c>
      <c r="AB31" s="142">
        <f>VLOOKUP($C$31,Servant!$B$5:$AD$29,15,FALSE)+($F31+($F31*0.5*($D31-1)))*(AB$3-1)</f>
        <v>20744</v>
      </c>
      <c r="AC31" s="142">
        <f>VLOOKUP($C$31,Servant!$B$5:$AD$29,15,FALSE)+($F31+($F31*0.5*($D31-1)))*(AC$3-1)</f>
        <v>21683</v>
      </c>
      <c r="AD31" s="142">
        <f>VLOOKUP($C$31,Servant!$B$5:$AD$29,15,FALSE)+($F31+($F31*0.5*($D31-1)))*(AD$3-1)</f>
        <v>22622</v>
      </c>
      <c r="AE31" s="142">
        <f>VLOOKUP($C$31,Servant!$B$5:$AD$29,15,FALSE)+($F31+($F31*0.5*($D31-1)))*(AE$3-1)</f>
        <v>23561</v>
      </c>
      <c r="AF31" s="142">
        <f>VLOOKUP($C$31,Servant!$B$5:$AD$29,15,FALSE)+($F31+($F31*0.5*($D31-1)))*(AF$3-1)</f>
        <v>24500</v>
      </c>
      <c r="AG31" s="142">
        <f>VLOOKUP($C$31,Servant!$B$5:$AD$29,15,FALSE)+($F31+($F31*0.5*($D31-1)))*(AG$3-1)</f>
        <v>25439</v>
      </c>
      <c r="AH31" s="142">
        <f>VLOOKUP($C$31,Servant!$B$5:$AD$29,15,FALSE)+($F31+($F31*0.5*($D31-1)))*(AH$3-1)</f>
        <v>26378</v>
      </c>
      <c r="AI31" s="142">
        <f>VLOOKUP($C$31,Servant!$B$5:$AD$29,15,FALSE)+($F31+($F31*0.5*($D31-1)))*(AI$3-1)</f>
        <v>27317</v>
      </c>
      <c r="AJ31" s="142">
        <f>VLOOKUP($C$31,Servant!$B$5:$AD$29,15,FALSE)+($F31+($F31*0.5*($D31-1)))*(AJ$3-1)</f>
        <v>28256</v>
      </c>
      <c r="AK31" s="142">
        <f>VLOOKUP($C$31,Servant!$B$5:$AD$29,15,FALSE)+($F31+($F31*0.5*($D31-1)))*(AK$3-1)</f>
        <v>29195</v>
      </c>
    </row>
    <row r="32" spans="2:37" x14ac:dyDescent="0.3">
      <c r="B32" s="309"/>
      <c r="C32" s="319"/>
      <c r="D32" s="140">
        <v>3</v>
      </c>
      <c r="E32" s="141">
        <f>VLOOKUP($C$31,ServantLevelUPdStatus!$B$5:$AD$29,3,FALSE)+(VLOOKUP($C$31,ServantLevelUPdStatus!$B$5:$AD$29,3,FALSE)*0.5*(Simulator_HP!$D32-1))</f>
        <v>1252</v>
      </c>
      <c r="F32" s="143">
        <f>F31</f>
        <v>626</v>
      </c>
      <c r="H32" s="142">
        <f>VLOOKUP($C$31,Servant!$B$5:$AD$29,15,FALSE)+($F32+($F32*0.5*($D32-1)))*(H$3-1)</f>
        <v>1964</v>
      </c>
      <c r="I32" s="142">
        <f>VLOOKUP($C$31,Servant!$B$5:$AD$29,15,FALSE)+($F32+($F32*0.5*($D32-1)))*(I$3-1)</f>
        <v>3216</v>
      </c>
      <c r="J32" s="142">
        <f>VLOOKUP($C$31,Servant!$B$5:$AD$29,15,FALSE)+($F32+($F32*0.5*($D32-1)))*(J$3-1)</f>
        <v>4468</v>
      </c>
      <c r="K32" s="142">
        <f>VLOOKUP($C$31,Servant!$B$5:$AD$29,15,FALSE)+($F32+($F32*0.5*($D32-1)))*(K$3-1)</f>
        <v>5720</v>
      </c>
      <c r="L32" s="142">
        <f>VLOOKUP($C$31,Servant!$B$5:$AD$29,15,FALSE)+($F32+($F32*0.5*($D32-1)))*(L$3-1)</f>
        <v>6972</v>
      </c>
      <c r="M32" s="142">
        <f>VLOOKUP($C$31,Servant!$B$5:$AD$29,15,FALSE)+($F32+($F32*0.5*($D32-1)))*(M$3-1)</f>
        <v>8224</v>
      </c>
      <c r="N32" s="142">
        <f>VLOOKUP($C$31,Servant!$B$5:$AD$29,15,FALSE)+($F32+($F32*0.5*($D32-1)))*(N$3-1)</f>
        <v>9476</v>
      </c>
      <c r="O32" s="142">
        <f>VLOOKUP($C$31,Servant!$B$5:$AD$29,15,FALSE)+($F32+($F32*0.5*($D32-1)))*(O$3-1)</f>
        <v>10728</v>
      </c>
      <c r="P32" s="142">
        <f>VLOOKUP($C$31,Servant!$B$5:$AD$29,15,FALSE)+($F32+($F32*0.5*($D32-1)))*(P$3-1)</f>
        <v>11980</v>
      </c>
      <c r="Q32" s="142">
        <f>VLOOKUP($C$31,Servant!$B$5:$AD$29,15,FALSE)+($F32+($F32*0.5*($D32-1)))*(Q$3-1)</f>
        <v>13232</v>
      </c>
      <c r="R32" s="142">
        <f>VLOOKUP($C$31,Servant!$B$5:$AD$29,15,FALSE)+($F32+($F32*0.5*($D32-1)))*(R$3-1)</f>
        <v>14484</v>
      </c>
      <c r="S32" s="142">
        <f>VLOOKUP($C$31,Servant!$B$5:$AD$29,15,FALSE)+($F32+($F32*0.5*($D32-1)))*(S$3-1)</f>
        <v>15736</v>
      </c>
      <c r="T32" s="142">
        <f>VLOOKUP($C$31,Servant!$B$5:$AD$29,15,FALSE)+($F32+($F32*0.5*($D32-1)))*(T$3-1)</f>
        <v>16988</v>
      </c>
      <c r="U32" s="142">
        <f>VLOOKUP($C$31,Servant!$B$5:$AD$29,15,FALSE)+($F32+($F32*0.5*($D32-1)))*(U$3-1)</f>
        <v>18240</v>
      </c>
      <c r="V32" s="142">
        <f>VLOOKUP($C$31,Servant!$B$5:$AD$29,15,FALSE)+($F32+($F32*0.5*($D32-1)))*(V$3-1)</f>
        <v>19492</v>
      </c>
      <c r="W32" s="142">
        <f>VLOOKUP($C$31,Servant!$B$5:$AD$29,15,FALSE)+($F32+($F32*0.5*($D32-1)))*(W$3-1)</f>
        <v>20744</v>
      </c>
      <c r="X32" s="142">
        <f>VLOOKUP($C$31,Servant!$B$5:$AD$29,15,FALSE)+($F32+($F32*0.5*($D32-1)))*(X$3-1)</f>
        <v>21996</v>
      </c>
      <c r="Y32" s="142">
        <f>VLOOKUP($C$31,Servant!$B$5:$AD$29,15,FALSE)+($F32+($F32*0.5*($D32-1)))*(Y$3-1)</f>
        <v>23248</v>
      </c>
      <c r="Z32" s="142">
        <f>VLOOKUP($C$31,Servant!$B$5:$AD$29,15,FALSE)+($F32+($F32*0.5*($D32-1)))*(Z$3-1)</f>
        <v>24500</v>
      </c>
      <c r="AA32" s="142">
        <f>VLOOKUP($C$31,Servant!$B$5:$AD$29,15,FALSE)+($F32+($F32*0.5*($D32-1)))*(AA$3-1)</f>
        <v>25752</v>
      </c>
      <c r="AB32" s="142">
        <f>VLOOKUP($C$31,Servant!$B$5:$AD$29,15,FALSE)+($F32+($F32*0.5*($D32-1)))*(AB$3-1)</f>
        <v>27004</v>
      </c>
      <c r="AC32" s="142">
        <f>VLOOKUP($C$31,Servant!$B$5:$AD$29,15,FALSE)+($F32+($F32*0.5*($D32-1)))*(AC$3-1)</f>
        <v>28256</v>
      </c>
      <c r="AD32" s="142">
        <f>VLOOKUP($C$31,Servant!$B$5:$AD$29,15,FALSE)+($F32+($F32*0.5*($D32-1)))*(AD$3-1)</f>
        <v>29508</v>
      </c>
      <c r="AE32" s="142">
        <f>VLOOKUP($C$31,Servant!$B$5:$AD$29,15,FALSE)+($F32+($F32*0.5*($D32-1)))*(AE$3-1)</f>
        <v>30760</v>
      </c>
      <c r="AF32" s="142">
        <f>VLOOKUP($C$31,Servant!$B$5:$AD$29,15,FALSE)+($F32+($F32*0.5*($D32-1)))*(AF$3-1)</f>
        <v>32012</v>
      </c>
      <c r="AG32" s="142">
        <f>VLOOKUP($C$31,Servant!$B$5:$AD$29,15,FALSE)+($F32+($F32*0.5*($D32-1)))*(AG$3-1)</f>
        <v>33264</v>
      </c>
      <c r="AH32" s="142">
        <f>VLOOKUP($C$31,Servant!$B$5:$AD$29,15,FALSE)+($F32+($F32*0.5*($D32-1)))*(AH$3-1)</f>
        <v>34516</v>
      </c>
      <c r="AI32" s="142">
        <f>VLOOKUP($C$31,Servant!$B$5:$AD$29,15,FALSE)+($F32+($F32*0.5*($D32-1)))*(AI$3-1)</f>
        <v>35768</v>
      </c>
      <c r="AJ32" s="142">
        <f>VLOOKUP($C$31,Servant!$B$5:$AD$29,15,FALSE)+($F32+($F32*0.5*($D32-1)))*(AJ$3-1)</f>
        <v>37020</v>
      </c>
      <c r="AK32" s="142">
        <f>VLOOKUP($C$31,Servant!$B$5:$AD$29,15,FALSE)+($F32+($F32*0.5*($D32-1)))*(AK$3-1)</f>
        <v>38272</v>
      </c>
    </row>
    <row r="33" spans="2:37" x14ac:dyDescent="0.3">
      <c r="B33" s="309"/>
      <c r="C33" s="319"/>
      <c r="D33" s="140">
        <v>4</v>
      </c>
      <c r="E33" s="141">
        <f>VLOOKUP($C$31,ServantLevelUPdStatus!$B$5:$AD$29,3,FALSE)+(VLOOKUP($C$31,ServantLevelUPdStatus!$B$5:$AD$29,3,FALSE)*0.5*(Simulator_HP!$D33-1))</f>
        <v>1565</v>
      </c>
      <c r="F33" s="143">
        <f>F32</f>
        <v>626</v>
      </c>
      <c r="H33" s="142">
        <f>VLOOKUP($C$31,Servant!$B$5:$AD$29,15,FALSE)+($F33+($F33*0.5*($D33-1)))*(H$3-1)</f>
        <v>1964</v>
      </c>
      <c r="I33" s="142">
        <f>VLOOKUP($C$31,Servant!$B$5:$AD$29,15,FALSE)+($F33+($F33*0.5*($D33-1)))*(I$3-1)</f>
        <v>3529</v>
      </c>
      <c r="J33" s="142">
        <f>VLOOKUP($C$31,Servant!$B$5:$AD$29,15,FALSE)+($F33+($F33*0.5*($D33-1)))*(J$3-1)</f>
        <v>5094</v>
      </c>
      <c r="K33" s="142">
        <f>VLOOKUP($C$31,Servant!$B$5:$AD$29,15,FALSE)+($F33+($F33*0.5*($D33-1)))*(K$3-1)</f>
        <v>6659</v>
      </c>
      <c r="L33" s="142">
        <f>VLOOKUP($C$31,Servant!$B$5:$AD$29,15,FALSE)+($F33+($F33*0.5*($D33-1)))*(L$3-1)</f>
        <v>8224</v>
      </c>
      <c r="M33" s="142">
        <f>VLOOKUP($C$31,Servant!$B$5:$AD$29,15,FALSE)+($F33+($F33*0.5*($D33-1)))*(M$3-1)</f>
        <v>9789</v>
      </c>
      <c r="N33" s="142">
        <f>VLOOKUP($C$31,Servant!$B$5:$AD$29,15,FALSE)+($F33+($F33*0.5*($D33-1)))*(N$3-1)</f>
        <v>11354</v>
      </c>
      <c r="O33" s="142">
        <f>VLOOKUP($C$31,Servant!$B$5:$AD$29,15,FALSE)+($F33+($F33*0.5*($D33-1)))*(O$3-1)</f>
        <v>12919</v>
      </c>
      <c r="P33" s="142">
        <f>VLOOKUP($C$31,Servant!$B$5:$AD$29,15,FALSE)+($F33+($F33*0.5*($D33-1)))*(P$3-1)</f>
        <v>14484</v>
      </c>
      <c r="Q33" s="142">
        <f>VLOOKUP($C$31,Servant!$B$5:$AD$29,15,FALSE)+($F33+($F33*0.5*($D33-1)))*(Q$3-1)</f>
        <v>16049</v>
      </c>
      <c r="R33" s="142">
        <f>VLOOKUP($C$31,Servant!$B$5:$AD$29,15,FALSE)+($F33+($F33*0.5*($D33-1)))*(R$3-1)</f>
        <v>17614</v>
      </c>
      <c r="S33" s="142">
        <f>VLOOKUP($C$31,Servant!$B$5:$AD$29,15,FALSE)+($F33+($F33*0.5*($D33-1)))*(S$3-1)</f>
        <v>19179</v>
      </c>
      <c r="T33" s="142">
        <f>VLOOKUP($C$31,Servant!$B$5:$AD$29,15,FALSE)+($F33+($F33*0.5*($D33-1)))*(T$3-1)</f>
        <v>20744</v>
      </c>
      <c r="U33" s="142">
        <f>VLOOKUP($C$31,Servant!$B$5:$AD$29,15,FALSE)+($F33+($F33*0.5*($D33-1)))*(U$3-1)</f>
        <v>22309</v>
      </c>
      <c r="V33" s="142">
        <f>VLOOKUP($C$31,Servant!$B$5:$AD$29,15,FALSE)+($F33+($F33*0.5*($D33-1)))*(V$3-1)</f>
        <v>23874</v>
      </c>
      <c r="W33" s="142">
        <f>VLOOKUP($C$31,Servant!$B$5:$AD$29,15,FALSE)+($F33+($F33*0.5*($D33-1)))*(W$3-1)</f>
        <v>25439</v>
      </c>
      <c r="X33" s="142">
        <f>VLOOKUP($C$31,Servant!$B$5:$AD$29,15,FALSE)+($F33+($F33*0.5*($D33-1)))*(X$3-1)</f>
        <v>27004</v>
      </c>
      <c r="Y33" s="142">
        <f>VLOOKUP($C$31,Servant!$B$5:$AD$29,15,FALSE)+($F33+($F33*0.5*($D33-1)))*(Y$3-1)</f>
        <v>28569</v>
      </c>
      <c r="Z33" s="142">
        <f>VLOOKUP($C$31,Servant!$B$5:$AD$29,15,FALSE)+($F33+($F33*0.5*($D33-1)))*(Z$3-1)</f>
        <v>30134</v>
      </c>
      <c r="AA33" s="142">
        <f>VLOOKUP($C$31,Servant!$B$5:$AD$29,15,FALSE)+($F33+($F33*0.5*($D33-1)))*(AA$3-1)</f>
        <v>31699</v>
      </c>
      <c r="AB33" s="142">
        <f>VLOOKUP($C$31,Servant!$B$5:$AD$29,15,FALSE)+($F33+($F33*0.5*($D33-1)))*(AB$3-1)</f>
        <v>33264</v>
      </c>
      <c r="AC33" s="142">
        <f>VLOOKUP($C$31,Servant!$B$5:$AD$29,15,FALSE)+($F33+($F33*0.5*($D33-1)))*(AC$3-1)</f>
        <v>34829</v>
      </c>
      <c r="AD33" s="142">
        <f>VLOOKUP($C$31,Servant!$B$5:$AD$29,15,FALSE)+($F33+($F33*0.5*($D33-1)))*(AD$3-1)</f>
        <v>36394</v>
      </c>
      <c r="AE33" s="142">
        <f>VLOOKUP($C$31,Servant!$B$5:$AD$29,15,FALSE)+($F33+($F33*0.5*($D33-1)))*(AE$3-1)</f>
        <v>37959</v>
      </c>
      <c r="AF33" s="142">
        <f>VLOOKUP($C$31,Servant!$B$5:$AD$29,15,FALSE)+($F33+($F33*0.5*($D33-1)))*(AF$3-1)</f>
        <v>39524</v>
      </c>
      <c r="AG33" s="142">
        <f>VLOOKUP($C$31,Servant!$B$5:$AD$29,15,FALSE)+($F33+($F33*0.5*($D33-1)))*(AG$3-1)</f>
        <v>41089</v>
      </c>
      <c r="AH33" s="142">
        <f>VLOOKUP($C$31,Servant!$B$5:$AD$29,15,FALSE)+($F33+($F33*0.5*($D33-1)))*(AH$3-1)</f>
        <v>42654</v>
      </c>
      <c r="AI33" s="142">
        <f>VLOOKUP($C$31,Servant!$B$5:$AD$29,15,FALSE)+($F33+($F33*0.5*($D33-1)))*(AI$3-1)</f>
        <v>44219</v>
      </c>
      <c r="AJ33" s="142">
        <f>VLOOKUP($C$31,Servant!$B$5:$AD$29,15,FALSE)+($F33+($F33*0.5*($D33-1)))*(AJ$3-1)</f>
        <v>45784</v>
      </c>
      <c r="AK33" s="142">
        <f>VLOOKUP($C$31,Servant!$B$5:$AD$29,15,FALSE)+($F33+($F33*0.5*($D33-1)))*(AK$3-1)</f>
        <v>47349</v>
      </c>
    </row>
    <row r="34" spans="2:37" x14ac:dyDescent="0.3">
      <c r="B34" s="309"/>
      <c r="C34" s="318" t="s">
        <v>307</v>
      </c>
      <c r="D34" s="127">
        <v>2</v>
      </c>
      <c r="E34" s="120">
        <f>VLOOKUP($C$34,ServantLevelUPdStatus!$B$5:$AD$29,3,FALSE)+(VLOOKUP($C$34,ServantLevelUPdStatus!$B$5:$AD$29,3,FALSE)*0.5*(Simulator_HP!$D34-1))</f>
        <v>990</v>
      </c>
      <c r="F34" s="120">
        <f>VLOOKUP($C$34,ServantLevelUPdStatus!$B$5:$AD$29,3,FALSE)</f>
        <v>660</v>
      </c>
      <c r="H34" s="113">
        <f>VLOOKUP($C$34,Servant!$B$5:$AD$29,15,FALSE)+($F34+($F34*0.5*($D34-1)))*(H$3-1)</f>
        <v>2070</v>
      </c>
      <c r="I34" s="113">
        <f>VLOOKUP($C$34,Servant!$B$5:$AD$29,15,FALSE)+($F34+($F34*0.5*($D34-1)))*(I$3-1)</f>
        <v>3060</v>
      </c>
      <c r="J34" s="113">
        <f>VLOOKUP($C$34,Servant!$B$5:$AD$29,15,FALSE)+($F34+($F34*0.5*($D34-1)))*(J$3-1)</f>
        <v>4050</v>
      </c>
      <c r="K34" s="113">
        <f>VLOOKUP($C$34,Servant!$B$5:$AD$29,15,FALSE)+($F34+($F34*0.5*($D34-1)))*(K$3-1)</f>
        <v>5040</v>
      </c>
      <c r="L34" s="113">
        <f>VLOOKUP($C$34,Servant!$B$5:$AD$29,15,FALSE)+($F34+($F34*0.5*($D34-1)))*(L$3-1)</f>
        <v>6030</v>
      </c>
      <c r="M34" s="113">
        <f>VLOOKUP($C$34,Servant!$B$5:$AD$29,15,FALSE)+($F34+($F34*0.5*($D34-1)))*(M$3-1)</f>
        <v>7020</v>
      </c>
      <c r="N34" s="113">
        <f>VLOOKUP($C$34,Servant!$B$5:$AD$29,15,FALSE)+($F34+($F34*0.5*($D34-1)))*(N$3-1)</f>
        <v>8010</v>
      </c>
      <c r="O34" s="113">
        <f>VLOOKUP($C$34,Servant!$B$5:$AD$29,15,FALSE)+($F34+($F34*0.5*($D34-1)))*(O$3-1)</f>
        <v>9000</v>
      </c>
      <c r="P34" s="113">
        <f>VLOOKUP($C$34,Servant!$B$5:$AD$29,15,FALSE)+($F34+($F34*0.5*($D34-1)))*(P$3-1)</f>
        <v>9990</v>
      </c>
      <c r="Q34" s="113">
        <f>VLOOKUP($C$34,Servant!$B$5:$AD$29,15,FALSE)+($F34+($F34*0.5*($D34-1)))*(Q$3-1)</f>
        <v>10980</v>
      </c>
      <c r="R34" s="113">
        <f>VLOOKUP($C$34,Servant!$B$5:$AD$29,15,FALSE)+($F34+($F34*0.5*($D34-1)))*(R$3-1)</f>
        <v>11970</v>
      </c>
      <c r="S34" s="113">
        <f>VLOOKUP($C$34,Servant!$B$5:$AD$29,15,FALSE)+($F34+($F34*0.5*($D34-1)))*(S$3-1)</f>
        <v>12960</v>
      </c>
      <c r="T34" s="113">
        <f>VLOOKUP($C$34,Servant!$B$5:$AD$29,15,FALSE)+($F34+($F34*0.5*($D34-1)))*(T$3-1)</f>
        <v>13950</v>
      </c>
      <c r="U34" s="113">
        <f>VLOOKUP($C$34,Servant!$B$5:$AD$29,15,FALSE)+($F34+($F34*0.5*($D34-1)))*(U$3-1)</f>
        <v>14940</v>
      </c>
      <c r="V34" s="113">
        <f>VLOOKUP($C$34,Servant!$B$5:$AD$29,15,FALSE)+($F34+($F34*0.5*($D34-1)))*(V$3-1)</f>
        <v>15930</v>
      </c>
      <c r="W34" s="113">
        <f>VLOOKUP($C$34,Servant!$B$5:$AD$29,15,FALSE)+($F34+($F34*0.5*($D34-1)))*(W$3-1)</f>
        <v>16920</v>
      </c>
      <c r="X34" s="113">
        <f>VLOOKUP($C$34,Servant!$B$5:$AD$29,15,FALSE)+($F34+($F34*0.5*($D34-1)))*(X$3-1)</f>
        <v>17910</v>
      </c>
      <c r="Y34" s="113">
        <f>VLOOKUP($C$34,Servant!$B$5:$AD$29,15,FALSE)+($F34+($F34*0.5*($D34-1)))*(Y$3-1)</f>
        <v>18900</v>
      </c>
      <c r="Z34" s="113">
        <f>VLOOKUP($C$34,Servant!$B$5:$AD$29,15,FALSE)+($F34+($F34*0.5*($D34-1)))*(Z$3-1)</f>
        <v>19890</v>
      </c>
      <c r="AA34" s="113">
        <f>VLOOKUP($C$34,Servant!$B$5:$AD$29,15,FALSE)+($F34+($F34*0.5*($D34-1)))*(AA$3-1)</f>
        <v>20880</v>
      </c>
      <c r="AB34" s="113">
        <f>VLOOKUP($C$34,Servant!$B$5:$AD$29,15,FALSE)+($F34+($F34*0.5*($D34-1)))*(AB$3-1)</f>
        <v>21870</v>
      </c>
      <c r="AC34" s="113">
        <f>VLOOKUP($C$34,Servant!$B$5:$AD$29,15,FALSE)+($F34+($F34*0.5*($D34-1)))*(AC$3-1)</f>
        <v>22860</v>
      </c>
      <c r="AD34" s="113">
        <f>VLOOKUP($C$34,Servant!$B$5:$AD$29,15,FALSE)+($F34+($F34*0.5*($D34-1)))*(AD$3-1)</f>
        <v>23850</v>
      </c>
      <c r="AE34" s="113">
        <f>VLOOKUP($C$34,Servant!$B$5:$AD$29,15,FALSE)+($F34+($F34*0.5*($D34-1)))*(AE$3-1)</f>
        <v>24840</v>
      </c>
      <c r="AF34" s="113">
        <f>VLOOKUP($C$34,Servant!$B$5:$AD$29,15,FALSE)+($F34+($F34*0.5*($D34-1)))*(AF$3-1)</f>
        <v>25830</v>
      </c>
      <c r="AG34" s="113">
        <f>VLOOKUP($C$34,Servant!$B$5:$AD$29,15,FALSE)+($F34+($F34*0.5*($D34-1)))*(AG$3-1)</f>
        <v>26820</v>
      </c>
      <c r="AH34" s="113">
        <f>VLOOKUP($C$34,Servant!$B$5:$AD$29,15,FALSE)+($F34+($F34*0.5*($D34-1)))*(AH$3-1)</f>
        <v>27810</v>
      </c>
      <c r="AI34" s="113">
        <f>VLOOKUP($C$34,Servant!$B$5:$AD$29,15,FALSE)+($F34+($F34*0.5*($D34-1)))*(AI$3-1)</f>
        <v>28800</v>
      </c>
      <c r="AJ34" s="113">
        <f>VLOOKUP($C$34,Servant!$B$5:$AD$29,15,FALSE)+($F34+($F34*0.5*($D34-1)))*(AJ$3-1)</f>
        <v>29790</v>
      </c>
      <c r="AK34" s="113">
        <f>VLOOKUP($C$34,Servant!$B$5:$AD$29,15,FALSE)+($F34+($F34*0.5*($D34-1)))*(AK$3-1)</f>
        <v>30780</v>
      </c>
    </row>
    <row r="35" spans="2:37" x14ac:dyDescent="0.3">
      <c r="B35" s="309"/>
      <c r="C35" s="318"/>
      <c r="D35" s="127">
        <v>3</v>
      </c>
      <c r="E35" s="120">
        <f>VLOOKUP($C$34,ServantLevelUPdStatus!$B$5:$AD$29,3,FALSE)+(VLOOKUP($C$34,ServantLevelUPdStatus!$B$5:$AD$29,3,FALSE)*0.5*(Simulator_HP!$D35-1))</f>
        <v>1320</v>
      </c>
      <c r="F35" s="119">
        <f>F34</f>
        <v>660</v>
      </c>
      <c r="H35" s="113">
        <f>VLOOKUP($C$34,Servant!$B$5:$AD$29,15,FALSE)+($F35+($F35*0.5*($D35-1)))*(H$3-1)</f>
        <v>2070</v>
      </c>
      <c r="I35" s="113">
        <f>VLOOKUP($C$34,Servant!$B$5:$AD$29,15,FALSE)+($F35+($F35*0.5*($D35-1)))*(I$3-1)</f>
        <v>3390</v>
      </c>
      <c r="J35" s="113">
        <f>VLOOKUP($C$34,Servant!$B$5:$AD$29,15,FALSE)+($F35+($F35*0.5*($D35-1)))*(J$3-1)</f>
        <v>4710</v>
      </c>
      <c r="K35" s="113">
        <f>VLOOKUP($C$34,Servant!$B$5:$AD$29,15,FALSE)+($F35+($F35*0.5*($D35-1)))*(K$3-1)</f>
        <v>6030</v>
      </c>
      <c r="L35" s="113">
        <f>VLOOKUP($C$34,Servant!$B$5:$AD$29,15,FALSE)+($F35+($F35*0.5*($D35-1)))*(L$3-1)</f>
        <v>7350</v>
      </c>
      <c r="M35" s="113">
        <f>VLOOKUP($C$34,Servant!$B$5:$AD$29,15,FALSE)+($F35+($F35*0.5*($D35-1)))*(M$3-1)</f>
        <v>8670</v>
      </c>
      <c r="N35" s="113">
        <f>VLOOKUP($C$34,Servant!$B$5:$AD$29,15,FALSE)+($F35+($F35*0.5*($D35-1)))*(N$3-1)</f>
        <v>9990</v>
      </c>
      <c r="O35" s="113">
        <f>VLOOKUP($C$34,Servant!$B$5:$AD$29,15,FALSE)+($F35+($F35*0.5*($D35-1)))*(O$3-1)</f>
        <v>11310</v>
      </c>
      <c r="P35" s="113">
        <f>VLOOKUP($C$34,Servant!$B$5:$AD$29,15,FALSE)+($F35+($F35*0.5*($D35-1)))*(P$3-1)</f>
        <v>12630</v>
      </c>
      <c r="Q35" s="113">
        <f>VLOOKUP($C$34,Servant!$B$5:$AD$29,15,FALSE)+($F35+($F35*0.5*($D35-1)))*(Q$3-1)</f>
        <v>13950</v>
      </c>
      <c r="R35" s="113">
        <f>VLOOKUP($C$34,Servant!$B$5:$AD$29,15,FALSE)+($F35+($F35*0.5*($D35-1)))*(R$3-1)</f>
        <v>15270</v>
      </c>
      <c r="S35" s="113">
        <f>VLOOKUP($C$34,Servant!$B$5:$AD$29,15,FALSE)+($F35+($F35*0.5*($D35-1)))*(S$3-1)</f>
        <v>16590</v>
      </c>
      <c r="T35" s="113">
        <f>VLOOKUP($C$34,Servant!$B$5:$AD$29,15,FALSE)+($F35+($F35*0.5*($D35-1)))*(T$3-1)</f>
        <v>17910</v>
      </c>
      <c r="U35" s="113">
        <f>VLOOKUP($C$34,Servant!$B$5:$AD$29,15,FALSE)+($F35+($F35*0.5*($D35-1)))*(U$3-1)</f>
        <v>19230</v>
      </c>
      <c r="V35" s="113">
        <f>VLOOKUP($C$34,Servant!$B$5:$AD$29,15,FALSE)+($F35+($F35*0.5*($D35-1)))*(V$3-1)</f>
        <v>20550</v>
      </c>
      <c r="W35" s="113">
        <f>VLOOKUP($C$34,Servant!$B$5:$AD$29,15,FALSE)+($F35+($F35*0.5*($D35-1)))*(W$3-1)</f>
        <v>21870</v>
      </c>
      <c r="X35" s="113">
        <f>VLOOKUP($C$34,Servant!$B$5:$AD$29,15,FALSE)+($F35+($F35*0.5*($D35-1)))*(X$3-1)</f>
        <v>23190</v>
      </c>
      <c r="Y35" s="113">
        <f>VLOOKUP($C$34,Servant!$B$5:$AD$29,15,FALSE)+($F35+($F35*0.5*($D35-1)))*(Y$3-1)</f>
        <v>24510</v>
      </c>
      <c r="Z35" s="113">
        <f>VLOOKUP($C$34,Servant!$B$5:$AD$29,15,FALSE)+($F35+($F35*0.5*($D35-1)))*(Z$3-1)</f>
        <v>25830</v>
      </c>
      <c r="AA35" s="113">
        <f>VLOOKUP($C$34,Servant!$B$5:$AD$29,15,FALSE)+($F35+($F35*0.5*($D35-1)))*(AA$3-1)</f>
        <v>27150</v>
      </c>
      <c r="AB35" s="113">
        <f>VLOOKUP($C$34,Servant!$B$5:$AD$29,15,FALSE)+($F35+($F35*0.5*($D35-1)))*(AB$3-1)</f>
        <v>28470</v>
      </c>
      <c r="AC35" s="113">
        <f>VLOOKUP($C$34,Servant!$B$5:$AD$29,15,FALSE)+($F35+($F35*0.5*($D35-1)))*(AC$3-1)</f>
        <v>29790</v>
      </c>
      <c r="AD35" s="113">
        <f>VLOOKUP($C$34,Servant!$B$5:$AD$29,15,FALSE)+($F35+($F35*0.5*($D35-1)))*(AD$3-1)</f>
        <v>31110</v>
      </c>
      <c r="AE35" s="113">
        <f>VLOOKUP($C$34,Servant!$B$5:$AD$29,15,FALSE)+($F35+($F35*0.5*($D35-1)))*(AE$3-1)</f>
        <v>32430</v>
      </c>
      <c r="AF35" s="113">
        <f>VLOOKUP($C$34,Servant!$B$5:$AD$29,15,FALSE)+($F35+($F35*0.5*($D35-1)))*(AF$3-1)</f>
        <v>33750</v>
      </c>
      <c r="AG35" s="113">
        <f>VLOOKUP($C$34,Servant!$B$5:$AD$29,15,FALSE)+($F35+($F35*0.5*($D35-1)))*(AG$3-1)</f>
        <v>35070</v>
      </c>
      <c r="AH35" s="113">
        <f>VLOOKUP($C$34,Servant!$B$5:$AD$29,15,FALSE)+($F35+($F35*0.5*($D35-1)))*(AH$3-1)</f>
        <v>36390</v>
      </c>
      <c r="AI35" s="113">
        <f>VLOOKUP($C$34,Servant!$B$5:$AD$29,15,FALSE)+($F35+($F35*0.5*($D35-1)))*(AI$3-1)</f>
        <v>37710</v>
      </c>
      <c r="AJ35" s="113">
        <f>VLOOKUP($C$34,Servant!$B$5:$AD$29,15,FALSE)+($F35+($F35*0.5*($D35-1)))*(AJ$3-1)</f>
        <v>39030</v>
      </c>
      <c r="AK35" s="113">
        <f>VLOOKUP($C$34,Servant!$B$5:$AD$29,15,FALSE)+($F35+($F35*0.5*($D35-1)))*(AK$3-1)</f>
        <v>40350</v>
      </c>
    </row>
    <row r="36" spans="2:37" x14ac:dyDescent="0.3">
      <c r="B36" s="309"/>
      <c r="C36" s="318"/>
      <c r="D36" s="127">
        <v>4</v>
      </c>
      <c r="E36" s="120">
        <f>VLOOKUP($C$34,ServantLevelUPdStatus!$B$5:$AD$29,3,FALSE)+(VLOOKUP($C$34,ServantLevelUPdStatus!$B$5:$AD$29,3,FALSE)*0.5*(Simulator_HP!$D36-1))</f>
        <v>1650</v>
      </c>
      <c r="F36" s="119">
        <f>F35</f>
        <v>660</v>
      </c>
      <c r="H36" s="113">
        <f>VLOOKUP($C$34,Servant!$B$5:$AD$29,15,FALSE)+($F36+($F36*0.5*($D36-1)))*(H$3-1)</f>
        <v>2070</v>
      </c>
      <c r="I36" s="113">
        <f>VLOOKUP($C$34,Servant!$B$5:$AD$29,15,FALSE)+($F36+($F36*0.5*($D36-1)))*(I$3-1)</f>
        <v>3720</v>
      </c>
      <c r="J36" s="113">
        <f>VLOOKUP($C$34,Servant!$B$5:$AD$29,15,FALSE)+($F36+($F36*0.5*($D36-1)))*(J$3-1)</f>
        <v>5370</v>
      </c>
      <c r="K36" s="113">
        <f>VLOOKUP($C$34,Servant!$B$5:$AD$29,15,FALSE)+($F36+($F36*0.5*($D36-1)))*(K$3-1)</f>
        <v>7020</v>
      </c>
      <c r="L36" s="113">
        <f>VLOOKUP($C$34,Servant!$B$5:$AD$29,15,FALSE)+($F36+($F36*0.5*($D36-1)))*(L$3-1)</f>
        <v>8670</v>
      </c>
      <c r="M36" s="113">
        <f>VLOOKUP($C$34,Servant!$B$5:$AD$29,15,FALSE)+($F36+($F36*0.5*($D36-1)))*(M$3-1)</f>
        <v>10320</v>
      </c>
      <c r="N36" s="113">
        <f>VLOOKUP($C$34,Servant!$B$5:$AD$29,15,FALSE)+($F36+($F36*0.5*($D36-1)))*(N$3-1)</f>
        <v>11970</v>
      </c>
      <c r="O36" s="113">
        <f>VLOOKUP($C$34,Servant!$B$5:$AD$29,15,FALSE)+($F36+($F36*0.5*($D36-1)))*(O$3-1)</f>
        <v>13620</v>
      </c>
      <c r="P36" s="113">
        <f>VLOOKUP($C$34,Servant!$B$5:$AD$29,15,FALSE)+($F36+($F36*0.5*($D36-1)))*(P$3-1)</f>
        <v>15270</v>
      </c>
      <c r="Q36" s="113">
        <f>VLOOKUP($C$34,Servant!$B$5:$AD$29,15,FALSE)+($F36+($F36*0.5*($D36-1)))*(Q$3-1)</f>
        <v>16920</v>
      </c>
      <c r="R36" s="113">
        <f>VLOOKUP($C$34,Servant!$B$5:$AD$29,15,FALSE)+($F36+($F36*0.5*($D36-1)))*(R$3-1)</f>
        <v>18570</v>
      </c>
      <c r="S36" s="113">
        <f>VLOOKUP($C$34,Servant!$B$5:$AD$29,15,FALSE)+($F36+($F36*0.5*($D36-1)))*(S$3-1)</f>
        <v>20220</v>
      </c>
      <c r="T36" s="113">
        <f>VLOOKUP($C$34,Servant!$B$5:$AD$29,15,FALSE)+($F36+($F36*0.5*($D36-1)))*(T$3-1)</f>
        <v>21870</v>
      </c>
      <c r="U36" s="113">
        <f>VLOOKUP($C$34,Servant!$B$5:$AD$29,15,FALSE)+($F36+($F36*0.5*($D36-1)))*(U$3-1)</f>
        <v>23520</v>
      </c>
      <c r="V36" s="113">
        <f>VLOOKUP($C$34,Servant!$B$5:$AD$29,15,FALSE)+($F36+($F36*0.5*($D36-1)))*(V$3-1)</f>
        <v>25170</v>
      </c>
      <c r="W36" s="113">
        <f>VLOOKUP($C$34,Servant!$B$5:$AD$29,15,FALSE)+($F36+($F36*0.5*($D36-1)))*(W$3-1)</f>
        <v>26820</v>
      </c>
      <c r="X36" s="113">
        <f>VLOOKUP($C$34,Servant!$B$5:$AD$29,15,FALSE)+($F36+($F36*0.5*($D36-1)))*(X$3-1)</f>
        <v>28470</v>
      </c>
      <c r="Y36" s="113">
        <f>VLOOKUP($C$34,Servant!$B$5:$AD$29,15,FALSE)+($F36+($F36*0.5*($D36-1)))*(Y$3-1)</f>
        <v>30120</v>
      </c>
      <c r="Z36" s="113">
        <f>VLOOKUP($C$34,Servant!$B$5:$AD$29,15,FALSE)+($F36+($F36*0.5*($D36-1)))*(Z$3-1)</f>
        <v>31770</v>
      </c>
      <c r="AA36" s="113">
        <f>VLOOKUP($C$34,Servant!$B$5:$AD$29,15,FALSE)+($F36+($F36*0.5*($D36-1)))*(AA$3-1)</f>
        <v>33420</v>
      </c>
      <c r="AB36" s="113">
        <f>VLOOKUP($C$34,Servant!$B$5:$AD$29,15,FALSE)+($F36+($F36*0.5*($D36-1)))*(AB$3-1)</f>
        <v>35070</v>
      </c>
      <c r="AC36" s="113">
        <f>VLOOKUP($C$34,Servant!$B$5:$AD$29,15,FALSE)+($F36+($F36*0.5*($D36-1)))*(AC$3-1)</f>
        <v>36720</v>
      </c>
      <c r="AD36" s="113">
        <f>VLOOKUP($C$34,Servant!$B$5:$AD$29,15,FALSE)+($F36+($F36*0.5*($D36-1)))*(AD$3-1)</f>
        <v>38370</v>
      </c>
      <c r="AE36" s="113">
        <f>VLOOKUP($C$34,Servant!$B$5:$AD$29,15,FALSE)+($F36+($F36*0.5*($D36-1)))*(AE$3-1)</f>
        <v>40020</v>
      </c>
      <c r="AF36" s="113">
        <f>VLOOKUP($C$34,Servant!$B$5:$AD$29,15,FALSE)+($F36+($F36*0.5*($D36-1)))*(AF$3-1)</f>
        <v>41670</v>
      </c>
      <c r="AG36" s="113">
        <f>VLOOKUP($C$34,Servant!$B$5:$AD$29,15,FALSE)+($F36+($F36*0.5*($D36-1)))*(AG$3-1)</f>
        <v>43320</v>
      </c>
      <c r="AH36" s="113">
        <f>VLOOKUP($C$34,Servant!$B$5:$AD$29,15,FALSE)+($F36+($F36*0.5*($D36-1)))*(AH$3-1)</f>
        <v>44970</v>
      </c>
      <c r="AI36" s="113">
        <f>VLOOKUP($C$34,Servant!$B$5:$AD$29,15,FALSE)+($F36+($F36*0.5*($D36-1)))*(AI$3-1)</f>
        <v>46620</v>
      </c>
      <c r="AJ36" s="113">
        <f>VLOOKUP($C$34,Servant!$B$5:$AD$29,15,FALSE)+($F36+($F36*0.5*($D36-1)))*(AJ$3-1)</f>
        <v>48270</v>
      </c>
      <c r="AK36" s="113">
        <f>VLOOKUP($C$34,Servant!$B$5:$AD$29,15,FALSE)+($F36+($F36*0.5*($D36-1)))*(AK$3-1)</f>
        <v>49920</v>
      </c>
    </row>
    <row r="37" spans="2:37" x14ac:dyDescent="0.3">
      <c r="B37" s="309"/>
      <c r="C37" s="319" t="s">
        <v>308</v>
      </c>
      <c r="D37" s="140">
        <v>2</v>
      </c>
      <c r="E37" s="141">
        <f>VLOOKUP($C$37,ServantLevelUPdStatus!$B$5:$AD$29,3,FALSE)+(VLOOKUP($C$37,ServantLevelUPdStatus!$B$5:$AD$29,3,FALSE)*0.5*(Simulator_HP!$D37-1))</f>
        <v>1030.5</v>
      </c>
      <c r="F37" s="141">
        <f>VLOOKUP($C$37,ServantLevelUPdStatus!$B$5:$AD$29,3,FALSE)</f>
        <v>687</v>
      </c>
      <c r="H37" s="142">
        <f>VLOOKUP($C$37,Servant!$B$5:$AD$29,15,FALSE)+($F37+($F37*0.5*($D37-1)))*(H$3-1)</f>
        <v>2156</v>
      </c>
      <c r="I37" s="142">
        <f>VLOOKUP($C$37,Servant!$B$5:$AD$29,15,FALSE)+($F37+($F37*0.5*($D37-1)))*(I$3-1)</f>
        <v>3186.5</v>
      </c>
      <c r="J37" s="142">
        <f>VLOOKUP($C$37,Servant!$B$5:$AD$29,15,FALSE)+($F37+($F37*0.5*($D37-1)))*(J$3-1)</f>
        <v>4217</v>
      </c>
      <c r="K37" s="142">
        <f>VLOOKUP($C$37,Servant!$B$5:$AD$29,15,FALSE)+($F37+($F37*0.5*($D37-1)))*(K$3-1)</f>
        <v>5247.5</v>
      </c>
      <c r="L37" s="142">
        <f>VLOOKUP($C$37,Servant!$B$5:$AD$29,15,FALSE)+($F37+($F37*0.5*($D37-1)))*(L$3-1)</f>
        <v>6278</v>
      </c>
      <c r="M37" s="142">
        <f>VLOOKUP($C$37,Servant!$B$5:$AD$29,15,FALSE)+($F37+($F37*0.5*($D37-1)))*(M$3-1)</f>
        <v>7308.5</v>
      </c>
      <c r="N37" s="142">
        <f>VLOOKUP($C$37,Servant!$B$5:$AD$29,15,FALSE)+($F37+($F37*0.5*($D37-1)))*(N$3-1)</f>
        <v>8339</v>
      </c>
      <c r="O37" s="142">
        <f>VLOOKUP($C$37,Servant!$B$5:$AD$29,15,FALSE)+($F37+($F37*0.5*($D37-1)))*(O$3-1)</f>
        <v>9369.5</v>
      </c>
      <c r="P37" s="142">
        <f>VLOOKUP($C$37,Servant!$B$5:$AD$29,15,FALSE)+($F37+($F37*0.5*($D37-1)))*(P$3-1)</f>
        <v>10400</v>
      </c>
      <c r="Q37" s="142">
        <f>VLOOKUP($C$37,Servant!$B$5:$AD$29,15,FALSE)+($F37+($F37*0.5*($D37-1)))*(Q$3-1)</f>
        <v>11430.5</v>
      </c>
      <c r="R37" s="142">
        <f>VLOOKUP($C$37,Servant!$B$5:$AD$29,15,FALSE)+($F37+($F37*0.5*($D37-1)))*(R$3-1)</f>
        <v>12461</v>
      </c>
      <c r="S37" s="142">
        <f>VLOOKUP($C$37,Servant!$B$5:$AD$29,15,FALSE)+($F37+($F37*0.5*($D37-1)))*(S$3-1)</f>
        <v>13491.5</v>
      </c>
      <c r="T37" s="142">
        <f>VLOOKUP($C$37,Servant!$B$5:$AD$29,15,FALSE)+($F37+($F37*0.5*($D37-1)))*(T$3-1)</f>
        <v>14522</v>
      </c>
      <c r="U37" s="142">
        <f>VLOOKUP($C$37,Servant!$B$5:$AD$29,15,FALSE)+($F37+($F37*0.5*($D37-1)))*(U$3-1)</f>
        <v>15552.5</v>
      </c>
      <c r="V37" s="142">
        <f>VLOOKUP($C$37,Servant!$B$5:$AD$29,15,FALSE)+($F37+($F37*0.5*($D37-1)))*(V$3-1)</f>
        <v>16583</v>
      </c>
      <c r="W37" s="142">
        <f>VLOOKUP($C$37,Servant!$B$5:$AD$29,15,FALSE)+($F37+($F37*0.5*($D37-1)))*(W$3-1)</f>
        <v>17613.5</v>
      </c>
      <c r="X37" s="142">
        <f>VLOOKUP($C$37,Servant!$B$5:$AD$29,15,FALSE)+($F37+($F37*0.5*($D37-1)))*(X$3-1)</f>
        <v>18644</v>
      </c>
      <c r="Y37" s="142">
        <f>VLOOKUP($C$37,Servant!$B$5:$AD$29,15,FALSE)+($F37+($F37*0.5*($D37-1)))*(Y$3-1)</f>
        <v>19674.5</v>
      </c>
      <c r="Z37" s="142">
        <f>VLOOKUP($C$37,Servant!$B$5:$AD$29,15,FALSE)+($F37+($F37*0.5*($D37-1)))*(Z$3-1)</f>
        <v>20705</v>
      </c>
      <c r="AA37" s="142">
        <f>VLOOKUP($C$37,Servant!$B$5:$AD$29,15,FALSE)+($F37+($F37*0.5*($D37-1)))*(AA$3-1)</f>
        <v>21735.5</v>
      </c>
      <c r="AB37" s="142">
        <f>VLOOKUP($C$37,Servant!$B$5:$AD$29,15,FALSE)+($F37+($F37*0.5*($D37-1)))*(AB$3-1)</f>
        <v>22766</v>
      </c>
      <c r="AC37" s="142">
        <f>VLOOKUP($C$37,Servant!$B$5:$AD$29,15,FALSE)+($F37+($F37*0.5*($D37-1)))*(AC$3-1)</f>
        <v>23796.5</v>
      </c>
      <c r="AD37" s="142">
        <f>VLOOKUP($C$37,Servant!$B$5:$AD$29,15,FALSE)+($F37+($F37*0.5*($D37-1)))*(AD$3-1)</f>
        <v>24827</v>
      </c>
      <c r="AE37" s="142">
        <f>VLOOKUP($C$37,Servant!$B$5:$AD$29,15,FALSE)+($F37+($F37*0.5*($D37-1)))*(AE$3-1)</f>
        <v>25857.5</v>
      </c>
      <c r="AF37" s="142">
        <f>VLOOKUP($C$37,Servant!$B$5:$AD$29,15,FALSE)+($F37+($F37*0.5*($D37-1)))*(AF$3-1)</f>
        <v>26888</v>
      </c>
      <c r="AG37" s="142">
        <f>VLOOKUP($C$37,Servant!$B$5:$AD$29,15,FALSE)+($F37+($F37*0.5*($D37-1)))*(AG$3-1)</f>
        <v>27918.5</v>
      </c>
      <c r="AH37" s="142">
        <f>VLOOKUP($C$37,Servant!$B$5:$AD$29,15,FALSE)+($F37+($F37*0.5*($D37-1)))*(AH$3-1)</f>
        <v>28949</v>
      </c>
      <c r="AI37" s="142">
        <f>VLOOKUP($C$37,Servant!$B$5:$AD$29,15,FALSE)+($F37+($F37*0.5*($D37-1)))*(AI$3-1)</f>
        <v>29979.5</v>
      </c>
      <c r="AJ37" s="142">
        <f>VLOOKUP($C$37,Servant!$B$5:$AD$29,15,FALSE)+($F37+($F37*0.5*($D37-1)))*(AJ$3-1)</f>
        <v>31010</v>
      </c>
      <c r="AK37" s="142">
        <f>VLOOKUP($C$37,Servant!$B$5:$AD$29,15,FALSE)+($F37+($F37*0.5*($D37-1)))*(AK$3-1)</f>
        <v>32040.5</v>
      </c>
    </row>
    <row r="38" spans="2:37" x14ac:dyDescent="0.3">
      <c r="B38" s="309"/>
      <c r="C38" s="319"/>
      <c r="D38" s="140">
        <v>3</v>
      </c>
      <c r="E38" s="141">
        <f>VLOOKUP($C$37,ServantLevelUPdStatus!$B$5:$AD$29,3,FALSE)+(VLOOKUP($C$37,ServantLevelUPdStatus!$B$5:$AD$29,3,FALSE)*0.5*(Simulator_HP!$D38-1))</f>
        <v>1374</v>
      </c>
      <c r="F38" s="143">
        <f>F37</f>
        <v>687</v>
      </c>
      <c r="H38" s="142">
        <f>VLOOKUP($C$37,Servant!$B$5:$AD$29,15,FALSE)+($F38+($F38*0.5*($D38-1)))*(H$3-1)</f>
        <v>2156</v>
      </c>
      <c r="I38" s="142">
        <f>VLOOKUP($C$37,Servant!$B$5:$AD$29,15,FALSE)+($F38+($F38*0.5*($D38-1)))*(I$3-1)</f>
        <v>3530</v>
      </c>
      <c r="J38" s="142">
        <f>VLOOKUP($C$37,Servant!$B$5:$AD$29,15,FALSE)+($F38+($F38*0.5*($D38-1)))*(J$3-1)</f>
        <v>4904</v>
      </c>
      <c r="K38" s="142">
        <f>VLOOKUP($C$37,Servant!$B$5:$AD$29,15,FALSE)+($F38+($F38*0.5*($D38-1)))*(K$3-1)</f>
        <v>6278</v>
      </c>
      <c r="L38" s="142">
        <f>VLOOKUP($C$37,Servant!$B$5:$AD$29,15,FALSE)+($F38+($F38*0.5*($D38-1)))*(L$3-1)</f>
        <v>7652</v>
      </c>
      <c r="M38" s="142">
        <f>VLOOKUP($C$37,Servant!$B$5:$AD$29,15,FALSE)+($F38+($F38*0.5*($D38-1)))*(M$3-1)</f>
        <v>9026</v>
      </c>
      <c r="N38" s="142">
        <f>VLOOKUP($C$37,Servant!$B$5:$AD$29,15,FALSE)+($F38+($F38*0.5*($D38-1)))*(N$3-1)</f>
        <v>10400</v>
      </c>
      <c r="O38" s="142">
        <f>VLOOKUP($C$37,Servant!$B$5:$AD$29,15,FALSE)+($F38+($F38*0.5*($D38-1)))*(O$3-1)</f>
        <v>11774</v>
      </c>
      <c r="P38" s="142">
        <f>VLOOKUP($C$37,Servant!$B$5:$AD$29,15,FALSE)+($F38+($F38*0.5*($D38-1)))*(P$3-1)</f>
        <v>13148</v>
      </c>
      <c r="Q38" s="142">
        <f>VLOOKUP($C$37,Servant!$B$5:$AD$29,15,FALSE)+($F38+($F38*0.5*($D38-1)))*(Q$3-1)</f>
        <v>14522</v>
      </c>
      <c r="R38" s="142">
        <f>VLOOKUP($C$37,Servant!$B$5:$AD$29,15,FALSE)+($F38+($F38*0.5*($D38-1)))*(R$3-1)</f>
        <v>15896</v>
      </c>
      <c r="S38" s="142">
        <f>VLOOKUP($C$37,Servant!$B$5:$AD$29,15,FALSE)+($F38+($F38*0.5*($D38-1)))*(S$3-1)</f>
        <v>17270</v>
      </c>
      <c r="T38" s="142">
        <f>VLOOKUP($C$37,Servant!$B$5:$AD$29,15,FALSE)+($F38+($F38*0.5*($D38-1)))*(T$3-1)</f>
        <v>18644</v>
      </c>
      <c r="U38" s="142">
        <f>VLOOKUP($C$37,Servant!$B$5:$AD$29,15,FALSE)+($F38+($F38*0.5*($D38-1)))*(U$3-1)</f>
        <v>20018</v>
      </c>
      <c r="V38" s="142">
        <f>VLOOKUP($C$37,Servant!$B$5:$AD$29,15,FALSE)+($F38+($F38*0.5*($D38-1)))*(V$3-1)</f>
        <v>21392</v>
      </c>
      <c r="W38" s="142">
        <f>VLOOKUP($C$37,Servant!$B$5:$AD$29,15,FALSE)+($F38+($F38*0.5*($D38-1)))*(W$3-1)</f>
        <v>22766</v>
      </c>
      <c r="X38" s="142">
        <f>VLOOKUP($C$37,Servant!$B$5:$AD$29,15,FALSE)+($F38+($F38*0.5*($D38-1)))*(X$3-1)</f>
        <v>24140</v>
      </c>
      <c r="Y38" s="142">
        <f>VLOOKUP($C$37,Servant!$B$5:$AD$29,15,FALSE)+($F38+($F38*0.5*($D38-1)))*(Y$3-1)</f>
        <v>25514</v>
      </c>
      <c r="Z38" s="142">
        <f>VLOOKUP($C$37,Servant!$B$5:$AD$29,15,FALSE)+($F38+($F38*0.5*($D38-1)))*(Z$3-1)</f>
        <v>26888</v>
      </c>
      <c r="AA38" s="142">
        <f>VLOOKUP($C$37,Servant!$B$5:$AD$29,15,FALSE)+($F38+($F38*0.5*($D38-1)))*(AA$3-1)</f>
        <v>28262</v>
      </c>
      <c r="AB38" s="142">
        <f>VLOOKUP($C$37,Servant!$B$5:$AD$29,15,FALSE)+($F38+($F38*0.5*($D38-1)))*(AB$3-1)</f>
        <v>29636</v>
      </c>
      <c r="AC38" s="142">
        <f>VLOOKUP($C$37,Servant!$B$5:$AD$29,15,FALSE)+($F38+($F38*0.5*($D38-1)))*(AC$3-1)</f>
        <v>31010</v>
      </c>
      <c r="AD38" s="142">
        <f>VLOOKUP($C$37,Servant!$B$5:$AD$29,15,FALSE)+($F38+($F38*0.5*($D38-1)))*(AD$3-1)</f>
        <v>32384</v>
      </c>
      <c r="AE38" s="142">
        <f>VLOOKUP($C$37,Servant!$B$5:$AD$29,15,FALSE)+($F38+($F38*0.5*($D38-1)))*(AE$3-1)</f>
        <v>33758</v>
      </c>
      <c r="AF38" s="142">
        <f>VLOOKUP($C$37,Servant!$B$5:$AD$29,15,FALSE)+($F38+($F38*0.5*($D38-1)))*(AF$3-1)</f>
        <v>35132</v>
      </c>
      <c r="AG38" s="142">
        <f>VLOOKUP($C$37,Servant!$B$5:$AD$29,15,FALSE)+($F38+($F38*0.5*($D38-1)))*(AG$3-1)</f>
        <v>36506</v>
      </c>
      <c r="AH38" s="142">
        <f>VLOOKUP($C$37,Servant!$B$5:$AD$29,15,FALSE)+($F38+($F38*0.5*($D38-1)))*(AH$3-1)</f>
        <v>37880</v>
      </c>
      <c r="AI38" s="142">
        <f>VLOOKUP($C$37,Servant!$B$5:$AD$29,15,FALSE)+($F38+($F38*0.5*($D38-1)))*(AI$3-1)</f>
        <v>39254</v>
      </c>
      <c r="AJ38" s="142">
        <f>VLOOKUP($C$37,Servant!$B$5:$AD$29,15,FALSE)+($F38+($F38*0.5*($D38-1)))*(AJ$3-1)</f>
        <v>40628</v>
      </c>
      <c r="AK38" s="142">
        <f>VLOOKUP($C$37,Servant!$B$5:$AD$29,15,FALSE)+($F38+($F38*0.5*($D38-1)))*(AK$3-1)</f>
        <v>42002</v>
      </c>
    </row>
    <row r="39" spans="2:37" x14ac:dyDescent="0.3">
      <c r="B39" s="309"/>
      <c r="C39" s="319"/>
      <c r="D39" s="140">
        <v>4</v>
      </c>
      <c r="E39" s="141">
        <f>VLOOKUP($C$37,ServantLevelUPdStatus!$B$5:$AD$29,3,FALSE)+(VLOOKUP($C$37,ServantLevelUPdStatus!$B$5:$AD$29,3,FALSE)*0.5*(Simulator_HP!$D39-1))</f>
        <v>1717.5</v>
      </c>
      <c r="F39" s="143">
        <f>F38</f>
        <v>687</v>
      </c>
      <c r="H39" s="142">
        <f>VLOOKUP($C$37,Servant!$B$5:$AD$29,15,FALSE)+($F39+($F39*0.5*($D39-1)))*(H$3-1)</f>
        <v>2156</v>
      </c>
      <c r="I39" s="142">
        <f>VLOOKUP($C$37,Servant!$B$5:$AD$29,15,FALSE)+($F39+($F39*0.5*($D39-1)))*(I$3-1)</f>
        <v>3873.5</v>
      </c>
      <c r="J39" s="142">
        <f>VLOOKUP($C$37,Servant!$B$5:$AD$29,15,FALSE)+($F39+($F39*0.5*($D39-1)))*(J$3-1)</f>
        <v>5591</v>
      </c>
      <c r="K39" s="142">
        <f>VLOOKUP($C$37,Servant!$B$5:$AD$29,15,FALSE)+($F39+($F39*0.5*($D39-1)))*(K$3-1)</f>
        <v>7308.5</v>
      </c>
      <c r="L39" s="142">
        <f>VLOOKUP($C$37,Servant!$B$5:$AD$29,15,FALSE)+($F39+($F39*0.5*($D39-1)))*(L$3-1)</f>
        <v>9026</v>
      </c>
      <c r="M39" s="142">
        <f>VLOOKUP($C$37,Servant!$B$5:$AD$29,15,FALSE)+($F39+($F39*0.5*($D39-1)))*(M$3-1)</f>
        <v>10743.5</v>
      </c>
      <c r="N39" s="142">
        <f>VLOOKUP($C$37,Servant!$B$5:$AD$29,15,FALSE)+($F39+($F39*0.5*($D39-1)))*(N$3-1)</f>
        <v>12461</v>
      </c>
      <c r="O39" s="142">
        <f>VLOOKUP($C$37,Servant!$B$5:$AD$29,15,FALSE)+($F39+($F39*0.5*($D39-1)))*(O$3-1)</f>
        <v>14178.5</v>
      </c>
      <c r="P39" s="142">
        <f>VLOOKUP($C$37,Servant!$B$5:$AD$29,15,FALSE)+($F39+($F39*0.5*($D39-1)))*(P$3-1)</f>
        <v>15896</v>
      </c>
      <c r="Q39" s="142">
        <f>VLOOKUP($C$37,Servant!$B$5:$AD$29,15,FALSE)+($F39+($F39*0.5*($D39-1)))*(Q$3-1)</f>
        <v>17613.5</v>
      </c>
      <c r="R39" s="142">
        <f>VLOOKUP($C$37,Servant!$B$5:$AD$29,15,FALSE)+($F39+($F39*0.5*($D39-1)))*(R$3-1)</f>
        <v>19331</v>
      </c>
      <c r="S39" s="142">
        <f>VLOOKUP($C$37,Servant!$B$5:$AD$29,15,FALSE)+($F39+($F39*0.5*($D39-1)))*(S$3-1)</f>
        <v>21048.5</v>
      </c>
      <c r="T39" s="142">
        <f>VLOOKUP($C$37,Servant!$B$5:$AD$29,15,FALSE)+($F39+($F39*0.5*($D39-1)))*(T$3-1)</f>
        <v>22766</v>
      </c>
      <c r="U39" s="142">
        <f>VLOOKUP($C$37,Servant!$B$5:$AD$29,15,FALSE)+($F39+($F39*0.5*($D39-1)))*(U$3-1)</f>
        <v>24483.5</v>
      </c>
      <c r="V39" s="142">
        <f>VLOOKUP($C$37,Servant!$B$5:$AD$29,15,FALSE)+($F39+($F39*0.5*($D39-1)))*(V$3-1)</f>
        <v>26201</v>
      </c>
      <c r="W39" s="142">
        <f>VLOOKUP($C$37,Servant!$B$5:$AD$29,15,FALSE)+($F39+($F39*0.5*($D39-1)))*(W$3-1)</f>
        <v>27918.5</v>
      </c>
      <c r="X39" s="142">
        <f>VLOOKUP($C$37,Servant!$B$5:$AD$29,15,FALSE)+($F39+($F39*0.5*($D39-1)))*(X$3-1)</f>
        <v>29636</v>
      </c>
      <c r="Y39" s="142">
        <f>VLOOKUP($C$37,Servant!$B$5:$AD$29,15,FALSE)+($F39+($F39*0.5*($D39-1)))*(Y$3-1)</f>
        <v>31353.5</v>
      </c>
      <c r="Z39" s="142">
        <f>VLOOKUP($C$37,Servant!$B$5:$AD$29,15,FALSE)+($F39+($F39*0.5*($D39-1)))*(Z$3-1)</f>
        <v>33071</v>
      </c>
      <c r="AA39" s="142">
        <f>VLOOKUP($C$37,Servant!$B$5:$AD$29,15,FALSE)+($F39+($F39*0.5*($D39-1)))*(AA$3-1)</f>
        <v>34788.5</v>
      </c>
      <c r="AB39" s="142">
        <f>VLOOKUP($C$37,Servant!$B$5:$AD$29,15,FALSE)+($F39+($F39*0.5*($D39-1)))*(AB$3-1)</f>
        <v>36506</v>
      </c>
      <c r="AC39" s="142">
        <f>VLOOKUP($C$37,Servant!$B$5:$AD$29,15,FALSE)+($F39+($F39*0.5*($D39-1)))*(AC$3-1)</f>
        <v>38223.5</v>
      </c>
      <c r="AD39" s="142">
        <f>VLOOKUP($C$37,Servant!$B$5:$AD$29,15,FALSE)+($F39+($F39*0.5*($D39-1)))*(AD$3-1)</f>
        <v>39941</v>
      </c>
      <c r="AE39" s="142">
        <f>VLOOKUP($C$37,Servant!$B$5:$AD$29,15,FALSE)+($F39+($F39*0.5*($D39-1)))*(AE$3-1)</f>
        <v>41658.5</v>
      </c>
      <c r="AF39" s="142">
        <f>VLOOKUP($C$37,Servant!$B$5:$AD$29,15,FALSE)+($F39+($F39*0.5*($D39-1)))*(AF$3-1)</f>
        <v>43376</v>
      </c>
      <c r="AG39" s="142">
        <f>VLOOKUP($C$37,Servant!$B$5:$AD$29,15,FALSE)+($F39+($F39*0.5*($D39-1)))*(AG$3-1)</f>
        <v>45093.5</v>
      </c>
      <c r="AH39" s="142">
        <f>VLOOKUP($C$37,Servant!$B$5:$AD$29,15,FALSE)+($F39+($F39*0.5*($D39-1)))*(AH$3-1)</f>
        <v>46811</v>
      </c>
      <c r="AI39" s="142">
        <f>VLOOKUP($C$37,Servant!$B$5:$AD$29,15,FALSE)+($F39+($F39*0.5*($D39-1)))*(AI$3-1)</f>
        <v>48528.5</v>
      </c>
      <c r="AJ39" s="142">
        <f>VLOOKUP($C$37,Servant!$B$5:$AD$29,15,FALSE)+($F39+($F39*0.5*($D39-1)))*(AJ$3-1)</f>
        <v>50246</v>
      </c>
      <c r="AK39" s="142">
        <f>VLOOKUP($C$37,Servant!$B$5:$AD$29,15,FALSE)+($F39+($F39*0.5*($D39-1)))*(AK$3-1)</f>
        <v>51963.5</v>
      </c>
    </row>
    <row r="40" spans="2:37" x14ac:dyDescent="0.3">
      <c r="B40" s="309"/>
      <c r="C40" s="300" t="s">
        <v>238</v>
      </c>
      <c r="D40" s="128">
        <v>3</v>
      </c>
      <c r="E40" s="122">
        <f>VLOOKUP($C$40,ServantLevelUPdStatus!$B$5:$AD$29,3,FALSE)+(VLOOKUP($C$40,ServantLevelUPdStatus!$B$5:$AD$29,3,FALSE)*0.5*(Simulator_HP!$D40-1))</f>
        <v>1634</v>
      </c>
      <c r="F40" s="122">
        <f>VLOOKUP($C$40,ServantLevelUPdStatus!$B$5:$AD$29,3,FALSE)</f>
        <v>817</v>
      </c>
      <c r="H40" s="114">
        <f>VLOOKUP($C$40,Servant!$B$5:$AD$29,15,FALSE)+($F40+($F40*0.5*($D40-1)))*(H$3-1)</f>
        <v>4270</v>
      </c>
      <c r="I40" s="114">
        <f>VLOOKUP($C$40,Servant!$B$5:$AD$29,15,FALSE)+($F40+($F40*0.5*($D40-1)))*(I$3-1)</f>
        <v>5904</v>
      </c>
      <c r="J40" s="114">
        <f>VLOOKUP($C$40,Servant!$B$5:$AD$29,15,FALSE)+($F40+($F40*0.5*($D40-1)))*(J$3-1)</f>
        <v>7538</v>
      </c>
      <c r="K40" s="114">
        <f>VLOOKUP($C$40,Servant!$B$5:$AD$29,15,FALSE)+($F40+($F40*0.5*($D40-1)))*(K$3-1)</f>
        <v>9172</v>
      </c>
      <c r="L40" s="114">
        <f>VLOOKUP($C$40,Servant!$B$5:$AD$29,15,FALSE)+($F40+($F40*0.5*($D40-1)))*(L$3-1)</f>
        <v>10806</v>
      </c>
      <c r="M40" s="114">
        <f>VLOOKUP($C$40,Servant!$B$5:$AD$29,15,FALSE)+($F40+($F40*0.5*($D40-1)))*(M$3-1)</f>
        <v>12440</v>
      </c>
      <c r="N40" s="114">
        <f>VLOOKUP($C$40,Servant!$B$5:$AD$29,15,FALSE)+($F40+($F40*0.5*($D40-1)))*(N$3-1)</f>
        <v>14074</v>
      </c>
      <c r="O40" s="114">
        <f>VLOOKUP($C$40,Servant!$B$5:$AD$29,15,FALSE)+($F40+($F40*0.5*($D40-1)))*(O$3-1)</f>
        <v>15708</v>
      </c>
      <c r="P40" s="114">
        <f>VLOOKUP($C$40,Servant!$B$5:$AD$29,15,FALSE)+($F40+($F40*0.5*($D40-1)))*(P$3-1)</f>
        <v>17342</v>
      </c>
      <c r="Q40" s="114">
        <f>VLOOKUP($C$40,Servant!$B$5:$AD$29,15,FALSE)+($F40+($F40*0.5*($D40-1)))*(Q$3-1)</f>
        <v>18976</v>
      </c>
      <c r="R40" s="114">
        <f>VLOOKUP($C$40,Servant!$B$5:$AD$29,15,FALSE)+($F40+($F40*0.5*($D40-1)))*(R$3-1)</f>
        <v>20610</v>
      </c>
      <c r="S40" s="114">
        <f>VLOOKUP($C$40,Servant!$B$5:$AD$29,15,FALSE)+($F40+($F40*0.5*($D40-1)))*(S$3-1)</f>
        <v>22244</v>
      </c>
      <c r="T40" s="114">
        <f>VLOOKUP($C$40,Servant!$B$5:$AD$29,15,FALSE)+($F40+($F40*0.5*($D40-1)))*(T$3-1)</f>
        <v>23878</v>
      </c>
      <c r="U40" s="114">
        <f>VLOOKUP($C$40,Servant!$B$5:$AD$29,15,FALSE)+($F40+($F40*0.5*($D40-1)))*(U$3-1)</f>
        <v>25512</v>
      </c>
      <c r="V40" s="114">
        <f>VLOOKUP($C$40,Servant!$B$5:$AD$29,15,FALSE)+($F40+($F40*0.5*($D40-1)))*(V$3-1)</f>
        <v>27146</v>
      </c>
      <c r="W40" s="114">
        <f>VLOOKUP($C$40,Servant!$B$5:$AD$29,15,FALSE)+($F40+($F40*0.5*($D40-1)))*(W$3-1)</f>
        <v>28780</v>
      </c>
      <c r="X40" s="114">
        <f>VLOOKUP($C$40,Servant!$B$5:$AD$29,15,FALSE)+($F40+($F40*0.5*($D40-1)))*(X$3-1)</f>
        <v>30414</v>
      </c>
      <c r="Y40" s="114">
        <f>VLOOKUP($C$40,Servant!$B$5:$AD$29,15,FALSE)+($F40+($F40*0.5*($D40-1)))*(Y$3-1)</f>
        <v>32048</v>
      </c>
      <c r="Z40" s="114">
        <f>VLOOKUP($C$40,Servant!$B$5:$AD$29,15,FALSE)+($F40+($F40*0.5*($D40-1)))*(Z$3-1)</f>
        <v>33682</v>
      </c>
      <c r="AA40" s="114">
        <f>VLOOKUP($C$40,Servant!$B$5:$AD$29,15,FALSE)+($F40+($F40*0.5*($D40-1)))*(AA$3-1)</f>
        <v>35316</v>
      </c>
      <c r="AB40" s="114">
        <f>VLOOKUP($C$40,Servant!$B$5:$AD$29,15,FALSE)+($F40+($F40*0.5*($D40-1)))*(AB$3-1)</f>
        <v>36950</v>
      </c>
      <c r="AC40" s="114">
        <f>VLOOKUP($C$40,Servant!$B$5:$AD$29,15,FALSE)+($F40+($F40*0.5*($D40-1)))*(AC$3-1)</f>
        <v>38584</v>
      </c>
      <c r="AD40" s="114">
        <f>VLOOKUP($C$40,Servant!$B$5:$AD$29,15,FALSE)+($F40+($F40*0.5*($D40-1)))*(AD$3-1)</f>
        <v>40218</v>
      </c>
      <c r="AE40" s="114">
        <f>VLOOKUP($C$40,Servant!$B$5:$AD$29,15,FALSE)+($F40+($F40*0.5*($D40-1)))*(AE$3-1)</f>
        <v>41852</v>
      </c>
      <c r="AF40" s="114">
        <f>VLOOKUP($C$40,Servant!$B$5:$AD$29,15,FALSE)+($F40+($F40*0.5*($D40-1)))*(AF$3-1)</f>
        <v>43486</v>
      </c>
      <c r="AG40" s="114">
        <f>VLOOKUP($C$40,Servant!$B$5:$AD$29,15,FALSE)+($F40+($F40*0.5*($D40-1)))*(AG$3-1)</f>
        <v>45120</v>
      </c>
      <c r="AH40" s="114">
        <f>VLOOKUP($C$40,Servant!$B$5:$AD$29,15,FALSE)+($F40+($F40*0.5*($D40-1)))*(AH$3-1)</f>
        <v>46754</v>
      </c>
      <c r="AI40" s="114">
        <f>VLOOKUP($C$40,Servant!$B$5:$AD$29,15,FALSE)+($F40+($F40*0.5*($D40-1)))*(AI$3-1)</f>
        <v>48388</v>
      </c>
      <c r="AJ40" s="114">
        <f>VLOOKUP($C$40,Servant!$B$5:$AD$29,15,FALSE)+($F40+($F40*0.5*($D40-1)))*(AJ$3-1)</f>
        <v>50022</v>
      </c>
      <c r="AK40" s="114">
        <f>VLOOKUP($C$40,Servant!$B$5:$AD$29,15,FALSE)+($F40+($F40*0.5*($D40-1)))*(AK$3-1)</f>
        <v>51656</v>
      </c>
    </row>
    <row r="41" spans="2:37" x14ac:dyDescent="0.3">
      <c r="B41" s="309"/>
      <c r="C41" s="300"/>
      <c r="D41" s="128">
        <v>4</v>
      </c>
      <c r="E41" s="122">
        <f>VLOOKUP($C$40,ServantLevelUPdStatus!$B$5:$AD$29,3,FALSE)+(VLOOKUP($C$40,ServantLevelUPdStatus!$B$5:$AD$29,3,FALSE)*0.5*(Simulator_HP!$D41-1))</f>
        <v>2042.5</v>
      </c>
      <c r="F41" s="121">
        <f>F40</f>
        <v>817</v>
      </c>
      <c r="H41" s="114">
        <f>VLOOKUP($C$40,Servant!$B$5:$AD$29,15,FALSE)+($F41+($F41*0.5*($D41-1)))*(H$3-1)</f>
        <v>4270</v>
      </c>
      <c r="I41" s="114">
        <f>VLOOKUP($C$40,Servant!$B$5:$AD$29,15,FALSE)+($F41+($F41*0.5*($D41-1)))*(I$3-1)</f>
        <v>6312.5</v>
      </c>
      <c r="J41" s="114">
        <f>VLOOKUP($C$40,Servant!$B$5:$AD$29,15,FALSE)+($F41+($F41*0.5*($D41-1)))*(J$3-1)</f>
        <v>8355</v>
      </c>
      <c r="K41" s="114">
        <f>VLOOKUP($C$40,Servant!$B$5:$AD$29,15,FALSE)+($F41+($F41*0.5*($D41-1)))*(K$3-1)</f>
        <v>10397.5</v>
      </c>
      <c r="L41" s="114">
        <f>VLOOKUP($C$40,Servant!$B$5:$AD$29,15,FALSE)+($F41+($F41*0.5*($D41-1)))*(L$3-1)</f>
        <v>12440</v>
      </c>
      <c r="M41" s="114">
        <f>VLOOKUP($C$40,Servant!$B$5:$AD$29,15,FALSE)+($F41+($F41*0.5*($D41-1)))*(M$3-1)</f>
        <v>14482.5</v>
      </c>
      <c r="N41" s="114">
        <f>VLOOKUP($C$40,Servant!$B$5:$AD$29,15,FALSE)+($F41+($F41*0.5*($D41-1)))*(N$3-1)</f>
        <v>16525</v>
      </c>
      <c r="O41" s="114">
        <f>VLOOKUP($C$40,Servant!$B$5:$AD$29,15,FALSE)+($F41+($F41*0.5*($D41-1)))*(O$3-1)</f>
        <v>18567.5</v>
      </c>
      <c r="P41" s="114">
        <f>VLOOKUP($C$40,Servant!$B$5:$AD$29,15,FALSE)+($F41+($F41*0.5*($D41-1)))*(P$3-1)</f>
        <v>20610</v>
      </c>
      <c r="Q41" s="114">
        <f>VLOOKUP($C$40,Servant!$B$5:$AD$29,15,FALSE)+($F41+($F41*0.5*($D41-1)))*(Q$3-1)</f>
        <v>22652.5</v>
      </c>
      <c r="R41" s="114">
        <f>VLOOKUP($C$40,Servant!$B$5:$AD$29,15,FALSE)+($F41+($F41*0.5*($D41-1)))*(R$3-1)</f>
        <v>24695</v>
      </c>
      <c r="S41" s="114">
        <f>VLOOKUP($C$40,Servant!$B$5:$AD$29,15,FALSE)+($F41+($F41*0.5*($D41-1)))*(S$3-1)</f>
        <v>26737.5</v>
      </c>
      <c r="T41" s="114">
        <f>VLOOKUP($C$40,Servant!$B$5:$AD$29,15,FALSE)+($F41+($F41*0.5*($D41-1)))*(T$3-1)</f>
        <v>28780</v>
      </c>
      <c r="U41" s="114">
        <f>VLOOKUP($C$40,Servant!$B$5:$AD$29,15,FALSE)+($F41+($F41*0.5*($D41-1)))*(U$3-1)</f>
        <v>30822.5</v>
      </c>
      <c r="V41" s="114">
        <f>VLOOKUP($C$40,Servant!$B$5:$AD$29,15,FALSE)+($F41+($F41*0.5*($D41-1)))*(V$3-1)</f>
        <v>32865</v>
      </c>
      <c r="W41" s="114">
        <f>VLOOKUP($C$40,Servant!$B$5:$AD$29,15,FALSE)+($F41+($F41*0.5*($D41-1)))*(W$3-1)</f>
        <v>34907.5</v>
      </c>
      <c r="X41" s="114">
        <f>VLOOKUP($C$40,Servant!$B$5:$AD$29,15,FALSE)+($F41+($F41*0.5*($D41-1)))*(X$3-1)</f>
        <v>36950</v>
      </c>
      <c r="Y41" s="114">
        <f>VLOOKUP($C$40,Servant!$B$5:$AD$29,15,FALSE)+($F41+($F41*0.5*($D41-1)))*(Y$3-1)</f>
        <v>38992.5</v>
      </c>
      <c r="Z41" s="114">
        <f>VLOOKUP($C$40,Servant!$B$5:$AD$29,15,FALSE)+($F41+($F41*0.5*($D41-1)))*(Z$3-1)</f>
        <v>41035</v>
      </c>
      <c r="AA41" s="114">
        <f>VLOOKUP($C$40,Servant!$B$5:$AD$29,15,FALSE)+($F41+($F41*0.5*($D41-1)))*(AA$3-1)</f>
        <v>43077.5</v>
      </c>
      <c r="AB41" s="114">
        <f>VLOOKUP($C$40,Servant!$B$5:$AD$29,15,FALSE)+($F41+($F41*0.5*($D41-1)))*(AB$3-1)</f>
        <v>45120</v>
      </c>
      <c r="AC41" s="114">
        <f>VLOOKUP($C$40,Servant!$B$5:$AD$29,15,FALSE)+($F41+($F41*0.5*($D41-1)))*(AC$3-1)</f>
        <v>47162.5</v>
      </c>
      <c r="AD41" s="114">
        <f>VLOOKUP($C$40,Servant!$B$5:$AD$29,15,FALSE)+($F41+($F41*0.5*($D41-1)))*(AD$3-1)</f>
        <v>49205</v>
      </c>
      <c r="AE41" s="114">
        <f>VLOOKUP($C$40,Servant!$B$5:$AD$29,15,FALSE)+($F41+($F41*0.5*($D41-1)))*(AE$3-1)</f>
        <v>51247.5</v>
      </c>
      <c r="AF41" s="114">
        <f>VLOOKUP($C$40,Servant!$B$5:$AD$29,15,FALSE)+($F41+($F41*0.5*($D41-1)))*(AF$3-1)</f>
        <v>53290</v>
      </c>
      <c r="AG41" s="114">
        <f>VLOOKUP($C$40,Servant!$B$5:$AD$29,15,FALSE)+($F41+($F41*0.5*($D41-1)))*(AG$3-1)</f>
        <v>55332.5</v>
      </c>
      <c r="AH41" s="114">
        <f>VLOOKUP($C$40,Servant!$B$5:$AD$29,15,FALSE)+($F41+($F41*0.5*($D41-1)))*(AH$3-1)</f>
        <v>57375</v>
      </c>
      <c r="AI41" s="114">
        <f>VLOOKUP($C$40,Servant!$B$5:$AD$29,15,FALSE)+($F41+($F41*0.5*($D41-1)))*(AI$3-1)</f>
        <v>59417.5</v>
      </c>
      <c r="AJ41" s="114">
        <f>VLOOKUP($C$40,Servant!$B$5:$AD$29,15,FALSE)+($F41+($F41*0.5*($D41-1)))*(AJ$3-1)</f>
        <v>61460</v>
      </c>
      <c r="AK41" s="114">
        <f>VLOOKUP($C$40,Servant!$B$5:$AD$29,15,FALSE)+($F41+($F41*0.5*($D41-1)))*(AK$3-1)</f>
        <v>63502.5</v>
      </c>
    </row>
    <row r="42" spans="2:37" x14ac:dyDescent="0.3">
      <c r="B42" s="309"/>
      <c r="C42" s="300"/>
      <c r="D42" s="128">
        <v>5</v>
      </c>
      <c r="E42" s="122">
        <f>VLOOKUP($C$40,ServantLevelUPdStatus!$B$5:$AD$29,3,FALSE)+(VLOOKUP($C$40,ServantLevelUPdStatus!$B$5:$AD$29,3,FALSE)*0.5*(Simulator_HP!$D42-1))</f>
        <v>2451</v>
      </c>
      <c r="F42" s="121">
        <f>F41</f>
        <v>817</v>
      </c>
      <c r="H42" s="114">
        <f>VLOOKUP($C$40,Servant!$B$5:$AD$29,15,FALSE)+($F42+($F42*0.5*($D42-1)))*(H$3-1)</f>
        <v>4270</v>
      </c>
      <c r="I42" s="114">
        <f>VLOOKUP($C$40,Servant!$B$5:$AD$29,15,FALSE)+($F42+($F42*0.5*($D42-1)))*(I$3-1)</f>
        <v>6721</v>
      </c>
      <c r="J42" s="114">
        <f>VLOOKUP($C$40,Servant!$B$5:$AD$29,15,FALSE)+($F42+($F42*0.5*($D42-1)))*(J$3-1)</f>
        <v>9172</v>
      </c>
      <c r="K42" s="114">
        <f>VLOOKUP($C$40,Servant!$B$5:$AD$29,15,FALSE)+($F42+($F42*0.5*($D42-1)))*(K$3-1)</f>
        <v>11623</v>
      </c>
      <c r="L42" s="114">
        <f>VLOOKUP($C$40,Servant!$B$5:$AD$29,15,FALSE)+($F42+($F42*0.5*($D42-1)))*(L$3-1)</f>
        <v>14074</v>
      </c>
      <c r="M42" s="114">
        <f>VLOOKUP($C$40,Servant!$B$5:$AD$29,15,FALSE)+($F42+($F42*0.5*($D42-1)))*(M$3-1)</f>
        <v>16525</v>
      </c>
      <c r="N42" s="114">
        <f>VLOOKUP($C$40,Servant!$B$5:$AD$29,15,FALSE)+($F42+($F42*0.5*($D42-1)))*(N$3-1)</f>
        <v>18976</v>
      </c>
      <c r="O42" s="114">
        <f>VLOOKUP($C$40,Servant!$B$5:$AD$29,15,FALSE)+($F42+($F42*0.5*($D42-1)))*(O$3-1)</f>
        <v>21427</v>
      </c>
      <c r="P42" s="114">
        <f>VLOOKUP($C$40,Servant!$B$5:$AD$29,15,FALSE)+($F42+($F42*0.5*($D42-1)))*(P$3-1)</f>
        <v>23878</v>
      </c>
      <c r="Q42" s="114">
        <f>VLOOKUP($C$40,Servant!$B$5:$AD$29,15,FALSE)+($F42+($F42*0.5*($D42-1)))*(Q$3-1)</f>
        <v>26329</v>
      </c>
      <c r="R42" s="114">
        <f>VLOOKUP($C$40,Servant!$B$5:$AD$29,15,FALSE)+($F42+($F42*0.5*($D42-1)))*(R$3-1)</f>
        <v>28780</v>
      </c>
      <c r="S42" s="114">
        <f>VLOOKUP($C$40,Servant!$B$5:$AD$29,15,FALSE)+($F42+($F42*0.5*($D42-1)))*(S$3-1)</f>
        <v>31231</v>
      </c>
      <c r="T42" s="114">
        <f>VLOOKUP($C$40,Servant!$B$5:$AD$29,15,FALSE)+($F42+($F42*0.5*($D42-1)))*(T$3-1)</f>
        <v>33682</v>
      </c>
      <c r="U42" s="114">
        <f>VLOOKUP($C$40,Servant!$B$5:$AD$29,15,FALSE)+($F42+($F42*0.5*($D42-1)))*(U$3-1)</f>
        <v>36133</v>
      </c>
      <c r="V42" s="114">
        <f>VLOOKUP($C$40,Servant!$B$5:$AD$29,15,FALSE)+($F42+($F42*0.5*($D42-1)))*(V$3-1)</f>
        <v>38584</v>
      </c>
      <c r="W42" s="114">
        <f>VLOOKUP($C$40,Servant!$B$5:$AD$29,15,FALSE)+($F42+($F42*0.5*($D42-1)))*(W$3-1)</f>
        <v>41035</v>
      </c>
      <c r="X42" s="114">
        <f>VLOOKUP($C$40,Servant!$B$5:$AD$29,15,FALSE)+($F42+($F42*0.5*($D42-1)))*(X$3-1)</f>
        <v>43486</v>
      </c>
      <c r="Y42" s="114">
        <f>VLOOKUP($C$40,Servant!$B$5:$AD$29,15,FALSE)+($F42+($F42*0.5*($D42-1)))*(Y$3-1)</f>
        <v>45937</v>
      </c>
      <c r="Z42" s="114">
        <f>VLOOKUP($C$40,Servant!$B$5:$AD$29,15,FALSE)+($F42+($F42*0.5*($D42-1)))*(Z$3-1)</f>
        <v>48388</v>
      </c>
      <c r="AA42" s="114">
        <f>VLOOKUP($C$40,Servant!$B$5:$AD$29,15,FALSE)+($F42+($F42*0.5*($D42-1)))*(AA$3-1)</f>
        <v>50839</v>
      </c>
      <c r="AB42" s="114">
        <f>VLOOKUP($C$40,Servant!$B$5:$AD$29,15,FALSE)+($F42+($F42*0.5*($D42-1)))*(AB$3-1)</f>
        <v>53290</v>
      </c>
      <c r="AC42" s="114">
        <f>VLOOKUP($C$40,Servant!$B$5:$AD$29,15,FALSE)+($F42+($F42*0.5*($D42-1)))*(AC$3-1)</f>
        <v>55741</v>
      </c>
      <c r="AD42" s="114">
        <f>VLOOKUP($C$40,Servant!$B$5:$AD$29,15,FALSE)+($F42+($F42*0.5*($D42-1)))*(AD$3-1)</f>
        <v>58192</v>
      </c>
      <c r="AE42" s="114">
        <f>VLOOKUP($C$40,Servant!$B$5:$AD$29,15,FALSE)+($F42+($F42*0.5*($D42-1)))*(AE$3-1)</f>
        <v>60643</v>
      </c>
      <c r="AF42" s="114">
        <f>VLOOKUP($C$40,Servant!$B$5:$AD$29,15,FALSE)+($F42+($F42*0.5*($D42-1)))*(AF$3-1)</f>
        <v>63094</v>
      </c>
      <c r="AG42" s="114">
        <f>VLOOKUP($C$40,Servant!$B$5:$AD$29,15,FALSE)+($F42+($F42*0.5*($D42-1)))*(AG$3-1)</f>
        <v>65545</v>
      </c>
      <c r="AH42" s="114">
        <f>VLOOKUP($C$40,Servant!$B$5:$AD$29,15,FALSE)+($F42+($F42*0.5*($D42-1)))*(AH$3-1)</f>
        <v>67996</v>
      </c>
      <c r="AI42" s="114">
        <f>VLOOKUP($C$40,Servant!$B$5:$AD$29,15,FALSE)+($F42+($F42*0.5*($D42-1)))*(AI$3-1)</f>
        <v>70447</v>
      </c>
      <c r="AJ42" s="114">
        <f>VLOOKUP($C$40,Servant!$B$5:$AD$29,15,FALSE)+($F42+($F42*0.5*($D42-1)))*(AJ$3-1)</f>
        <v>72898</v>
      </c>
      <c r="AK42" s="114">
        <f>VLOOKUP($C$40,Servant!$B$5:$AD$29,15,FALSE)+($F42+($F42*0.5*($D42-1)))*(AK$3-1)</f>
        <v>75349</v>
      </c>
    </row>
    <row r="43" spans="2:37" x14ac:dyDescent="0.3">
      <c r="B43" s="309"/>
      <c r="C43" s="317" t="s">
        <v>309</v>
      </c>
      <c r="D43" s="136">
        <v>3</v>
      </c>
      <c r="E43" s="137">
        <f>VLOOKUP($C$43,ServantLevelUPdStatus!$B$5:$AD$29,3,FALSE)+(VLOOKUP($C$43,ServantLevelUPdStatus!$B$5:$AD$29,3,FALSE)*0.5*(Simulator_HP!$D43-1))</f>
        <v>1502</v>
      </c>
      <c r="F43" s="137">
        <f>VLOOKUP($C$43,ServantLevelUPdStatus!$B$5:$AD$29,3,FALSE)</f>
        <v>751</v>
      </c>
      <c r="H43" s="138">
        <f>VLOOKUP($C$43,Servant!$B$5:$AD$29,15,FALSE)+($F43+($F43*0.5*($D43-1)))*(H$3-1)</f>
        <v>3928</v>
      </c>
      <c r="I43" s="138">
        <f>VLOOKUP($C$43,Servant!$B$5:$AD$29,15,FALSE)+($F43+($F43*0.5*($D43-1)))*(I$3-1)</f>
        <v>5430</v>
      </c>
      <c r="J43" s="138">
        <f>VLOOKUP($C$43,Servant!$B$5:$AD$29,15,FALSE)+($F43+($F43*0.5*($D43-1)))*(J$3-1)</f>
        <v>6932</v>
      </c>
      <c r="K43" s="138">
        <f>VLOOKUP($C$43,Servant!$B$5:$AD$29,15,FALSE)+($F43+($F43*0.5*($D43-1)))*(K$3-1)</f>
        <v>8434</v>
      </c>
      <c r="L43" s="138">
        <f>VLOOKUP($C$43,Servant!$B$5:$AD$29,15,FALSE)+($F43+($F43*0.5*($D43-1)))*(L$3-1)</f>
        <v>9936</v>
      </c>
      <c r="M43" s="138">
        <f>VLOOKUP($C$43,Servant!$B$5:$AD$29,15,FALSE)+($F43+($F43*0.5*($D43-1)))*(M$3-1)</f>
        <v>11438</v>
      </c>
      <c r="N43" s="138">
        <f>VLOOKUP($C$43,Servant!$B$5:$AD$29,15,FALSE)+($F43+($F43*0.5*($D43-1)))*(N$3-1)</f>
        <v>12940</v>
      </c>
      <c r="O43" s="138">
        <f>VLOOKUP($C$43,Servant!$B$5:$AD$29,15,FALSE)+($F43+($F43*0.5*($D43-1)))*(O$3-1)</f>
        <v>14442</v>
      </c>
      <c r="P43" s="138">
        <f>VLOOKUP($C$43,Servant!$B$5:$AD$29,15,FALSE)+($F43+($F43*0.5*($D43-1)))*(P$3-1)</f>
        <v>15944</v>
      </c>
      <c r="Q43" s="138">
        <f>VLOOKUP($C$43,Servant!$B$5:$AD$29,15,FALSE)+($F43+($F43*0.5*($D43-1)))*(Q$3-1)</f>
        <v>17446</v>
      </c>
      <c r="R43" s="138">
        <f>VLOOKUP($C$43,Servant!$B$5:$AD$29,15,FALSE)+($F43+($F43*0.5*($D43-1)))*(R$3-1)</f>
        <v>18948</v>
      </c>
      <c r="S43" s="138">
        <f>VLOOKUP($C$43,Servant!$B$5:$AD$29,15,FALSE)+($F43+($F43*0.5*($D43-1)))*(S$3-1)</f>
        <v>20450</v>
      </c>
      <c r="T43" s="138">
        <f>VLOOKUP($C$43,Servant!$B$5:$AD$29,15,FALSE)+($F43+($F43*0.5*($D43-1)))*(T$3-1)</f>
        <v>21952</v>
      </c>
      <c r="U43" s="138">
        <f>VLOOKUP($C$43,Servant!$B$5:$AD$29,15,FALSE)+($F43+($F43*0.5*($D43-1)))*(U$3-1)</f>
        <v>23454</v>
      </c>
      <c r="V43" s="138">
        <f>VLOOKUP($C$43,Servant!$B$5:$AD$29,15,FALSE)+($F43+($F43*0.5*($D43-1)))*(V$3-1)</f>
        <v>24956</v>
      </c>
      <c r="W43" s="138">
        <f>VLOOKUP($C$43,Servant!$B$5:$AD$29,15,FALSE)+($F43+($F43*0.5*($D43-1)))*(W$3-1)</f>
        <v>26458</v>
      </c>
      <c r="X43" s="138">
        <f>VLOOKUP($C$43,Servant!$B$5:$AD$29,15,FALSE)+($F43+($F43*0.5*($D43-1)))*(X$3-1)</f>
        <v>27960</v>
      </c>
      <c r="Y43" s="138">
        <f>VLOOKUP($C$43,Servant!$B$5:$AD$29,15,FALSE)+($F43+($F43*0.5*($D43-1)))*(Y$3-1)</f>
        <v>29462</v>
      </c>
      <c r="Z43" s="138">
        <f>VLOOKUP($C$43,Servant!$B$5:$AD$29,15,FALSE)+($F43+($F43*0.5*($D43-1)))*(Z$3-1)</f>
        <v>30964</v>
      </c>
      <c r="AA43" s="138">
        <f>VLOOKUP($C$43,Servant!$B$5:$AD$29,15,FALSE)+($F43+($F43*0.5*($D43-1)))*(AA$3-1)</f>
        <v>32466</v>
      </c>
      <c r="AB43" s="138">
        <f>VLOOKUP($C$43,Servant!$B$5:$AD$29,15,FALSE)+($F43+($F43*0.5*($D43-1)))*(AB$3-1)</f>
        <v>33968</v>
      </c>
      <c r="AC43" s="138">
        <f>VLOOKUP($C$43,Servant!$B$5:$AD$29,15,FALSE)+($F43+($F43*0.5*($D43-1)))*(AC$3-1)</f>
        <v>35470</v>
      </c>
      <c r="AD43" s="138">
        <f>VLOOKUP($C$43,Servant!$B$5:$AD$29,15,FALSE)+($F43+($F43*0.5*($D43-1)))*(AD$3-1)</f>
        <v>36972</v>
      </c>
      <c r="AE43" s="138">
        <f>VLOOKUP($C$43,Servant!$B$5:$AD$29,15,FALSE)+($F43+($F43*0.5*($D43-1)))*(AE$3-1)</f>
        <v>38474</v>
      </c>
      <c r="AF43" s="138">
        <f>VLOOKUP($C$43,Servant!$B$5:$AD$29,15,FALSE)+($F43+($F43*0.5*($D43-1)))*(AF$3-1)</f>
        <v>39976</v>
      </c>
      <c r="AG43" s="138">
        <f>VLOOKUP($C$43,Servant!$B$5:$AD$29,15,FALSE)+($F43+($F43*0.5*($D43-1)))*(AG$3-1)</f>
        <v>41478</v>
      </c>
      <c r="AH43" s="138">
        <f>VLOOKUP($C$43,Servant!$B$5:$AD$29,15,FALSE)+($F43+($F43*0.5*($D43-1)))*(AH$3-1)</f>
        <v>42980</v>
      </c>
      <c r="AI43" s="138">
        <f>VLOOKUP($C$43,Servant!$B$5:$AD$29,15,FALSE)+($F43+($F43*0.5*($D43-1)))*(AI$3-1)</f>
        <v>44482</v>
      </c>
      <c r="AJ43" s="138">
        <f>VLOOKUP($C$43,Servant!$B$5:$AD$29,15,FALSE)+($F43+($F43*0.5*($D43-1)))*(AJ$3-1)</f>
        <v>45984</v>
      </c>
      <c r="AK43" s="138">
        <f>VLOOKUP($C$43,Servant!$B$5:$AD$29,15,FALSE)+($F43+($F43*0.5*($D43-1)))*(AK$3-1)</f>
        <v>47486</v>
      </c>
    </row>
    <row r="44" spans="2:37" x14ac:dyDescent="0.3">
      <c r="B44" s="309"/>
      <c r="C44" s="317"/>
      <c r="D44" s="136">
        <v>4</v>
      </c>
      <c r="E44" s="137">
        <f>VLOOKUP($C$43,ServantLevelUPdStatus!$B$5:$AD$29,3,FALSE)+(VLOOKUP($C$43,ServantLevelUPdStatus!$B$5:$AD$29,3,FALSE)*0.5*(Simulator_HP!$D44-1))</f>
        <v>1877.5</v>
      </c>
      <c r="F44" s="139">
        <f>F43</f>
        <v>751</v>
      </c>
      <c r="H44" s="138">
        <f>VLOOKUP($C$43,Servant!$B$5:$AD$29,15,FALSE)+($F44+($F44*0.5*($D44-1)))*(H$3-1)</f>
        <v>3928</v>
      </c>
      <c r="I44" s="138">
        <f>VLOOKUP($C$43,Servant!$B$5:$AD$29,15,FALSE)+($F44+($F44*0.5*($D44-1)))*(I$3-1)</f>
        <v>5805.5</v>
      </c>
      <c r="J44" s="138">
        <f>VLOOKUP($C$43,Servant!$B$5:$AD$29,15,FALSE)+($F44+($F44*0.5*($D44-1)))*(J$3-1)</f>
        <v>7683</v>
      </c>
      <c r="K44" s="138">
        <f>VLOOKUP($C$43,Servant!$B$5:$AD$29,15,FALSE)+($F44+($F44*0.5*($D44-1)))*(K$3-1)</f>
        <v>9560.5</v>
      </c>
      <c r="L44" s="138">
        <f>VLOOKUP($C$43,Servant!$B$5:$AD$29,15,FALSE)+($F44+($F44*0.5*($D44-1)))*(L$3-1)</f>
        <v>11438</v>
      </c>
      <c r="M44" s="138">
        <f>VLOOKUP($C$43,Servant!$B$5:$AD$29,15,FALSE)+($F44+($F44*0.5*($D44-1)))*(M$3-1)</f>
        <v>13315.5</v>
      </c>
      <c r="N44" s="138">
        <f>VLOOKUP($C$43,Servant!$B$5:$AD$29,15,FALSE)+($F44+($F44*0.5*($D44-1)))*(N$3-1)</f>
        <v>15193</v>
      </c>
      <c r="O44" s="138">
        <f>VLOOKUP($C$43,Servant!$B$5:$AD$29,15,FALSE)+($F44+($F44*0.5*($D44-1)))*(O$3-1)</f>
        <v>17070.5</v>
      </c>
      <c r="P44" s="138">
        <f>VLOOKUP($C$43,Servant!$B$5:$AD$29,15,FALSE)+($F44+($F44*0.5*($D44-1)))*(P$3-1)</f>
        <v>18948</v>
      </c>
      <c r="Q44" s="138">
        <f>VLOOKUP($C$43,Servant!$B$5:$AD$29,15,FALSE)+($F44+($F44*0.5*($D44-1)))*(Q$3-1)</f>
        <v>20825.5</v>
      </c>
      <c r="R44" s="138">
        <f>VLOOKUP($C$43,Servant!$B$5:$AD$29,15,FALSE)+($F44+($F44*0.5*($D44-1)))*(R$3-1)</f>
        <v>22703</v>
      </c>
      <c r="S44" s="138">
        <f>VLOOKUP($C$43,Servant!$B$5:$AD$29,15,FALSE)+($F44+($F44*0.5*($D44-1)))*(S$3-1)</f>
        <v>24580.5</v>
      </c>
      <c r="T44" s="138">
        <f>VLOOKUP($C$43,Servant!$B$5:$AD$29,15,FALSE)+($F44+($F44*0.5*($D44-1)))*(T$3-1)</f>
        <v>26458</v>
      </c>
      <c r="U44" s="138">
        <f>VLOOKUP($C$43,Servant!$B$5:$AD$29,15,FALSE)+($F44+($F44*0.5*($D44-1)))*(U$3-1)</f>
        <v>28335.5</v>
      </c>
      <c r="V44" s="138">
        <f>VLOOKUP($C$43,Servant!$B$5:$AD$29,15,FALSE)+($F44+($F44*0.5*($D44-1)))*(V$3-1)</f>
        <v>30213</v>
      </c>
      <c r="W44" s="138">
        <f>VLOOKUP($C$43,Servant!$B$5:$AD$29,15,FALSE)+($F44+($F44*0.5*($D44-1)))*(W$3-1)</f>
        <v>32090.5</v>
      </c>
      <c r="X44" s="138">
        <f>VLOOKUP($C$43,Servant!$B$5:$AD$29,15,FALSE)+($F44+($F44*0.5*($D44-1)))*(X$3-1)</f>
        <v>33968</v>
      </c>
      <c r="Y44" s="138">
        <f>VLOOKUP($C$43,Servant!$B$5:$AD$29,15,FALSE)+($F44+($F44*0.5*($D44-1)))*(Y$3-1)</f>
        <v>35845.5</v>
      </c>
      <c r="Z44" s="138">
        <f>VLOOKUP($C$43,Servant!$B$5:$AD$29,15,FALSE)+($F44+($F44*0.5*($D44-1)))*(Z$3-1)</f>
        <v>37723</v>
      </c>
      <c r="AA44" s="138">
        <f>VLOOKUP($C$43,Servant!$B$5:$AD$29,15,FALSE)+($F44+($F44*0.5*($D44-1)))*(AA$3-1)</f>
        <v>39600.5</v>
      </c>
      <c r="AB44" s="138">
        <f>VLOOKUP($C$43,Servant!$B$5:$AD$29,15,FALSE)+($F44+($F44*0.5*($D44-1)))*(AB$3-1)</f>
        <v>41478</v>
      </c>
      <c r="AC44" s="138">
        <f>VLOOKUP($C$43,Servant!$B$5:$AD$29,15,FALSE)+($F44+($F44*0.5*($D44-1)))*(AC$3-1)</f>
        <v>43355.5</v>
      </c>
      <c r="AD44" s="138">
        <f>VLOOKUP($C$43,Servant!$B$5:$AD$29,15,FALSE)+($F44+($F44*0.5*($D44-1)))*(AD$3-1)</f>
        <v>45233</v>
      </c>
      <c r="AE44" s="138">
        <f>VLOOKUP($C$43,Servant!$B$5:$AD$29,15,FALSE)+($F44+($F44*0.5*($D44-1)))*(AE$3-1)</f>
        <v>47110.5</v>
      </c>
      <c r="AF44" s="138">
        <f>VLOOKUP($C$43,Servant!$B$5:$AD$29,15,FALSE)+($F44+($F44*0.5*($D44-1)))*(AF$3-1)</f>
        <v>48988</v>
      </c>
      <c r="AG44" s="138">
        <f>VLOOKUP($C$43,Servant!$B$5:$AD$29,15,FALSE)+($F44+($F44*0.5*($D44-1)))*(AG$3-1)</f>
        <v>50865.5</v>
      </c>
      <c r="AH44" s="138">
        <f>VLOOKUP($C$43,Servant!$B$5:$AD$29,15,FALSE)+($F44+($F44*0.5*($D44-1)))*(AH$3-1)</f>
        <v>52743</v>
      </c>
      <c r="AI44" s="138">
        <f>VLOOKUP($C$43,Servant!$B$5:$AD$29,15,FALSE)+($F44+($F44*0.5*($D44-1)))*(AI$3-1)</f>
        <v>54620.5</v>
      </c>
      <c r="AJ44" s="138">
        <f>VLOOKUP($C$43,Servant!$B$5:$AD$29,15,FALSE)+($F44+($F44*0.5*($D44-1)))*(AJ$3-1)</f>
        <v>56498</v>
      </c>
      <c r="AK44" s="138">
        <f>VLOOKUP($C$43,Servant!$B$5:$AD$29,15,FALSE)+($F44+($F44*0.5*($D44-1)))*(AK$3-1)</f>
        <v>58375.5</v>
      </c>
    </row>
    <row r="45" spans="2:37" x14ac:dyDescent="0.3">
      <c r="B45" s="309"/>
      <c r="C45" s="317"/>
      <c r="D45" s="136">
        <v>5</v>
      </c>
      <c r="E45" s="137">
        <f>VLOOKUP($C$43,ServantLevelUPdStatus!$B$5:$AD$29,3,FALSE)+(VLOOKUP($C$43,ServantLevelUPdStatus!$B$5:$AD$29,3,FALSE)*0.5*(Simulator_HP!$D45-1))</f>
        <v>2253</v>
      </c>
      <c r="F45" s="139">
        <f>F44</f>
        <v>751</v>
      </c>
      <c r="H45" s="138">
        <f>VLOOKUP($C$43,Servant!$B$5:$AD$29,15,FALSE)+($F45+($F45*0.5*($D45-1)))*(H$3-1)</f>
        <v>3928</v>
      </c>
      <c r="I45" s="138">
        <f>VLOOKUP($C$43,Servant!$B$5:$AD$29,15,FALSE)+($F45+($F45*0.5*($D45-1)))*(I$3-1)</f>
        <v>6181</v>
      </c>
      <c r="J45" s="138">
        <f>VLOOKUP($C$43,Servant!$B$5:$AD$29,15,FALSE)+($F45+($F45*0.5*($D45-1)))*(J$3-1)</f>
        <v>8434</v>
      </c>
      <c r="K45" s="138">
        <f>VLOOKUP($C$43,Servant!$B$5:$AD$29,15,FALSE)+($F45+($F45*0.5*($D45-1)))*(K$3-1)</f>
        <v>10687</v>
      </c>
      <c r="L45" s="138">
        <f>VLOOKUP($C$43,Servant!$B$5:$AD$29,15,FALSE)+($F45+($F45*0.5*($D45-1)))*(L$3-1)</f>
        <v>12940</v>
      </c>
      <c r="M45" s="138">
        <f>VLOOKUP($C$43,Servant!$B$5:$AD$29,15,FALSE)+($F45+($F45*0.5*($D45-1)))*(M$3-1)</f>
        <v>15193</v>
      </c>
      <c r="N45" s="138">
        <f>VLOOKUP($C$43,Servant!$B$5:$AD$29,15,FALSE)+($F45+($F45*0.5*($D45-1)))*(N$3-1)</f>
        <v>17446</v>
      </c>
      <c r="O45" s="138">
        <f>VLOOKUP($C$43,Servant!$B$5:$AD$29,15,FALSE)+($F45+($F45*0.5*($D45-1)))*(O$3-1)</f>
        <v>19699</v>
      </c>
      <c r="P45" s="138">
        <f>VLOOKUP($C$43,Servant!$B$5:$AD$29,15,FALSE)+($F45+($F45*0.5*($D45-1)))*(P$3-1)</f>
        <v>21952</v>
      </c>
      <c r="Q45" s="138">
        <f>VLOOKUP($C$43,Servant!$B$5:$AD$29,15,FALSE)+($F45+($F45*0.5*($D45-1)))*(Q$3-1)</f>
        <v>24205</v>
      </c>
      <c r="R45" s="138">
        <f>VLOOKUP($C$43,Servant!$B$5:$AD$29,15,FALSE)+($F45+($F45*0.5*($D45-1)))*(R$3-1)</f>
        <v>26458</v>
      </c>
      <c r="S45" s="138">
        <f>VLOOKUP($C$43,Servant!$B$5:$AD$29,15,FALSE)+($F45+($F45*0.5*($D45-1)))*(S$3-1)</f>
        <v>28711</v>
      </c>
      <c r="T45" s="138">
        <f>VLOOKUP($C$43,Servant!$B$5:$AD$29,15,FALSE)+($F45+($F45*0.5*($D45-1)))*(T$3-1)</f>
        <v>30964</v>
      </c>
      <c r="U45" s="138">
        <f>VLOOKUP($C$43,Servant!$B$5:$AD$29,15,FALSE)+($F45+($F45*0.5*($D45-1)))*(U$3-1)</f>
        <v>33217</v>
      </c>
      <c r="V45" s="138">
        <f>VLOOKUP($C$43,Servant!$B$5:$AD$29,15,FALSE)+($F45+($F45*0.5*($D45-1)))*(V$3-1)</f>
        <v>35470</v>
      </c>
      <c r="W45" s="138">
        <f>VLOOKUP($C$43,Servant!$B$5:$AD$29,15,FALSE)+($F45+($F45*0.5*($D45-1)))*(W$3-1)</f>
        <v>37723</v>
      </c>
      <c r="X45" s="138">
        <f>VLOOKUP($C$43,Servant!$B$5:$AD$29,15,FALSE)+($F45+($F45*0.5*($D45-1)))*(X$3-1)</f>
        <v>39976</v>
      </c>
      <c r="Y45" s="138">
        <f>VLOOKUP($C$43,Servant!$B$5:$AD$29,15,FALSE)+($F45+($F45*0.5*($D45-1)))*(Y$3-1)</f>
        <v>42229</v>
      </c>
      <c r="Z45" s="138">
        <f>VLOOKUP($C$43,Servant!$B$5:$AD$29,15,FALSE)+($F45+($F45*0.5*($D45-1)))*(Z$3-1)</f>
        <v>44482</v>
      </c>
      <c r="AA45" s="138">
        <f>VLOOKUP($C$43,Servant!$B$5:$AD$29,15,FALSE)+($F45+($F45*0.5*($D45-1)))*(AA$3-1)</f>
        <v>46735</v>
      </c>
      <c r="AB45" s="138">
        <f>VLOOKUP($C$43,Servant!$B$5:$AD$29,15,FALSE)+($F45+($F45*0.5*($D45-1)))*(AB$3-1)</f>
        <v>48988</v>
      </c>
      <c r="AC45" s="138">
        <f>VLOOKUP($C$43,Servant!$B$5:$AD$29,15,FALSE)+($F45+($F45*0.5*($D45-1)))*(AC$3-1)</f>
        <v>51241</v>
      </c>
      <c r="AD45" s="138">
        <f>VLOOKUP($C$43,Servant!$B$5:$AD$29,15,FALSE)+($F45+($F45*0.5*($D45-1)))*(AD$3-1)</f>
        <v>53494</v>
      </c>
      <c r="AE45" s="138">
        <f>VLOOKUP($C$43,Servant!$B$5:$AD$29,15,FALSE)+($F45+($F45*0.5*($D45-1)))*(AE$3-1)</f>
        <v>55747</v>
      </c>
      <c r="AF45" s="138">
        <f>VLOOKUP($C$43,Servant!$B$5:$AD$29,15,FALSE)+($F45+($F45*0.5*($D45-1)))*(AF$3-1)</f>
        <v>58000</v>
      </c>
      <c r="AG45" s="138">
        <f>VLOOKUP($C$43,Servant!$B$5:$AD$29,15,FALSE)+($F45+($F45*0.5*($D45-1)))*(AG$3-1)</f>
        <v>60253</v>
      </c>
      <c r="AH45" s="138">
        <f>VLOOKUP($C$43,Servant!$B$5:$AD$29,15,FALSE)+($F45+($F45*0.5*($D45-1)))*(AH$3-1)</f>
        <v>62506</v>
      </c>
      <c r="AI45" s="138">
        <f>VLOOKUP($C$43,Servant!$B$5:$AD$29,15,FALSE)+($F45+($F45*0.5*($D45-1)))*(AI$3-1)</f>
        <v>64759</v>
      </c>
      <c r="AJ45" s="138">
        <f>VLOOKUP($C$43,Servant!$B$5:$AD$29,15,FALSE)+($F45+($F45*0.5*($D45-1)))*(AJ$3-1)</f>
        <v>67012</v>
      </c>
      <c r="AK45" s="138">
        <f>VLOOKUP($C$43,Servant!$B$5:$AD$29,15,FALSE)+($F45+($F45*0.5*($D45-1)))*(AK$3-1)</f>
        <v>69265</v>
      </c>
    </row>
    <row r="46" spans="2:37" x14ac:dyDescent="0.3">
      <c r="B46" s="309"/>
      <c r="C46" s="300" t="s">
        <v>310</v>
      </c>
      <c r="D46" s="128">
        <v>3</v>
      </c>
      <c r="E46" s="122">
        <f>VLOOKUP($C$46,ServantLevelUPdStatus!$B$5:$AD$29,3,FALSE)+(VLOOKUP($C$46,ServantLevelUPdStatus!$B$5:$AD$29,3,FALSE)*0.5*(Simulator_HP!$D46-1))</f>
        <v>1600</v>
      </c>
      <c r="F46" s="122">
        <f>VLOOKUP($C$46,ServantLevelUPdStatus!$B$5:$AD$29,3,FALSE)</f>
        <v>800</v>
      </c>
      <c r="H46" s="114">
        <f>VLOOKUP($C$46,Servant!$B$5:$AD$29,15,FALSE)+($F46+($F46*0.5*($D46-1)))*(H$3-1)</f>
        <v>4184</v>
      </c>
      <c r="I46" s="114">
        <f>VLOOKUP($C$46,Servant!$B$5:$AD$29,15,FALSE)+($F46+($F46*0.5*($D46-1)))*(I$3-1)</f>
        <v>5784</v>
      </c>
      <c r="J46" s="114">
        <f>VLOOKUP($C$46,Servant!$B$5:$AD$29,15,FALSE)+($F46+($F46*0.5*($D46-1)))*(J$3-1)</f>
        <v>7384</v>
      </c>
      <c r="K46" s="114">
        <f>VLOOKUP($C$46,Servant!$B$5:$AD$29,15,FALSE)+($F46+($F46*0.5*($D46-1)))*(K$3-1)</f>
        <v>8984</v>
      </c>
      <c r="L46" s="114">
        <f>VLOOKUP($C$46,Servant!$B$5:$AD$29,15,FALSE)+($F46+($F46*0.5*($D46-1)))*(L$3-1)</f>
        <v>10584</v>
      </c>
      <c r="M46" s="114">
        <f>VLOOKUP($C$46,Servant!$B$5:$AD$29,15,FALSE)+($F46+($F46*0.5*($D46-1)))*(M$3-1)</f>
        <v>12184</v>
      </c>
      <c r="N46" s="114">
        <f>VLOOKUP($C$46,Servant!$B$5:$AD$29,15,FALSE)+($F46+($F46*0.5*($D46-1)))*(N$3-1)</f>
        <v>13784</v>
      </c>
      <c r="O46" s="114">
        <f>VLOOKUP($C$46,Servant!$B$5:$AD$29,15,FALSE)+($F46+($F46*0.5*($D46-1)))*(O$3-1)</f>
        <v>15384</v>
      </c>
      <c r="P46" s="114">
        <f>VLOOKUP($C$46,Servant!$B$5:$AD$29,15,FALSE)+($F46+($F46*0.5*($D46-1)))*(P$3-1)</f>
        <v>16984</v>
      </c>
      <c r="Q46" s="114">
        <f>VLOOKUP($C$46,Servant!$B$5:$AD$29,15,FALSE)+($F46+($F46*0.5*($D46-1)))*(Q$3-1)</f>
        <v>18584</v>
      </c>
      <c r="R46" s="114">
        <f>VLOOKUP($C$46,Servant!$B$5:$AD$29,15,FALSE)+($F46+($F46*0.5*($D46-1)))*(R$3-1)</f>
        <v>20184</v>
      </c>
      <c r="S46" s="114">
        <f>VLOOKUP($C$46,Servant!$B$5:$AD$29,15,FALSE)+($F46+($F46*0.5*($D46-1)))*(S$3-1)</f>
        <v>21784</v>
      </c>
      <c r="T46" s="114">
        <f>VLOOKUP($C$46,Servant!$B$5:$AD$29,15,FALSE)+($F46+($F46*0.5*($D46-1)))*(T$3-1)</f>
        <v>23384</v>
      </c>
      <c r="U46" s="114">
        <f>VLOOKUP($C$46,Servant!$B$5:$AD$29,15,FALSE)+($F46+($F46*0.5*($D46-1)))*(U$3-1)</f>
        <v>24984</v>
      </c>
      <c r="V46" s="114">
        <f>VLOOKUP($C$46,Servant!$B$5:$AD$29,15,FALSE)+($F46+($F46*0.5*($D46-1)))*(V$3-1)</f>
        <v>26584</v>
      </c>
      <c r="W46" s="114">
        <f>VLOOKUP($C$46,Servant!$B$5:$AD$29,15,FALSE)+($F46+($F46*0.5*($D46-1)))*(W$3-1)</f>
        <v>28184</v>
      </c>
      <c r="X46" s="114">
        <f>VLOOKUP($C$46,Servant!$B$5:$AD$29,15,FALSE)+($F46+($F46*0.5*($D46-1)))*(X$3-1)</f>
        <v>29784</v>
      </c>
      <c r="Y46" s="114">
        <f>VLOOKUP($C$46,Servant!$B$5:$AD$29,15,FALSE)+($F46+($F46*0.5*($D46-1)))*(Y$3-1)</f>
        <v>31384</v>
      </c>
      <c r="Z46" s="114">
        <f>VLOOKUP($C$46,Servant!$B$5:$AD$29,15,FALSE)+($F46+($F46*0.5*($D46-1)))*(Z$3-1)</f>
        <v>32984</v>
      </c>
      <c r="AA46" s="114">
        <f>VLOOKUP($C$46,Servant!$B$5:$AD$29,15,FALSE)+($F46+($F46*0.5*($D46-1)))*(AA$3-1)</f>
        <v>34584</v>
      </c>
      <c r="AB46" s="114">
        <f>VLOOKUP($C$46,Servant!$B$5:$AD$29,15,FALSE)+($F46+($F46*0.5*($D46-1)))*(AB$3-1)</f>
        <v>36184</v>
      </c>
      <c r="AC46" s="114">
        <f>VLOOKUP($C$46,Servant!$B$5:$AD$29,15,FALSE)+($F46+($F46*0.5*($D46-1)))*(AC$3-1)</f>
        <v>37784</v>
      </c>
      <c r="AD46" s="114">
        <f>VLOOKUP($C$46,Servant!$B$5:$AD$29,15,FALSE)+($F46+($F46*0.5*($D46-1)))*(AD$3-1)</f>
        <v>39384</v>
      </c>
      <c r="AE46" s="114">
        <f>VLOOKUP($C$46,Servant!$B$5:$AD$29,15,FALSE)+($F46+($F46*0.5*($D46-1)))*(AE$3-1)</f>
        <v>40984</v>
      </c>
      <c r="AF46" s="114">
        <f>VLOOKUP($C$46,Servant!$B$5:$AD$29,15,FALSE)+($F46+($F46*0.5*($D46-1)))*(AF$3-1)</f>
        <v>42584</v>
      </c>
      <c r="AG46" s="114">
        <f>VLOOKUP($C$46,Servant!$B$5:$AD$29,15,FALSE)+($F46+($F46*0.5*($D46-1)))*(AG$3-1)</f>
        <v>44184</v>
      </c>
      <c r="AH46" s="114">
        <f>VLOOKUP($C$46,Servant!$B$5:$AD$29,15,FALSE)+($F46+($F46*0.5*($D46-1)))*(AH$3-1)</f>
        <v>45784</v>
      </c>
      <c r="AI46" s="114">
        <f>VLOOKUP($C$46,Servant!$B$5:$AD$29,15,FALSE)+($F46+($F46*0.5*($D46-1)))*(AI$3-1)</f>
        <v>47384</v>
      </c>
      <c r="AJ46" s="114">
        <f>VLOOKUP($C$46,Servant!$B$5:$AD$29,15,FALSE)+($F46+($F46*0.5*($D46-1)))*(AJ$3-1)</f>
        <v>48984</v>
      </c>
      <c r="AK46" s="114">
        <f>VLOOKUP($C$46,Servant!$B$5:$AD$29,15,FALSE)+($F46+($F46*0.5*($D46-1)))*(AK$3-1)</f>
        <v>50584</v>
      </c>
    </row>
    <row r="47" spans="2:37" x14ac:dyDescent="0.3">
      <c r="B47" s="309"/>
      <c r="C47" s="300"/>
      <c r="D47" s="128">
        <v>4</v>
      </c>
      <c r="E47" s="122">
        <f>VLOOKUP($C$46,ServantLevelUPdStatus!$B$5:$AD$29,3,FALSE)+(VLOOKUP($C$46,ServantLevelUPdStatus!$B$5:$AD$29,3,FALSE)*0.5*(Simulator_HP!$D47-1))</f>
        <v>2000</v>
      </c>
      <c r="F47" s="121">
        <f>F46</f>
        <v>800</v>
      </c>
      <c r="H47" s="114">
        <f>VLOOKUP($C$46,Servant!$B$5:$AD$29,15,FALSE)+($F47+($F47*0.5*($D47-1)))*(H$3-1)</f>
        <v>4184</v>
      </c>
      <c r="I47" s="114">
        <f>VLOOKUP($C$46,Servant!$B$5:$AD$29,15,FALSE)+($F47+($F47*0.5*($D47-1)))*(I$3-1)</f>
        <v>6184</v>
      </c>
      <c r="J47" s="114">
        <f>VLOOKUP($C$46,Servant!$B$5:$AD$29,15,FALSE)+($F47+($F47*0.5*($D47-1)))*(J$3-1)</f>
        <v>8184</v>
      </c>
      <c r="K47" s="114">
        <f>VLOOKUP($C$46,Servant!$B$5:$AD$29,15,FALSE)+($F47+($F47*0.5*($D47-1)))*(K$3-1)</f>
        <v>10184</v>
      </c>
      <c r="L47" s="114">
        <f>VLOOKUP($C$46,Servant!$B$5:$AD$29,15,FALSE)+($F47+($F47*0.5*($D47-1)))*(L$3-1)</f>
        <v>12184</v>
      </c>
      <c r="M47" s="114">
        <f>VLOOKUP($C$46,Servant!$B$5:$AD$29,15,FALSE)+($F47+($F47*0.5*($D47-1)))*(M$3-1)</f>
        <v>14184</v>
      </c>
      <c r="N47" s="114">
        <f>VLOOKUP($C$46,Servant!$B$5:$AD$29,15,FALSE)+($F47+($F47*0.5*($D47-1)))*(N$3-1)</f>
        <v>16184</v>
      </c>
      <c r="O47" s="114">
        <f>VLOOKUP($C$46,Servant!$B$5:$AD$29,15,FALSE)+($F47+($F47*0.5*($D47-1)))*(O$3-1)</f>
        <v>18184</v>
      </c>
      <c r="P47" s="114">
        <f>VLOOKUP($C$46,Servant!$B$5:$AD$29,15,FALSE)+($F47+($F47*0.5*($D47-1)))*(P$3-1)</f>
        <v>20184</v>
      </c>
      <c r="Q47" s="114">
        <f>VLOOKUP($C$46,Servant!$B$5:$AD$29,15,FALSE)+($F47+($F47*0.5*($D47-1)))*(Q$3-1)</f>
        <v>22184</v>
      </c>
      <c r="R47" s="114">
        <f>VLOOKUP($C$46,Servant!$B$5:$AD$29,15,FALSE)+($F47+($F47*0.5*($D47-1)))*(R$3-1)</f>
        <v>24184</v>
      </c>
      <c r="S47" s="114">
        <f>VLOOKUP($C$46,Servant!$B$5:$AD$29,15,FALSE)+($F47+($F47*0.5*($D47-1)))*(S$3-1)</f>
        <v>26184</v>
      </c>
      <c r="T47" s="114">
        <f>VLOOKUP($C$46,Servant!$B$5:$AD$29,15,FALSE)+($F47+($F47*0.5*($D47-1)))*(T$3-1)</f>
        <v>28184</v>
      </c>
      <c r="U47" s="114">
        <f>VLOOKUP($C$46,Servant!$B$5:$AD$29,15,FALSE)+($F47+($F47*0.5*($D47-1)))*(U$3-1)</f>
        <v>30184</v>
      </c>
      <c r="V47" s="114">
        <f>VLOOKUP($C$46,Servant!$B$5:$AD$29,15,FALSE)+($F47+($F47*0.5*($D47-1)))*(V$3-1)</f>
        <v>32184</v>
      </c>
      <c r="W47" s="114">
        <f>VLOOKUP($C$46,Servant!$B$5:$AD$29,15,FALSE)+($F47+($F47*0.5*($D47-1)))*(W$3-1)</f>
        <v>34184</v>
      </c>
      <c r="X47" s="114">
        <f>VLOOKUP($C$46,Servant!$B$5:$AD$29,15,FALSE)+($F47+($F47*0.5*($D47-1)))*(X$3-1)</f>
        <v>36184</v>
      </c>
      <c r="Y47" s="114">
        <f>VLOOKUP($C$46,Servant!$B$5:$AD$29,15,FALSE)+($F47+($F47*0.5*($D47-1)))*(Y$3-1)</f>
        <v>38184</v>
      </c>
      <c r="Z47" s="114">
        <f>VLOOKUP($C$46,Servant!$B$5:$AD$29,15,FALSE)+($F47+($F47*0.5*($D47-1)))*(Z$3-1)</f>
        <v>40184</v>
      </c>
      <c r="AA47" s="114">
        <f>VLOOKUP($C$46,Servant!$B$5:$AD$29,15,FALSE)+($F47+($F47*0.5*($D47-1)))*(AA$3-1)</f>
        <v>42184</v>
      </c>
      <c r="AB47" s="114">
        <f>VLOOKUP($C$46,Servant!$B$5:$AD$29,15,FALSE)+($F47+($F47*0.5*($D47-1)))*(AB$3-1)</f>
        <v>44184</v>
      </c>
      <c r="AC47" s="114">
        <f>VLOOKUP($C$46,Servant!$B$5:$AD$29,15,FALSE)+($F47+($F47*0.5*($D47-1)))*(AC$3-1)</f>
        <v>46184</v>
      </c>
      <c r="AD47" s="114">
        <f>VLOOKUP($C$46,Servant!$B$5:$AD$29,15,FALSE)+($F47+($F47*0.5*($D47-1)))*(AD$3-1)</f>
        <v>48184</v>
      </c>
      <c r="AE47" s="114">
        <f>VLOOKUP($C$46,Servant!$B$5:$AD$29,15,FALSE)+($F47+($F47*0.5*($D47-1)))*(AE$3-1)</f>
        <v>50184</v>
      </c>
      <c r="AF47" s="114">
        <f>VLOOKUP($C$46,Servant!$B$5:$AD$29,15,FALSE)+($F47+($F47*0.5*($D47-1)))*(AF$3-1)</f>
        <v>52184</v>
      </c>
      <c r="AG47" s="114">
        <f>VLOOKUP($C$46,Servant!$B$5:$AD$29,15,FALSE)+($F47+($F47*0.5*($D47-1)))*(AG$3-1)</f>
        <v>54184</v>
      </c>
      <c r="AH47" s="114">
        <f>VLOOKUP($C$46,Servant!$B$5:$AD$29,15,FALSE)+($F47+($F47*0.5*($D47-1)))*(AH$3-1)</f>
        <v>56184</v>
      </c>
      <c r="AI47" s="114">
        <f>VLOOKUP($C$46,Servant!$B$5:$AD$29,15,FALSE)+($F47+($F47*0.5*($D47-1)))*(AI$3-1)</f>
        <v>58184</v>
      </c>
      <c r="AJ47" s="114">
        <f>VLOOKUP($C$46,Servant!$B$5:$AD$29,15,FALSE)+($F47+($F47*0.5*($D47-1)))*(AJ$3-1)</f>
        <v>60184</v>
      </c>
      <c r="AK47" s="114">
        <f>VLOOKUP($C$46,Servant!$B$5:$AD$29,15,FALSE)+($F47+($F47*0.5*($D47-1)))*(AK$3-1)</f>
        <v>62184</v>
      </c>
    </row>
    <row r="48" spans="2:37" x14ac:dyDescent="0.3">
      <c r="B48" s="309"/>
      <c r="C48" s="300"/>
      <c r="D48" s="128">
        <v>5</v>
      </c>
      <c r="E48" s="122">
        <f>VLOOKUP($C$46,ServantLevelUPdStatus!$B$5:$AD$29,3,FALSE)+(VLOOKUP($C$46,ServantLevelUPdStatus!$B$5:$AD$29,3,FALSE)*0.5*(Simulator_HP!$D48-1))</f>
        <v>2400</v>
      </c>
      <c r="F48" s="121">
        <f>F47</f>
        <v>800</v>
      </c>
      <c r="H48" s="114">
        <f>VLOOKUP($C$46,Servant!$B$5:$AD$29,15,FALSE)+($F48+($F48*0.5*($D48-1)))*(H$3-1)</f>
        <v>4184</v>
      </c>
      <c r="I48" s="114">
        <f>VLOOKUP($C$46,Servant!$B$5:$AD$29,15,FALSE)+($F48+($F48*0.5*($D48-1)))*(I$3-1)</f>
        <v>6584</v>
      </c>
      <c r="J48" s="114">
        <f>VLOOKUP($C$46,Servant!$B$5:$AD$29,15,FALSE)+($F48+($F48*0.5*($D48-1)))*(J$3-1)</f>
        <v>8984</v>
      </c>
      <c r="K48" s="114">
        <f>VLOOKUP($C$46,Servant!$B$5:$AD$29,15,FALSE)+($F48+($F48*0.5*($D48-1)))*(K$3-1)</f>
        <v>11384</v>
      </c>
      <c r="L48" s="114">
        <f>VLOOKUP($C$46,Servant!$B$5:$AD$29,15,FALSE)+($F48+($F48*0.5*($D48-1)))*(L$3-1)</f>
        <v>13784</v>
      </c>
      <c r="M48" s="114">
        <f>VLOOKUP($C$46,Servant!$B$5:$AD$29,15,FALSE)+($F48+($F48*0.5*($D48-1)))*(M$3-1)</f>
        <v>16184</v>
      </c>
      <c r="N48" s="114">
        <f>VLOOKUP($C$46,Servant!$B$5:$AD$29,15,FALSE)+($F48+($F48*0.5*($D48-1)))*(N$3-1)</f>
        <v>18584</v>
      </c>
      <c r="O48" s="114">
        <f>VLOOKUP($C$46,Servant!$B$5:$AD$29,15,FALSE)+($F48+($F48*0.5*($D48-1)))*(O$3-1)</f>
        <v>20984</v>
      </c>
      <c r="P48" s="114">
        <f>VLOOKUP($C$46,Servant!$B$5:$AD$29,15,FALSE)+($F48+($F48*0.5*($D48-1)))*(P$3-1)</f>
        <v>23384</v>
      </c>
      <c r="Q48" s="114">
        <f>VLOOKUP($C$46,Servant!$B$5:$AD$29,15,FALSE)+($F48+($F48*0.5*($D48-1)))*(Q$3-1)</f>
        <v>25784</v>
      </c>
      <c r="R48" s="114">
        <f>VLOOKUP($C$46,Servant!$B$5:$AD$29,15,FALSE)+($F48+($F48*0.5*($D48-1)))*(R$3-1)</f>
        <v>28184</v>
      </c>
      <c r="S48" s="114">
        <f>VLOOKUP($C$46,Servant!$B$5:$AD$29,15,FALSE)+($F48+($F48*0.5*($D48-1)))*(S$3-1)</f>
        <v>30584</v>
      </c>
      <c r="T48" s="114">
        <f>VLOOKUP($C$46,Servant!$B$5:$AD$29,15,FALSE)+($F48+($F48*0.5*($D48-1)))*(T$3-1)</f>
        <v>32984</v>
      </c>
      <c r="U48" s="114">
        <f>VLOOKUP($C$46,Servant!$B$5:$AD$29,15,FALSE)+($F48+($F48*0.5*($D48-1)))*(U$3-1)</f>
        <v>35384</v>
      </c>
      <c r="V48" s="114">
        <f>VLOOKUP($C$46,Servant!$B$5:$AD$29,15,FALSE)+($F48+($F48*0.5*($D48-1)))*(V$3-1)</f>
        <v>37784</v>
      </c>
      <c r="W48" s="114">
        <f>VLOOKUP($C$46,Servant!$B$5:$AD$29,15,FALSE)+($F48+($F48*0.5*($D48-1)))*(W$3-1)</f>
        <v>40184</v>
      </c>
      <c r="X48" s="114">
        <f>VLOOKUP($C$46,Servant!$B$5:$AD$29,15,FALSE)+($F48+($F48*0.5*($D48-1)))*(X$3-1)</f>
        <v>42584</v>
      </c>
      <c r="Y48" s="114">
        <f>VLOOKUP($C$46,Servant!$B$5:$AD$29,15,FALSE)+($F48+($F48*0.5*($D48-1)))*(Y$3-1)</f>
        <v>44984</v>
      </c>
      <c r="Z48" s="114">
        <f>VLOOKUP($C$46,Servant!$B$5:$AD$29,15,FALSE)+($F48+($F48*0.5*($D48-1)))*(Z$3-1)</f>
        <v>47384</v>
      </c>
      <c r="AA48" s="114">
        <f>VLOOKUP($C$46,Servant!$B$5:$AD$29,15,FALSE)+($F48+($F48*0.5*($D48-1)))*(AA$3-1)</f>
        <v>49784</v>
      </c>
      <c r="AB48" s="114">
        <f>VLOOKUP($C$46,Servant!$B$5:$AD$29,15,FALSE)+($F48+($F48*0.5*($D48-1)))*(AB$3-1)</f>
        <v>52184</v>
      </c>
      <c r="AC48" s="114">
        <f>VLOOKUP($C$46,Servant!$B$5:$AD$29,15,FALSE)+($F48+($F48*0.5*($D48-1)))*(AC$3-1)</f>
        <v>54584</v>
      </c>
      <c r="AD48" s="114">
        <f>VLOOKUP($C$46,Servant!$B$5:$AD$29,15,FALSE)+($F48+($F48*0.5*($D48-1)))*(AD$3-1)</f>
        <v>56984</v>
      </c>
      <c r="AE48" s="114">
        <f>VLOOKUP($C$46,Servant!$B$5:$AD$29,15,FALSE)+($F48+($F48*0.5*($D48-1)))*(AE$3-1)</f>
        <v>59384</v>
      </c>
      <c r="AF48" s="114">
        <f>VLOOKUP($C$46,Servant!$B$5:$AD$29,15,FALSE)+($F48+($F48*0.5*($D48-1)))*(AF$3-1)</f>
        <v>61784</v>
      </c>
      <c r="AG48" s="114">
        <f>VLOOKUP($C$46,Servant!$B$5:$AD$29,15,FALSE)+($F48+($F48*0.5*($D48-1)))*(AG$3-1)</f>
        <v>64184</v>
      </c>
      <c r="AH48" s="114">
        <f>VLOOKUP($C$46,Servant!$B$5:$AD$29,15,FALSE)+($F48+($F48*0.5*($D48-1)))*(AH$3-1)</f>
        <v>66584</v>
      </c>
      <c r="AI48" s="114">
        <f>VLOOKUP($C$46,Servant!$B$5:$AD$29,15,FALSE)+($F48+($F48*0.5*($D48-1)))*(AI$3-1)</f>
        <v>68984</v>
      </c>
      <c r="AJ48" s="114">
        <f>VLOOKUP($C$46,Servant!$B$5:$AD$29,15,FALSE)+($F48+($F48*0.5*($D48-1)))*(AJ$3-1)</f>
        <v>71384</v>
      </c>
      <c r="AK48" s="114">
        <f>VLOOKUP($C$46,Servant!$B$5:$AD$29,15,FALSE)+($F48+($F48*0.5*($D48-1)))*(AK$3-1)</f>
        <v>73784</v>
      </c>
    </row>
    <row r="49" spans="2:37" x14ac:dyDescent="0.3">
      <c r="B49" s="309"/>
      <c r="C49" s="317" t="s">
        <v>311</v>
      </c>
      <c r="D49" s="136">
        <v>3</v>
      </c>
      <c r="E49" s="137">
        <f>VLOOKUP($C$49,ServantLevelUPdStatus!$B$5:$AD$29,3,FALSE)+(VLOOKUP($C$49,ServantLevelUPdStatus!$B$5:$AD$29,3,FALSE)*0.5*(Simulator_HP!$D49-1))</f>
        <v>1404</v>
      </c>
      <c r="F49" s="137">
        <f>VLOOKUP($C$49,ServantLevelUPdStatus!$B$5:$AD$29,3,FALSE)</f>
        <v>702</v>
      </c>
      <c r="H49" s="138">
        <f>VLOOKUP($C$49,Servant!$B$5:$AD$29,15,FALSE)+($F49+($F49*0.5*($D49-1)))*(H$3-1)</f>
        <v>3672</v>
      </c>
      <c r="I49" s="138">
        <f>VLOOKUP($C$49,Servant!$B$5:$AD$29,15,FALSE)+($F49+($F49*0.5*($D49-1)))*(I$3-1)</f>
        <v>5076</v>
      </c>
      <c r="J49" s="138">
        <f>VLOOKUP($C$49,Servant!$B$5:$AD$29,15,FALSE)+($F49+($F49*0.5*($D49-1)))*(J$3-1)</f>
        <v>6480</v>
      </c>
      <c r="K49" s="138">
        <f>VLOOKUP($C$49,Servant!$B$5:$AD$29,15,FALSE)+($F49+($F49*0.5*($D49-1)))*(K$3-1)</f>
        <v>7884</v>
      </c>
      <c r="L49" s="138">
        <f>VLOOKUP($C$49,Servant!$B$5:$AD$29,15,FALSE)+($F49+($F49*0.5*($D49-1)))*(L$3-1)</f>
        <v>9288</v>
      </c>
      <c r="M49" s="138">
        <f>VLOOKUP($C$49,Servant!$B$5:$AD$29,15,FALSE)+($F49+($F49*0.5*($D49-1)))*(M$3-1)</f>
        <v>10692</v>
      </c>
      <c r="N49" s="138">
        <f>VLOOKUP($C$49,Servant!$B$5:$AD$29,15,FALSE)+($F49+($F49*0.5*($D49-1)))*(N$3-1)</f>
        <v>12096</v>
      </c>
      <c r="O49" s="138">
        <f>VLOOKUP($C$49,Servant!$B$5:$AD$29,15,FALSE)+($F49+($F49*0.5*($D49-1)))*(O$3-1)</f>
        <v>13500</v>
      </c>
      <c r="P49" s="138">
        <f>VLOOKUP($C$49,Servant!$B$5:$AD$29,15,FALSE)+($F49+($F49*0.5*($D49-1)))*(P$3-1)</f>
        <v>14904</v>
      </c>
      <c r="Q49" s="138">
        <f>VLOOKUP($C$49,Servant!$B$5:$AD$29,15,FALSE)+($F49+($F49*0.5*($D49-1)))*(Q$3-1)</f>
        <v>16308</v>
      </c>
      <c r="R49" s="138">
        <f>VLOOKUP($C$49,Servant!$B$5:$AD$29,15,FALSE)+($F49+($F49*0.5*($D49-1)))*(R$3-1)</f>
        <v>17712</v>
      </c>
      <c r="S49" s="138">
        <f>VLOOKUP($C$49,Servant!$B$5:$AD$29,15,FALSE)+($F49+($F49*0.5*($D49-1)))*(S$3-1)</f>
        <v>19116</v>
      </c>
      <c r="T49" s="138">
        <f>VLOOKUP($C$49,Servant!$B$5:$AD$29,15,FALSE)+($F49+($F49*0.5*($D49-1)))*(T$3-1)</f>
        <v>20520</v>
      </c>
      <c r="U49" s="138">
        <f>VLOOKUP($C$49,Servant!$B$5:$AD$29,15,FALSE)+($F49+($F49*0.5*($D49-1)))*(U$3-1)</f>
        <v>21924</v>
      </c>
      <c r="V49" s="138">
        <f>VLOOKUP($C$49,Servant!$B$5:$AD$29,15,FALSE)+($F49+($F49*0.5*($D49-1)))*(V$3-1)</f>
        <v>23328</v>
      </c>
      <c r="W49" s="138">
        <f>VLOOKUP($C$49,Servant!$B$5:$AD$29,15,FALSE)+($F49+($F49*0.5*($D49-1)))*(W$3-1)</f>
        <v>24732</v>
      </c>
      <c r="X49" s="138">
        <f>VLOOKUP($C$49,Servant!$B$5:$AD$29,15,FALSE)+($F49+($F49*0.5*($D49-1)))*(X$3-1)</f>
        <v>26136</v>
      </c>
      <c r="Y49" s="138">
        <f>VLOOKUP($C$49,Servant!$B$5:$AD$29,15,FALSE)+($F49+($F49*0.5*($D49-1)))*(Y$3-1)</f>
        <v>27540</v>
      </c>
      <c r="Z49" s="138">
        <f>VLOOKUP($C$49,Servant!$B$5:$AD$29,15,FALSE)+($F49+($F49*0.5*($D49-1)))*(Z$3-1)</f>
        <v>28944</v>
      </c>
      <c r="AA49" s="138">
        <f>VLOOKUP($C$49,Servant!$B$5:$AD$29,15,FALSE)+($F49+($F49*0.5*($D49-1)))*(AA$3-1)</f>
        <v>30348</v>
      </c>
      <c r="AB49" s="138">
        <f>VLOOKUP($C$49,Servant!$B$5:$AD$29,15,FALSE)+($F49+($F49*0.5*($D49-1)))*(AB$3-1)</f>
        <v>31752</v>
      </c>
      <c r="AC49" s="138">
        <f>VLOOKUP($C$49,Servant!$B$5:$AD$29,15,FALSE)+($F49+($F49*0.5*($D49-1)))*(AC$3-1)</f>
        <v>33156</v>
      </c>
      <c r="AD49" s="138">
        <f>VLOOKUP($C$49,Servant!$B$5:$AD$29,15,FALSE)+($F49+($F49*0.5*($D49-1)))*(AD$3-1)</f>
        <v>34560</v>
      </c>
      <c r="AE49" s="138">
        <f>VLOOKUP($C$49,Servant!$B$5:$AD$29,15,FALSE)+($F49+($F49*0.5*($D49-1)))*(AE$3-1)</f>
        <v>35964</v>
      </c>
      <c r="AF49" s="138">
        <f>VLOOKUP($C$49,Servant!$B$5:$AD$29,15,FALSE)+($F49+($F49*0.5*($D49-1)))*(AF$3-1)</f>
        <v>37368</v>
      </c>
      <c r="AG49" s="138">
        <f>VLOOKUP($C$49,Servant!$B$5:$AD$29,15,FALSE)+($F49+($F49*0.5*($D49-1)))*(AG$3-1)</f>
        <v>38772</v>
      </c>
      <c r="AH49" s="138">
        <f>VLOOKUP($C$49,Servant!$B$5:$AD$29,15,FALSE)+($F49+($F49*0.5*($D49-1)))*(AH$3-1)</f>
        <v>40176</v>
      </c>
      <c r="AI49" s="138">
        <f>VLOOKUP($C$49,Servant!$B$5:$AD$29,15,FALSE)+($F49+($F49*0.5*($D49-1)))*(AI$3-1)</f>
        <v>41580</v>
      </c>
      <c r="AJ49" s="138">
        <f>VLOOKUP($C$49,Servant!$B$5:$AD$29,15,FALSE)+($F49+($F49*0.5*($D49-1)))*(AJ$3-1)</f>
        <v>42984</v>
      </c>
      <c r="AK49" s="138">
        <f>VLOOKUP($C$49,Servant!$B$5:$AD$29,15,FALSE)+($F49+($F49*0.5*($D49-1)))*(AK$3-1)</f>
        <v>44388</v>
      </c>
    </row>
    <row r="50" spans="2:37" x14ac:dyDescent="0.3">
      <c r="B50" s="309"/>
      <c r="C50" s="317"/>
      <c r="D50" s="136">
        <v>4</v>
      </c>
      <c r="E50" s="137">
        <f>VLOOKUP($C$49,ServantLevelUPdStatus!$B$5:$AD$29,3,FALSE)+(VLOOKUP($C$49,ServantLevelUPdStatus!$B$5:$AD$29,3,FALSE)*0.5*(Simulator_HP!$D50-1))</f>
        <v>1755</v>
      </c>
      <c r="F50" s="139">
        <f>F49</f>
        <v>702</v>
      </c>
      <c r="H50" s="138">
        <f>VLOOKUP($C$49,Servant!$B$5:$AD$29,15,FALSE)+($F50+($F50*0.5*($D50-1)))*(H$3-1)</f>
        <v>3672</v>
      </c>
      <c r="I50" s="138">
        <f>VLOOKUP($C$49,Servant!$B$5:$AD$29,15,FALSE)+($F50+($F50*0.5*($D50-1)))*(I$3-1)</f>
        <v>5427</v>
      </c>
      <c r="J50" s="138">
        <f>VLOOKUP($C$49,Servant!$B$5:$AD$29,15,FALSE)+($F50+($F50*0.5*($D50-1)))*(J$3-1)</f>
        <v>7182</v>
      </c>
      <c r="K50" s="138">
        <f>VLOOKUP($C$49,Servant!$B$5:$AD$29,15,FALSE)+($F50+($F50*0.5*($D50-1)))*(K$3-1)</f>
        <v>8937</v>
      </c>
      <c r="L50" s="138">
        <f>VLOOKUP($C$49,Servant!$B$5:$AD$29,15,FALSE)+($F50+($F50*0.5*($D50-1)))*(L$3-1)</f>
        <v>10692</v>
      </c>
      <c r="M50" s="138">
        <f>VLOOKUP($C$49,Servant!$B$5:$AD$29,15,FALSE)+($F50+($F50*0.5*($D50-1)))*(M$3-1)</f>
        <v>12447</v>
      </c>
      <c r="N50" s="138">
        <f>VLOOKUP($C$49,Servant!$B$5:$AD$29,15,FALSE)+($F50+($F50*0.5*($D50-1)))*(N$3-1)</f>
        <v>14202</v>
      </c>
      <c r="O50" s="138">
        <f>VLOOKUP($C$49,Servant!$B$5:$AD$29,15,FALSE)+($F50+($F50*0.5*($D50-1)))*(O$3-1)</f>
        <v>15957</v>
      </c>
      <c r="P50" s="138">
        <f>VLOOKUP($C$49,Servant!$B$5:$AD$29,15,FALSE)+($F50+($F50*0.5*($D50-1)))*(P$3-1)</f>
        <v>17712</v>
      </c>
      <c r="Q50" s="138">
        <f>VLOOKUP($C$49,Servant!$B$5:$AD$29,15,FALSE)+($F50+($F50*0.5*($D50-1)))*(Q$3-1)</f>
        <v>19467</v>
      </c>
      <c r="R50" s="138">
        <f>VLOOKUP($C$49,Servant!$B$5:$AD$29,15,FALSE)+($F50+($F50*0.5*($D50-1)))*(R$3-1)</f>
        <v>21222</v>
      </c>
      <c r="S50" s="138">
        <f>VLOOKUP($C$49,Servant!$B$5:$AD$29,15,FALSE)+($F50+($F50*0.5*($D50-1)))*(S$3-1)</f>
        <v>22977</v>
      </c>
      <c r="T50" s="138">
        <f>VLOOKUP($C$49,Servant!$B$5:$AD$29,15,FALSE)+($F50+($F50*0.5*($D50-1)))*(T$3-1)</f>
        <v>24732</v>
      </c>
      <c r="U50" s="138">
        <f>VLOOKUP($C$49,Servant!$B$5:$AD$29,15,FALSE)+($F50+($F50*0.5*($D50-1)))*(U$3-1)</f>
        <v>26487</v>
      </c>
      <c r="V50" s="138">
        <f>VLOOKUP($C$49,Servant!$B$5:$AD$29,15,FALSE)+($F50+($F50*0.5*($D50-1)))*(V$3-1)</f>
        <v>28242</v>
      </c>
      <c r="W50" s="138">
        <f>VLOOKUP($C$49,Servant!$B$5:$AD$29,15,FALSE)+($F50+($F50*0.5*($D50-1)))*(W$3-1)</f>
        <v>29997</v>
      </c>
      <c r="X50" s="138">
        <f>VLOOKUP($C$49,Servant!$B$5:$AD$29,15,FALSE)+($F50+($F50*0.5*($D50-1)))*(X$3-1)</f>
        <v>31752</v>
      </c>
      <c r="Y50" s="138">
        <f>VLOOKUP($C$49,Servant!$B$5:$AD$29,15,FALSE)+($F50+($F50*0.5*($D50-1)))*(Y$3-1)</f>
        <v>33507</v>
      </c>
      <c r="Z50" s="138">
        <f>VLOOKUP($C$49,Servant!$B$5:$AD$29,15,FALSE)+($F50+($F50*0.5*($D50-1)))*(Z$3-1)</f>
        <v>35262</v>
      </c>
      <c r="AA50" s="138">
        <f>VLOOKUP($C$49,Servant!$B$5:$AD$29,15,FALSE)+($F50+($F50*0.5*($D50-1)))*(AA$3-1)</f>
        <v>37017</v>
      </c>
      <c r="AB50" s="138">
        <f>VLOOKUP($C$49,Servant!$B$5:$AD$29,15,FALSE)+($F50+($F50*0.5*($D50-1)))*(AB$3-1)</f>
        <v>38772</v>
      </c>
      <c r="AC50" s="138">
        <f>VLOOKUP($C$49,Servant!$B$5:$AD$29,15,FALSE)+($F50+($F50*0.5*($D50-1)))*(AC$3-1)</f>
        <v>40527</v>
      </c>
      <c r="AD50" s="138">
        <f>VLOOKUP($C$49,Servant!$B$5:$AD$29,15,FALSE)+($F50+($F50*0.5*($D50-1)))*(AD$3-1)</f>
        <v>42282</v>
      </c>
      <c r="AE50" s="138">
        <f>VLOOKUP($C$49,Servant!$B$5:$AD$29,15,FALSE)+($F50+($F50*0.5*($D50-1)))*(AE$3-1)</f>
        <v>44037</v>
      </c>
      <c r="AF50" s="138">
        <f>VLOOKUP($C$49,Servant!$B$5:$AD$29,15,FALSE)+($F50+($F50*0.5*($D50-1)))*(AF$3-1)</f>
        <v>45792</v>
      </c>
      <c r="AG50" s="138">
        <f>VLOOKUP($C$49,Servant!$B$5:$AD$29,15,FALSE)+($F50+($F50*0.5*($D50-1)))*(AG$3-1)</f>
        <v>47547</v>
      </c>
      <c r="AH50" s="138">
        <f>VLOOKUP($C$49,Servant!$B$5:$AD$29,15,FALSE)+($F50+($F50*0.5*($D50-1)))*(AH$3-1)</f>
        <v>49302</v>
      </c>
      <c r="AI50" s="138">
        <f>VLOOKUP($C$49,Servant!$B$5:$AD$29,15,FALSE)+($F50+($F50*0.5*($D50-1)))*(AI$3-1)</f>
        <v>51057</v>
      </c>
      <c r="AJ50" s="138">
        <f>VLOOKUP($C$49,Servant!$B$5:$AD$29,15,FALSE)+($F50+($F50*0.5*($D50-1)))*(AJ$3-1)</f>
        <v>52812</v>
      </c>
      <c r="AK50" s="138">
        <f>VLOOKUP($C$49,Servant!$B$5:$AD$29,15,FALSE)+($F50+($F50*0.5*($D50-1)))*(AK$3-1)</f>
        <v>54567</v>
      </c>
    </row>
    <row r="51" spans="2:37" x14ac:dyDescent="0.3">
      <c r="B51" s="309"/>
      <c r="C51" s="317"/>
      <c r="D51" s="136">
        <v>5</v>
      </c>
      <c r="E51" s="137">
        <f>VLOOKUP($C$49,ServantLevelUPdStatus!$B$5:$AD$29,3,FALSE)+(VLOOKUP($C$49,ServantLevelUPdStatus!$B$5:$AD$29,3,FALSE)*0.5*(Simulator_HP!$D51-1))</f>
        <v>2106</v>
      </c>
      <c r="F51" s="139">
        <f>F50</f>
        <v>702</v>
      </c>
      <c r="H51" s="138">
        <f>VLOOKUP($C$49,Servant!$B$5:$AD$29,15,FALSE)+($F51+($F51*0.5*($D51-1)))*(H$3-1)</f>
        <v>3672</v>
      </c>
      <c r="I51" s="138">
        <f>VLOOKUP($C$49,Servant!$B$5:$AD$29,15,FALSE)+($F51+($F51*0.5*($D51-1)))*(I$3-1)</f>
        <v>5778</v>
      </c>
      <c r="J51" s="138">
        <f>VLOOKUP($C$49,Servant!$B$5:$AD$29,15,FALSE)+($F51+($F51*0.5*($D51-1)))*(J$3-1)</f>
        <v>7884</v>
      </c>
      <c r="K51" s="138">
        <f>VLOOKUP($C$49,Servant!$B$5:$AD$29,15,FALSE)+($F51+($F51*0.5*($D51-1)))*(K$3-1)</f>
        <v>9990</v>
      </c>
      <c r="L51" s="138">
        <f>VLOOKUP($C$49,Servant!$B$5:$AD$29,15,FALSE)+($F51+($F51*0.5*($D51-1)))*(L$3-1)</f>
        <v>12096</v>
      </c>
      <c r="M51" s="138">
        <f>VLOOKUP($C$49,Servant!$B$5:$AD$29,15,FALSE)+($F51+($F51*0.5*($D51-1)))*(M$3-1)</f>
        <v>14202</v>
      </c>
      <c r="N51" s="138">
        <f>VLOOKUP($C$49,Servant!$B$5:$AD$29,15,FALSE)+($F51+($F51*0.5*($D51-1)))*(N$3-1)</f>
        <v>16308</v>
      </c>
      <c r="O51" s="138">
        <f>VLOOKUP($C$49,Servant!$B$5:$AD$29,15,FALSE)+($F51+($F51*0.5*($D51-1)))*(O$3-1)</f>
        <v>18414</v>
      </c>
      <c r="P51" s="138">
        <f>VLOOKUP($C$49,Servant!$B$5:$AD$29,15,FALSE)+($F51+($F51*0.5*($D51-1)))*(P$3-1)</f>
        <v>20520</v>
      </c>
      <c r="Q51" s="138">
        <f>VLOOKUP($C$49,Servant!$B$5:$AD$29,15,FALSE)+($F51+($F51*0.5*($D51-1)))*(Q$3-1)</f>
        <v>22626</v>
      </c>
      <c r="R51" s="138">
        <f>VLOOKUP($C$49,Servant!$B$5:$AD$29,15,FALSE)+($F51+($F51*0.5*($D51-1)))*(R$3-1)</f>
        <v>24732</v>
      </c>
      <c r="S51" s="138">
        <f>VLOOKUP($C$49,Servant!$B$5:$AD$29,15,FALSE)+($F51+($F51*0.5*($D51-1)))*(S$3-1)</f>
        <v>26838</v>
      </c>
      <c r="T51" s="138">
        <f>VLOOKUP($C$49,Servant!$B$5:$AD$29,15,FALSE)+($F51+($F51*0.5*($D51-1)))*(T$3-1)</f>
        <v>28944</v>
      </c>
      <c r="U51" s="138">
        <f>VLOOKUP($C$49,Servant!$B$5:$AD$29,15,FALSE)+($F51+($F51*0.5*($D51-1)))*(U$3-1)</f>
        <v>31050</v>
      </c>
      <c r="V51" s="138">
        <f>VLOOKUP($C$49,Servant!$B$5:$AD$29,15,FALSE)+($F51+($F51*0.5*($D51-1)))*(V$3-1)</f>
        <v>33156</v>
      </c>
      <c r="W51" s="138">
        <f>VLOOKUP($C$49,Servant!$B$5:$AD$29,15,FALSE)+($F51+($F51*0.5*($D51-1)))*(W$3-1)</f>
        <v>35262</v>
      </c>
      <c r="X51" s="138">
        <f>VLOOKUP($C$49,Servant!$B$5:$AD$29,15,FALSE)+($F51+($F51*0.5*($D51-1)))*(X$3-1)</f>
        <v>37368</v>
      </c>
      <c r="Y51" s="138">
        <f>VLOOKUP($C$49,Servant!$B$5:$AD$29,15,FALSE)+($F51+($F51*0.5*($D51-1)))*(Y$3-1)</f>
        <v>39474</v>
      </c>
      <c r="Z51" s="138">
        <f>VLOOKUP($C$49,Servant!$B$5:$AD$29,15,FALSE)+($F51+($F51*0.5*($D51-1)))*(Z$3-1)</f>
        <v>41580</v>
      </c>
      <c r="AA51" s="138">
        <f>VLOOKUP($C$49,Servant!$B$5:$AD$29,15,FALSE)+($F51+($F51*0.5*($D51-1)))*(AA$3-1)</f>
        <v>43686</v>
      </c>
      <c r="AB51" s="138">
        <f>VLOOKUP($C$49,Servant!$B$5:$AD$29,15,FALSE)+($F51+($F51*0.5*($D51-1)))*(AB$3-1)</f>
        <v>45792</v>
      </c>
      <c r="AC51" s="138">
        <f>VLOOKUP($C$49,Servant!$B$5:$AD$29,15,FALSE)+($F51+($F51*0.5*($D51-1)))*(AC$3-1)</f>
        <v>47898</v>
      </c>
      <c r="AD51" s="138">
        <f>VLOOKUP($C$49,Servant!$B$5:$AD$29,15,FALSE)+($F51+($F51*0.5*($D51-1)))*(AD$3-1)</f>
        <v>50004</v>
      </c>
      <c r="AE51" s="138">
        <f>VLOOKUP($C$49,Servant!$B$5:$AD$29,15,FALSE)+($F51+($F51*0.5*($D51-1)))*(AE$3-1)</f>
        <v>52110</v>
      </c>
      <c r="AF51" s="138">
        <f>VLOOKUP($C$49,Servant!$B$5:$AD$29,15,FALSE)+($F51+($F51*0.5*($D51-1)))*(AF$3-1)</f>
        <v>54216</v>
      </c>
      <c r="AG51" s="138">
        <f>VLOOKUP($C$49,Servant!$B$5:$AD$29,15,FALSE)+($F51+($F51*0.5*($D51-1)))*(AG$3-1)</f>
        <v>56322</v>
      </c>
      <c r="AH51" s="138">
        <f>VLOOKUP($C$49,Servant!$B$5:$AD$29,15,FALSE)+($F51+($F51*0.5*($D51-1)))*(AH$3-1)</f>
        <v>58428</v>
      </c>
      <c r="AI51" s="138">
        <f>VLOOKUP($C$49,Servant!$B$5:$AD$29,15,FALSE)+($F51+($F51*0.5*($D51-1)))*(AI$3-1)</f>
        <v>60534</v>
      </c>
      <c r="AJ51" s="138">
        <f>VLOOKUP($C$49,Servant!$B$5:$AD$29,15,FALSE)+($F51+($F51*0.5*($D51-1)))*(AJ$3-1)</f>
        <v>62640</v>
      </c>
      <c r="AK51" s="138">
        <f>VLOOKUP($C$49,Servant!$B$5:$AD$29,15,FALSE)+($F51+($F51*0.5*($D51-1)))*(AK$3-1)</f>
        <v>64746</v>
      </c>
    </row>
    <row r="52" spans="2:37" x14ac:dyDescent="0.3">
      <c r="B52" s="309"/>
      <c r="C52" s="301" t="s">
        <v>239</v>
      </c>
      <c r="D52" s="129">
        <v>4</v>
      </c>
      <c r="E52" s="124">
        <f>VLOOKUP($C$52,ServantLevelUPdStatus!$B$5:$AD$29,3,FALSE)+(VLOOKUP($C$52,ServantLevelUPdStatus!$B$5:$AD$29,3,FALSE)*0.5*(Simulator_HP!$D52-1))</f>
        <v>855</v>
      </c>
      <c r="F52" s="124">
        <f>VLOOKUP($C$52,ServantLevelUPdStatus!$B$5:$AD$29,3,FALSE)</f>
        <v>342</v>
      </c>
      <c r="H52" s="115">
        <f>VLOOKUP($C$52,Servant!$B$5:$AD$29,15,FALSE)+($F52+($F52*0.5*($D52-1)))*(H$3-1)</f>
        <v>5137</v>
      </c>
      <c r="I52" s="115">
        <f>VLOOKUP($C$52,Servant!$B$5:$AD$29,15,FALSE)+($F52+($F52*0.5*($D52-1)))*(I$3-1)</f>
        <v>5992</v>
      </c>
      <c r="J52" s="115">
        <f>VLOOKUP($C$52,Servant!$B$5:$AD$29,15,FALSE)+($F52+($F52*0.5*($D52-1)))*(J$3-1)</f>
        <v>6847</v>
      </c>
      <c r="K52" s="115">
        <f>VLOOKUP($C$52,Servant!$B$5:$AD$29,15,FALSE)+($F52+($F52*0.5*($D52-1)))*(K$3-1)</f>
        <v>7702</v>
      </c>
      <c r="L52" s="115">
        <f>VLOOKUP($C$52,Servant!$B$5:$AD$29,15,FALSE)+($F52+($F52*0.5*($D52-1)))*(L$3-1)</f>
        <v>8557</v>
      </c>
      <c r="M52" s="115">
        <f>VLOOKUP($C$52,Servant!$B$5:$AD$29,15,FALSE)+($F52+($F52*0.5*($D52-1)))*(M$3-1)</f>
        <v>9412</v>
      </c>
      <c r="N52" s="115">
        <f>VLOOKUP($C$52,Servant!$B$5:$AD$29,15,FALSE)+($F52+($F52*0.5*($D52-1)))*(N$3-1)</f>
        <v>10267</v>
      </c>
      <c r="O52" s="115">
        <f>VLOOKUP($C$52,Servant!$B$5:$AD$29,15,FALSE)+($F52+($F52*0.5*($D52-1)))*(O$3-1)</f>
        <v>11122</v>
      </c>
      <c r="P52" s="115">
        <f>VLOOKUP($C$52,Servant!$B$5:$AD$29,15,FALSE)+($F52+($F52*0.5*($D52-1)))*(P$3-1)</f>
        <v>11977</v>
      </c>
      <c r="Q52" s="115">
        <f>VLOOKUP($C$52,Servant!$B$5:$AD$29,15,FALSE)+($F52+($F52*0.5*($D52-1)))*(Q$3-1)</f>
        <v>12832</v>
      </c>
      <c r="R52" s="115">
        <f>VLOOKUP($C$52,Servant!$B$5:$AD$29,15,FALSE)+($F52+($F52*0.5*($D52-1)))*(R$3-1)</f>
        <v>13687</v>
      </c>
      <c r="S52" s="115">
        <f>VLOOKUP($C$52,Servant!$B$5:$AD$29,15,FALSE)+($F52+($F52*0.5*($D52-1)))*(S$3-1)</f>
        <v>14542</v>
      </c>
      <c r="T52" s="115">
        <f>VLOOKUP($C$52,Servant!$B$5:$AD$29,15,FALSE)+($F52+($F52*0.5*($D52-1)))*(T$3-1)</f>
        <v>15397</v>
      </c>
      <c r="U52" s="115">
        <f>VLOOKUP($C$52,Servant!$B$5:$AD$29,15,FALSE)+($F52+($F52*0.5*($D52-1)))*(U$3-1)</f>
        <v>16252</v>
      </c>
      <c r="V52" s="115">
        <f>VLOOKUP($C$52,Servant!$B$5:$AD$29,15,FALSE)+($F52+($F52*0.5*($D52-1)))*(V$3-1)</f>
        <v>17107</v>
      </c>
      <c r="W52" s="115">
        <f>VLOOKUP($C$52,Servant!$B$5:$AD$29,15,FALSE)+($F52+($F52*0.5*($D52-1)))*(W$3-1)</f>
        <v>17962</v>
      </c>
      <c r="X52" s="115">
        <f>VLOOKUP($C$52,Servant!$B$5:$AD$29,15,FALSE)+($F52+($F52*0.5*($D52-1)))*(X$3-1)</f>
        <v>18817</v>
      </c>
      <c r="Y52" s="115">
        <f>VLOOKUP($C$52,Servant!$B$5:$AD$29,15,FALSE)+($F52+($F52*0.5*($D52-1)))*(Y$3-1)</f>
        <v>19672</v>
      </c>
      <c r="Z52" s="115">
        <f>VLOOKUP($C$52,Servant!$B$5:$AD$29,15,FALSE)+($F52+($F52*0.5*($D52-1)))*(Z$3-1)</f>
        <v>20527</v>
      </c>
      <c r="AA52" s="115">
        <f>VLOOKUP($C$52,Servant!$B$5:$AD$29,15,FALSE)+($F52+($F52*0.5*($D52-1)))*(AA$3-1)</f>
        <v>21382</v>
      </c>
      <c r="AB52" s="115">
        <f>VLOOKUP($C$52,Servant!$B$5:$AD$29,15,FALSE)+($F52+($F52*0.5*($D52-1)))*(AB$3-1)</f>
        <v>22237</v>
      </c>
      <c r="AC52" s="115">
        <f>VLOOKUP($C$52,Servant!$B$5:$AD$29,15,FALSE)+($F52+($F52*0.5*($D52-1)))*(AC$3-1)</f>
        <v>23092</v>
      </c>
      <c r="AD52" s="115">
        <f>VLOOKUP($C$52,Servant!$B$5:$AD$29,15,FALSE)+($F52+($F52*0.5*($D52-1)))*(AD$3-1)</f>
        <v>23947</v>
      </c>
      <c r="AE52" s="115">
        <f>VLOOKUP($C$52,Servant!$B$5:$AD$29,15,FALSE)+($F52+($F52*0.5*($D52-1)))*(AE$3-1)</f>
        <v>24802</v>
      </c>
      <c r="AF52" s="115">
        <f>VLOOKUP($C$52,Servant!$B$5:$AD$29,15,FALSE)+($F52+($F52*0.5*($D52-1)))*(AF$3-1)</f>
        <v>25657</v>
      </c>
      <c r="AG52" s="115">
        <f>VLOOKUP($C$52,Servant!$B$5:$AD$29,15,FALSE)+($F52+($F52*0.5*($D52-1)))*(AG$3-1)</f>
        <v>26512</v>
      </c>
      <c r="AH52" s="115">
        <f>VLOOKUP($C$52,Servant!$B$5:$AD$29,15,FALSE)+($F52+($F52*0.5*($D52-1)))*(AH$3-1)</f>
        <v>27367</v>
      </c>
      <c r="AI52" s="115">
        <f>VLOOKUP($C$52,Servant!$B$5:$AD$29,15,FALSE)+($F52+($F52*0.5*($D52-1)))*(AI$3-1)</f>
        <v>28222</v>
      </c>
      <c r="AJ52" s="115">
        <f>VLOOKUP($C$52,Servant!$B$5:$AD$29,15,FALSE)+($F52+($F52*0.5*($D52-1)))*(AJ$3-1)</f>
        <v>29077</v>
      </c>
      <c r="AK52" s="115">
        <f>VLOOKUP($C$52,Servant!$B$5:$AD$29,15,FALSE)+($F52+($F52*0.5*($D52-1)))*(AK$3-1)</f>
        <v>29932</v>
      </c>
    </row>
    <row r="53" spans="2:37" x14ac:dyDescent="0.3">
      <c r="B53" s="309"/>
      <c r="C53" s="302"/>
      <c r="D53" s="129">
        <v>5</v>
      </c>
      <c r="E53" s="124">
        <f>VLOOKUP($C$52,ServantLevelUPdStatus!$B$5:$AD$29,3,FALSE)+(VLOOKUP($C$52,ServantLevelUPdStatus!$B$5:$AD$29,3,FALSE)*0.5*(Simulator_HP!$D53-1))</f>
        <v>1026</v>
      </c>
      <c r="F53" s="123">
        <f>F52</f>
        <v>342</v>
      </c>
      <c r="H53" s="115">
        <f>VLOOKUP($C$52,Servant!$B$5:$AD$29,15,FALSE)+($F53+($F53*0.5*($D53-1)))*(H$3-1)</f>
        <v>5137</v>
      </c>
      <c r="I53" s="115">
        <f>VLOOKUP($C$52,Servant!$B$5:$AD$29,15,FALSE)+($F53+($F53*0.5*($D53-1)))*(I$3-1)</f>
        <v>6163</v>
      </c>
      <c r="J53" s="115">
        <f>VLOOKUP($C$52,Servant!$B$5:$AD$29,15,FALSE)+($F53+($F53*0.5*($D53-1)))*(J$3-1)</f>
        <v>7189</v>
      </c>
      <c r="K53" s="115">
        <f>VLOOKUP($C$52,Servant!$B$5:$AD$29,15,FALSE)+($F53+($F53*0.5*($D53-1)))*(K$3-1)</f>
        <v>8215</v>
      </c>
      <c r="L53" s="115">
        <f>VLOOKUP($C$52,Servant!$B$5:$AD$29,15,FALSE)+($F53+($F53*0.5*($D53-1)))*(L$3-1)</f>
        <v>9241</v>
      </c>
      <c r="M53" s="115">
        <f>VLOOKUP($C$52,Servant!$B$5:$AD$29,15,FALSE)+($F53+($F53*0.5*($D53-1)))*(M$3-1)</f>
        <v>10267</v>
      </c>
      <c r="N53" s="115">
        <f>VLOOKUP($C$52,Servant!$B$5:$AD$29,15,FALSE)+($F53+($F53*0.5*($D53-1)))*(N$3-1)</f>
        <v>11293</v>
      </c>
      <c r="O53" s="115">
        <f>VLOOKUP($C$52,Servant!$B$5:$AD$29,15,FALSE)+($F53+($F53*0.5*($D53-1)))*(O$3-1)</f>
        <v>12319</v>
      </c>
      <c r="P53" s="115">
        <f>VLOOKUP($C$52,Servant!$B$5:$AD$29,15,FALSE)+($F53+($F53*0.5*($D53-1)))*(P$3-1)</f>
        <v>13345</v>
      </c>
      <c r="Q53" s="115">
        <f>VLOOKUP($C$52,Servant!$B$5:$AD$29,15,FALSE)+($F53+($F53*0.5*($D53-1)))*(Q$3-1)</f>
        <v>14371</v>
      </c>
      <c r="R53" s="115">
        <f>VLOOKUP($C$52,Servant!$B$5:$AD$29,15,FALSE)+($F53+($F53*0.5*($D53-1)))*(R$3-1)</f>
        <v>15397</v>
      </c>
      <c r="S53" s="115">
        <f>VLOOKUP($C$52,Servant!$B$5:$AD$29,15,FALSE)+($F53+($F53*0.5*($D53-1)))*(S$3-1)</f>
        <v>16423</v>
      </c>
      <c r="T53" s="115">
        <f>VLOOKUP($C$52,Servant!$B$5:$AD$29,15,FALSE)+($F53+($F53*0.5*($D53-1)))*(T$3-1)</f>
        <v>17449</v>
      </c>
      <c r="U53" s="115">
        <f>VLOOKUP($C$52,Servant!$B$5:$AD$29,15,FALSE)+($F53+($F53*0.5*($D53-1)))*(U$3-1)</f>
        <v>18475</v>
      </c>
      <c r="V53" s="115">
        <f>VLOOKUP($C$52,Servant!$B$5:$AD$29,15,FALSE)+($F53+($F53*0.5*($D53-1)))*(V$3-1)</f>
        <v>19501</v>
      </c>
      <c r="W53" s="115">
        <f>VLOOKUP($C$52,Servant!$B$5:$AD$29,15,FALSE)+($F53+($F53*0.5*($D53-1)))*(W$3-1)</f>
        <v>20527</v>
      </c>
      <c r="X53" s="115">
        <f>VLOOKUP($C$52,Servant!$B$5:$AD$29,15,FALSE)+($F53+($F53*0.5*($D53-1)))*(X$3-1)</f>
        <v>21553</v>
      </c>
      <c r="Y53" s="115">
        <f>VLOOKUP($C$52,Servant!$B$5:$AD$29,15,FALSE)+($F53+($F53*0.5*($D53-1)))*(Y$3-1)</f>
        <v>22579</v>
      </c>
      <c r="Z53" s="115">
        <f>VLOOKUP($C$52,Servant!$B$5:$AD$29,15,FALSE)+($F53+($F53*0.5*($D53-1)))*(Z$3-1)</f>
        <v>23605</v>
      </c>
      <c r="AA53" s="115">
        <f>VLOOKUP($C$52,Servant!$B$5:$AD$29,15,FALSE)+($F53+($F53*0.5*($D53-1)))*(AA$3-1)</f>
        <v>24631</v>
      </c>
      <c r="AB53" s="115">
        <f>VLOOKUP($C$52,Servant!$B$5:$AD$29,15,FALSE)+($F53+($F53*0.5*($D53-1)))*(AB$3-1)</f>
        <v>25657</v>
      </c>
      <c r="AC53" s="115">
        <f>VLOOKUP($C$52,Servant!$B$5:$AD$29,15,FALSE)+($F53+($F53*0.5*($D53-1)))*(AC$3-1)</f>
        <v>26683</v>
      </c>
      <c r="AD53" s="115">
        <f>VLOOKUP($C$52,Servant!$B$5:$AD$29,15,FALSE)+($F53+($F53*0.5*($D53-1)))*(AD$3-1)</f>
        <v>27709</v>
      </c>
      <c r="AE53" s="115">
        <f>VLOOKUP($C$52,Servant!$B$5:$AD$29,15,FALSE)+($F53+($F53*0.5*($D53-1)))*(AE$3-1)</f>
        <v>28735</v>
      </c>
      <c r="AF53" s="115">
        <f>VLOOKUP($C$52,Servant!$B$5:$AD$29,15,FALSE)+($F53+($F53*0.5*($D53-1)))*(AF$3-1)</f>
        <v>29761</v>
      </c>
      <c r="AG53" s="115">
        <f>VLOOKUP($C$52,Servant!$B$5:$AD$29,15,FALSE)+($F53+($F53*0.5*($D53-1)))*(AG$3-1)</f>
        <v>30787</v>
      </c>
      <c r="AH53" s="115">
        <f>VLOOKUP($C$52,Servant!$B$5:$AD$29,15,FALSE)+($F53+($F53*0.5*($D53-1)))*(AH$3-1)</f>
        <v>31813</v>
      </c>
      <c r="AI53" s="115">
        <f>VLOOKUP($C$52,Servant!$B$5:$AD$29,15,FALSE)+($F53+($F53*0.5*($D53-1)))*(AI$3-1)</f>
        <v>32839</v>
      </c>
      <c r="AJ53" s="115">
        <f>VLOOKUP($C$52,Servant!$B$5:$AD$29,15,FALSE)+($F53+($F53*0.5*($D53-1)))*(AJ$3-1)</f>
        <v>33865</v>
      </c>
      <c r="AK53" s="115">
        <f>VLOOKUP($C$52,Servant!$B$5:$AD$29,15,FALSE)+($F53+($F53*0.5*($D53-1)))*(AK$3-1)</f>
        <v>34891</v>
      </c>
    </row>
    <row r="54" spans="2:37" x14ac:dyDescent="0.3">
      <c r="B54" s="309"/>
      <c r="C54" s="303"/>
      <c r="D54" s="129">
        <v>6</v>
      </c>
      <c r="E54" s="124">
        <f>VLOOKUP($C$52,ServantLevelUPdStatus!$B$5:$AD$29,3,FALSE)+(VLOOKUP($C$52,ServantLevelUPdStatus!$B$5:$AD$29,3,FALSE)*0.5*(Simulator_HP!$D54-1))</f>
        <v>1197</v>
      </c>
      <c r="F54" s="123">
        <f>F53</f>
        <v>342</v>
      </c>
      <c r="H54" s="115">
        <f>VLOOKUP($C$52,Servant!$B$5:$AD$29,15,FALSE)+($F54+($F54*0.5*($D54-1)))*(H$3-1)</f>
        <v>5137</v>
      </c>
      <c r="I54" s="115">
        <f>VLOOKUP($C$52,Servant!$B$5:$AD$29,15,FALSE)+($F54+($F54*0.5*($D54-1)))*(I$3-1)</f>
        <v>6334</v>
      </c>
      <c r="J54" s="115">
        <f>VLOOKUP($C$52,Servant!$B$5:$AD$29,15,FALSE)+($F54+($F54*0.5*($D54-1)))*(J$3-1)</f>
        <v>7531</v>
      </c>
      <c r="K54" s="115">
        <f>VLOOKUP($C$52,Servant!$B$5:$AD$29,15,FALSE)+($F54+($F54*0.5*($D54-1)))*(K$3-1)</f>
        <v>8728</v>
      </c>
      <c r="L54" s="115">
        <f>VLOOKUP($C$52,Servant!$B$5:$AD$29,15,FALSE)+($F54+($F54*0.5*($D54-1)))*(L$3-1)</f>
        <v>9925</v>
      </c>
      <c r="M54" s="115">
        <f>VLOOKUP($C$52,Servant!$B$5:$AD$29,15,FALSE)+($F54+($F54*0.5*($D54-1)))*(M$3-1)</f>
        <v>11122</v>
      </c>
      <c r="N54" s="115">
        <f>VLOOKUP($C$52,Servant!$B$5:$AD$29,15,FALSE)+($F54+($F54*0.5*($D54-1)))*(N$3-1)</f>
        <v>12319</v>
      </c>
      <c r="O54" s="115">
        <f>VLOOKUP($C$52,Servant!$B$5:$AD$29,15,FALSE)+($F54+($F54*0.5*($D54-1)))*(O$3-1)</f>
        <v>13516</v>
      </c>
      <c r="P54" s="115">
        <f>VLOOKUP($C$52,Servant!$B$5:$AD$29,15,FALSE)+($F54+($F54*0.5*($D54-1)))*(P$3-1)</f>
        <v>14713</v>
      </c>
      <c r="Q54" s="115">
        <f>VLOOKUP($C$52,Servant!$B$5:$AD$29,15,FALSE)+($F54+($F54*0.5*($D54-1)))*(Q$3-1)</f>
        <v>15910</v>
      </c>
      <c r="R54" s="115">
        <f>VLOOKUP($C$52,Servant!$B$5:$AD$29,15,FALSE)+($F54+($F54*0.5*($D54-1)))*(R$3-1)</f>
        <v>17107</v>
      </c>
      <c r="S54" s="115">
        <f>VLOOKUP($C$52,Servant!$B$5:$AD$29,15,FALSE)+($F54+($F54*0.5*($D54-1)))*(S$3-1)</f>
        <v>18304</v>
      </c>
      <c r="T54" s="115">
        <f>VLOOKUP($C$52,Servant!$B$5:$AD$29,15,FALSE)+($F54+($F54*0.5*($D54-1)))*(T$3-1)</f>
        <v>19501</v>
      </c>
      <c r="U54" s="115">
        <f>VLOOKUP($C$52,Servant!$B$5:$AD$29,15,FALSE)+($F54+($F54*0.5*($D54-1)))*(U$3-1)</f>
        <v>20698</v>
      </c>
      <c r="V54" s="115">
        <f>VLOOKUP($C$52,Servant!$B$5:$AD$29,15,FALSE)+($F54+($F54*0.5*($D54-1)))*(V$3-1)</f>
        <v>21895</v>
      </c>
      <c r="W54" s="115">
        <f>VLOOKUP($C$52,Servant!$B$5:$AD$29,15,FALSE)+($F54+($F54*0.5*($D54-1)))*(W$3-1)</f>
        <v>23092</v>
      </c>
      <c r="X54" s="115">
        <f>VLOOKUP($C$52,Servant!$B$5:$AD$29,15,FALSE)+($F54+($F54*0.5*($D54-1)))*(X$3-1)</f>
        <v>24289</v>
      </c>
      <c r="Y54" s="115">
        <f>VLOOKUP($C$52,Servant!$B$5:$AD$29,15,FALSE)+($F54+($F54*0.5*($D54-1)))*(Y$3-1)</f>
        <v>25486</v>
      </c>
      <c r="Z54" s="115">
        <f>VLOOKUP($C$52,Servant!$B$5:$AD$29,15,FALSE)+($F54+($F54*0.5*($D54-1)))*(Z$3-1)</f>
        <v>26683</v>
      </c>
      <c r="AA54" s="115">
        <f>VLOOKUP($C$52,Servant!$B$5:$AD$29,15,FALSE)+($F54+($F54*0.5*($D54-1)))*(AA$3-1)</f>
        <v>27880</v>
      </c>
      <c r="AB54" s="115">
        <f>VLOOKUP($C$52,Servant!$B$5:$AD$29,15,FALSE)+($F54+($F54*0.5*($D54-1)))*(AB$3-1)</f>
        <v>29077</v>
      </c>
      <c r="AC54" s="115">
        <f>VLOOKUP($C$52,Servant!$B$5:$AD$29,15,FALSE)+($F54+($F54*0.5*($D54-1)))*(AC$3-1)</f>
        <v>30274</v>
      </c>
      <c r="AD54" s="115">
        <f>VLOOKUP($C$52,Servant!$B$5:$AD$29,15,FALSE)+($F54+($F54*0.5*($D54-1)))*(AD$3-1)</f>
        <v>31471</v>
      </c>
      <c r="AE54" s="115">
        <f>VLOOKUP($C$52,Servant!$B$5:$AD$29,15,FALSE)+($F54+($F54*0.5*($D54-1)))*(AE$3-1)</f>
        <v>32668</v>
      </c>
      <c r="AF54" s="115">
        <f>VLOOKUP($C$52,Servant!$B$5:$AD$29,15,FALSE)+($F54+($F54*0.5*($D54-1)))*(AF$3-1)</f>
        <v>33865</v>
      </c>
      <c r="AG54" s="115">
        <f>VLOOKUP($C$52,Servant!$B$5:$AD$29,15,FALSE)+($F54+($F54*0.5*($D54-1)))*(AG$3-1)</f>
        <v>35062</v>
      </c>
      <c r="AH54" s="115">
        <f>VLOOKUP($C$52,Servant!$B$5:$AD$29,15,FALSE)+($F54+($F54*0.5*($D54-1)))*(AH$3-1)</f>
        <v>36259</v>
      </c>
      <c r="AI54" s="115">
        <f>VLOOKUP($C$52,Servant!$B$5:$AD$29,15,FALSE)+($F54+($F54*0.5*($D54-1)))*(AI$3-1)</f>
        <v>37456</v>
      </c>
      <c r="AJ54" s="115">
        <f>VLOOKUP($C$52,Servant!$B$5:$AD$29,15,FALSE)+($F54+($F54*0.5*($D54-1)))*(AJ$3-1)</f>
        <v>38653</v>
      </c>
      <c r="AK54" s="115">
        <f>VLOOKUP($C$52,Servant!$B$5:$AD$29,15,FALSE)+($F54+($F54*0.5*($D54-1)))*(AK$3-1)</f>
        <v>39850</v>
      </c>
    </row>
    <row r="55" spans="2:37" x14ac:dyDescent="0.3">
      <c r="B55" s="309"/>
      <c r="C55" s="304" t="s">
        <v>312</v>
      </c>
      <c r="D55" s="144">
        <v>4</v>
      </c>
      <c r="E55" s="145">
        <f>VLOOKUP($C$55,ServantLevelUPdStatus!$B$5:$AD$29,3,FALSE)+(VLOOKUP($C$55,ServantLevelUPdStatus!$B$5:$AD$29,3,FALSE)*0.5*(Simulator_HP!$D55-1))</f>
        <v>880</v>
      </c>
      <c r="F55" s="145">
        <f>VLOOKUP($C$55,ServantLevelUPdStatus!$B$5:$AD$29,3,FALSE)</f>
        <v>352</v>
      </c>
      <c r="H55" s="146">
        <f>VLOOKUP($C$55,Servant!$B$5:$AD$29,15,FALSE)+($F55+($F55*0.5*($D55-1)))*(H$3-1)</f>
        <v>5291</v>
      </c>
      <c r="I55" s="146">
        <f>VLOOKUP($C$55,Servant!$B$5:$AD$29,15,FALSE)+($F55+($F55*0.5*($D55-1)))*(I$3-1)</f>
        <v>6171</v>
      </c>
      <c r="J55" s="146">
        <f>VLOOKUP($C$55,Servant!$B$5:$AD$29,15,FALSE)+($F55+($F55*0.5*($D55-1)))*(J$3-1)</f>
        <v>7051</v>
      </c>
      <c r="K55" s="146">
        <f>VLOOKUP($C$55,Servant!$B$5:$AD$29,15,FALSE)+($F55+($F55*0.5*($D55-1)))*(K$3-1)</f>
        <v>7931</v>
      </c>
      <c r="L55" s="146">
        <f>VLOOKUP($C$55,Servant!$B$5:$AD$29,15,FALSE)+($F55+($F55*0.5*($D55-1)))*(L$3-1)</f>
        <v>8811</v>
      </c>
      <c r="M55" s="146">
        <f>VLOOKUP($C$55,Servant!$B$5:$AD$29,15,FALSE)+($F55+($F55*0.5*($D55-1)))*(M$3-1)</f>
        <v>9691</v>
      </c>
      <c r="N55" s="146">
        <f>VLOOKUP($C$55,Servant!$B$5:$AD$29,15,FALSE)+($F55+($F55*0.5*($D55-1)))*(N$3-1)</f>
        <v>10571</v>
      </c>
      <c r="O55" s="146">
        <f>VLOOKUP($C$55,Servant!$B$5:$AD$29,15,FALSE)+($F55+($F55*0.5*($D55-1)))*(O$3-1)</f>
        <v>11451</v>
      </c>
      <c r="P55" s="146">
        <f>VLOOKUP($C$55,Servant!$B$5:$AD$29,15,FALSE)+($F55+($F55*0.5*($D55-1)))*(P$3-1)</f>
        <v>12331</v>
      </c>
      <c r="Q55" s="146">
        <f>VLOOKUP($C$55,Servant!$B$5:$AD$29,15,FALSE)+($F55+($F55*0.5*($D55-1)))*(Q$3-1)</f>
        <v>13211</v>
      </c>
      <c r="R55" s="146">
        <f>VLOOKUP($C$55,Servant!$B$5:$AD$29,15,FALSE)+($F55+($F55*0.5*($D55-1)))*(R$3-1)</f>
        <v>14091</v>
      </c>
      <c r="S55" s="146">
        <f>VLOOKUP($C$55,Servant!$B$5:$AD$29,15,FALSE)+($F55+($F55*0.5*($D55-1)))*(S$3-1)</f>
        <v>14971</v>
      </c>
      <c r="T55" s="146">
        <f>VLOOKUP($C$55,Servant!$B$5:$AD$29,15,FALSE)+($F55+($F55*0.5*($D55-1)))*(T$3-1)</f>
        <v>15851</v>
      </c>
      <c r="U55" s="146">
        <f>VLOOKUP($C$55,Servant!$B$5:$AD$29,15,FALSE)+($F55+($F55*0.5*($D55-1)))*(U$3-1)</f>
        <v>16731</v>
      </c>
      <c r="V55" s="146">
        <f>VLOOKUP($C$55,Servant!$B$5:$AD$29,15,FALSE)+($F55+($F55*0.5*($D55-1)))*(V$3-1)</f>
        <v>17611</v>
      </c>
      <c r="W55" s="146">
        <f>VLOOKUP($C$55,Servant!$B$5:$AD$29,15,FALSE)+($F55+($F55*0.5*($D55-1)))*(W$3-1)</f>
        <v>18491</v>
      </c>
      <c r="X55" s="146">
        <f>VLOOKUP($C$55,Servant!$B$5:$AD$29,15,FALSE)+($F55+($F55*0.5*($D55-1)))*(X$3-1)</f>
        <v>19371</v>
      </c>
      <c r="Y55" s="146">
        <f>VLOOKUP($C$55,Servant!$B$5:$AD$29,15,FALSE)+($F55+($F55*0.5*($D55-1)))*(Y$3-1)</f>
        <v>20251</v>
      </c>
      <c r="Z55" s="146">
        <f>VLOOKUP($C$55,Servant!$B$5:$AD$29,15,FALSE)+($F55+($F55*0.5*($D55-1)))*(Z$3-1)</f>
        <v>21131</v>
      </c>
      <c r="AA55" s="146">
        <f>VLOOKUP($C$55,Servant!$B$5:$AD$29,15,FALSE)+($F55+($F55*0.5*($D55-1)))*(AA$3-1)</f>
        <v>22011</v>
      </c>
      <c r="AB55" s="146">
        <f>VLOOKUP($C$55,Servant!$B$5:$AD$29,15,FALSE)+($F55+($F55*0.5*($D55-1)))*(AB$3-1)</f>
        <v>22891</v>
      </c>
      <c r="AC55" s="146">
        <f>VLOOKUP($C$55,Servant!$B$5:$AD$29,15,FALSE)+($F55+($F55*0.5*($D55-1)))*(AC$3-1)</f>
        <v>23771</v>
      </c>
      <c r="AD55" s="146">
        <f>VLOOKUP($C$55,Servant!$B$5:$AD$29,15,FALSE)+($F55+($F55*0.5*($D55-1)))*(AD$3-1)</f>
        <v>24651</v>
      </c>
      <c r="AE55" s="146">
        <f>VLOOKUP($C$55,Servant!$B$5:$AD$29,15,FALSE)+($F55+($F55*0.5*($D55-1)))*(AE$3-1)</f>
        <v>25531</v>
      </c>
      <c r="AF55" s="146">
        <f>VLOOKUP($C$55,Servant!$B$5:$AD$29,15,FALSE)+($F55+($F55*0.5*($D55-1)))*(AF$3-1)</f>
        <v>26411</v>
      </c>
      <c r="AG55" s="146">
        <f>VLOOKUP($C$55,Servant!$B$5:$AD$29,15,FALSE)+($F55+($F55*0.5*($D55-1)))*(AG$3-1)</f>
        <v>27291</v>
      </c>
      <c r="AH55" s="146">
        <f>VLOOKUP($C$55,Servant!$B$5:$AD$29,15,FALSE)+($F55+($F55*0.5*($D55-1)))*(AH$3-1)</f>
        <v>28171</v>
      </c>
      <c r="AI55" s="146">
        <f>VLOOKUP($C$55,Servant!$B$5:$AD$29,15,FALSE)+($F55+($F55*0.5*($D55-1)))*(AI$3-1)</f>
        <v>29051</v>
      </c>
      <c r="AJ55" s="146">
        <f>VLOOKUP($C$55,Servant!$B$5:$AD$29,15,FALSE)+($F55+($F55*0.5*($D55-1)))*(AJ$3-1)</f>
        <v>29931</v>
      </c>
      <c r="AK55" s="146">
        <f>VLOOKUP($C$55,Servant!$B$5:$AD$29,15,FALSE)+($F55+($F55*0.5*($D55-1)))*(AK$3-1)</f>
        <v>30811</v>
      </c>
    </row>
    <row r="56" spans="2:37" x14ac:dyDescent="0.3">
      <c r="B56" s="309"/>
      <c r="C56" s="305"/>
      <c r="D56" s="144">
        <v>5</v>
      </c>
      <c r="E56" s="145">
        <f>VLOOKUP($C$55,ServantLevelUPdStatus!$B$5:$AD$29,3,FALSE)+(VLOOKUP($C$55,ServantLevelUPdStatus!$B$5:$AD$29,3,FALSE)*0.5*(Simulator_HP!$D56-1))</f>
        <v>1056</v>
      </c>
      <c r="F56" s="147">
        <f>F55</f>
        <v>352</v>
      </c>
      <c r="H56" s="146">
        <f>VLOOKUP($C$55,Servant!$B$5:$AD$29,15,FALSE)+($F56+($F56*0.5*($D56-1)))*(H$3-1)</f>
        <v>5291</v>
      </c>
      <c r="I56" s="146">
        <f>VLOOKUP($C$55,Servant!$B$5:$AD$29,15,FALSE)+($F56+($F56*0.5*($D56-1)))*(I$3-1)</f>
        <v>6347</v>
      </c>
      <c r="J56" s="146">
        <f>VLOOKUP($C$55,Servant!$B$5:$AD$29,15,FALSE)+($F56+($F56*0.5*($D56-1)))*(J$3-1)</f>
        <v>7403</v>
      </c>
      <c r="K56" s="146">
        <f>VLOOKUP($C$55,Servant!$B$5:$AD$29,15,FALSE)+($F56+($F56*0.5*($D56-1)))*(K$3-1)</f>
        <v>8459</v>
      </c>
      <c r="L56" s="146">
        <f>VLOOKUP($C$55,Servant!$B$5:$AD$29,15,FALSE)+($F56+($F56*0.5*($D56-1)))*(L$3-1)</f>
        <v>9515</v>
      </c>
      <c r="M56" s="146">
        <f>VLOOKUP($C$55,Servant!$B$5:$AD$29,15,FALSE)+($F56+($F56*0.5*($D56-1)))*(M$3-1)</f>
        <v>10571</v>
      </c>
      <c r="N56" s="146">
        <f>VLOOKUP($C$55,Servant!$B$5:$AD$29,15,FALSE)+($F56+($F56*0.5*($D56-1)))*(N$3-1)</f>
        <v>11627</v>
      </c>
      <c r="O56" s="146">
        <f>VLOOKUP($C$55,Servant!$B$5:$AD$29,15,FALSE)+($F56+($F56*0.5*($D56-1)))*(O$3-1)</f>
        <v>12683</v>
      </c>
      <c r="P56" s="146">
        <f>VLOOKUP($C$55,Servant!$B$5:$AD$29,15,FALSE)+($F56+($F56*0.5*($D56-1)))*(P$3-1)</f>
        <v>13739</v>
      </c>
      <c r="Q56" s="146">
        <f>VLOOKUP($C$55,Servant!$B$5:$AD$29,15,FALSE)+($F56+($F56*0.5*($D56-1)))*(Q$3-1)</f>
        <v>14795</v>
      </c>
      <c r="R56" s="146">
        <f>VLOOKUP($C$55,Servant!$B$5:$AD$29,15,FALSE)+($F56+($F56*0.5*($D56-1)))*(R$3-1)</f>
        <v>15851</v>
      </c>
      <c r="S56" s="146">
        <f>VLOOKUP($C$55,Servant!$B$5:$AD$29,15,FALSE)+($F56+($F56*0.5*($D56-1)))*(S$3-1)</f>
        <v>16907</v>
      </c>
      <c r="T56" s="146">
        <f>VLOOKUP($C$55,Servant!$B$5:$AD$29,15,FALSE)+($F56+($F56*0.5*($D56-1)))*(T$3-1)</f>
        <v>17963</v>
      </c>
      <c r="U56" s="146">
        <f>VLOOKUP($C$55,Servant!$B$5:$AD$29,15,FALSE)+($F56+($F56*0.5*($D56-1)))*(U$3-1)</f>
        <v>19019</v>
      </c>
      <c r="V56" s="146">
        <f>VLOOKUP($C$55,Servant!$B$5:$AD$29,15,FALSE)+($F56+($F56*0.5*($D56-1)))*(V$3-1)</f>
        <v>20075</v>
      </c>
      <c r="W56" s="146">
        <f>VLOOKUP($C$55,Servant!$B$5:$AD$29,15,FALSE)+($F56+($F56*0.5*($D56-1)))*(W$3-1)</f>
        <v>21131</v>
      </c>
      <c r="X56" s="146">
        <f>VLOOKUP($C$55,Servant!$B$5:$AD$29,15,FALSE)+($F56+($F56*0.5*($D56-1)))*(X$3-1)</f>
        <v>22187</v>
      </c>
      <c r="Y56" s="146">
        <f>VLOOKUP($C$55,Servant!$B$5:$AD$29,15,FALSE)+($F56+($F56*0.5*($D56-1)))*(Y$3-1)</f>
        <v>23243</v>
      </c>
      <c r="Z56" s="146">
        <f>VLOOKUP($C$55,Servant!$B$5:$AD$29,15,FALSE)+($F56+($F56*0.5*($D56-1)))*(Z$3-1)</f>
        <v>24299</v>
      </c>
      <c r="AA56" s="146">
        <f>VLOOKUP($C$55,Servant!$B$5:$AD$29,15,FALSE)+($F56+($F56*0.5*($D56-1)))*(AA$3-1)</f>
        <v>25355</v>
      </c>
      <c r="AB56" s="146">
        <f>VLOOKUP($C$55,Servant!$B$5:$AD$29,15,FALSE)+($F56+($F56*0.5*($D56-1)))*(AB$3-1)</f>
        <v>26411</v>
      </c>
      <c r="AC56" s="146">
        <f>VLOOKUP($C$55,Servant!$B$5:$AD$29,15,FALSE)+($F56+($F56*0.5*($D56-1)))*(AC$3-1)</f>
        <v>27467</v>
      </c>
      <c r="AD56" s="146">
        <f>VLOOKUP($C$55,Servant!$B$5:$AD$29,15,FALSE)+($F56+($F56*0.5*($D56-1)))*(AD$3-1)</f>
        <v>28523</v>
      </c>
      <c r="AE56" s="146">
        <f>VLOOKUP($C$55,Servant!$B$5:$AD$29,15,FALSE)+($F56+($F56*0.5*($D56-1)))*(AE$3-1)</f>
        <v>29579</v>
      </c>
      <c r="AF56" s="146">
        <f>VLOOKUP($C$55,Servant!$B$5:$AD$29,15,FALSE)+($F56+($F56*0.5*($D56-1)))*(AF$3-1)</f>
        <v>30635</v>
      </c>
      <c r="AG56" s="146">
        <f>VLOOKUP($C$55,Servant!$B$5:$AD$29,15,FALSE)+($F56+($F56*0.5*($D56-1)))*(AG$3-1)</f>
        <v>31691</v>
      </c>
      <c r="AH56" s="146">
        <f>VLOOKUP($C$55,Servant!$B$5:$AD$29,15,FALSE)+($F56+($F56*0.5*($D56-1)))*(AH$3-1)</f>
        <v>32747</v>
      </c>
      <c r="AI56" s="146">
        <f>VLOOKUP($C$55,Servant!$B$5:$AD$29,15,FALSE)+($F56+($F56*0.5*($D56-1)))*(AI$3-1)</f>
        <v>33803</v>
      </c>
      <c r="AJ56" s="146">
        <f>VLOOKUP($C$55,Servant!$B$5:$AD$29,15,FALSE)+($F56+($F56*0.5*($D56-1)))*(AJ$3-1)</f>
        <v>34859</v>
      </c>
      <c r="AK56" s="146">
        <f>VLOOKUP($C$55,Servant!$B$5:$AD$29,15,FALSE)+($F56+($F56*0.5*($D56-1)))*(AK$3-1)</f>
        <v>35915</v>
      </c>
    </row>
    <row r="57" spans="2:37" x14ac:dyDescent="0.3">
      <c r="B57" s="309"/>
      <c r="C57" s="306"/>
      <c r="D57" s="144">
        <v>6</v>
      </c>
      <c r="E57" s="145">
        <f>VLOOKUP($C$55,ServantLevelUPdStatus!$B$5:$AD$29,3,FALSE)+(VLOOKUP($C$55,ServantLevelUPdStatus!$B$5:$AD$29,3,FALSE)*0.5*(Simulator_HP!$D57-1))</f>
        <v>1232</v>
      </c>
      <c r="F57" s="147">
        <f>F56</f>
        <v>352</v>
      </c>
      <c r="H57" s="146">
        <f>VLOOKUP($C$55,Servant!$B$5:$AD$29,15,FALSE)+($F57+($F57*0.5*($D57-1)))*(H$3-1)</f>
        <v>5291</v>
      </c>
      <c r="I57" s="146">
        <f>VLOOKUP($C$55,Servant!$B$5:$AD$29,15,FALSE)+($F57+($F57*0.5*($D57-1)))*(I$3-1)</f>
        <v>6523</v>
      </c>
      <c r="J57" s="146">
        <f>VLOOKUP($C$55,Servant!$B$5:$AD$29,15,FALSE)+($F57+($F57*0.5*($D57-1)))*(J$3-1)</f>
        <v>7755</v>
      </c>
      <c r="K57" s="146">
        <f>VLOOKUP($C$55,Servant!$B$5:$AD$29,15,FALSE)+($F57+($F57*0.5*($D57-1)))*(K$3-1)</f>
        <v>8987</v>
      </c>
      <c r="L57" s="146">
        <f>VLOOKUP($C$55,Servant!$B$5:$AD$29,15,FALSE)+($F57+($F57*0.5*($D57-1)))*(L$3-1)</f>
        <v>10219</v>
      </c>
      <c r="M57" s="146">
        <f>VLOOKUP($C$55,Servant!$B$5:$AD$29,15,FALSE)+($F57+($F57*0.5*($D57-1)))*(M$3-1)</f>
        <v>11451</v>
      </c>
      <c r="N57" s="146">
        <f>VLOOKUP($C$55,Servant!$B$5:$AD$29,15,FALSE)+($F57+($F57*0.5*($D57-1)))*(N$3-1)</f>
        <v>12683</v>
      </c>
      <c r="O57" s="146">
        <f>VLOOKUP($C$55,Servant!$B$5:$AD$29,15,FALSE)+($F57+($F57*0.5*($D57-1)))*(O$3-1)</f>
        <v>13915</v>
      </c>
      <c r="P57" s="146">
        <f>VLOOKUP($C$55,Servant!$B$5:$AD$29,15,FALSE)+($F57+($F57*0.5*($D57-1)))*(P$3-1)</f>
        <v>15147</v>
      </c>
      <c r="Q57" s="146">
        <f>VLOOKUP($C$55,Servant!$B$5:$AD$29,15,FALSE)+($F57+($F57*0.5*($D57-1)))*(Q$3-1)</f>
        <v>16379</v>
      </c>
      <c r="R57" s="146">
        <f>VLOOKUP($C$55,Servant!$B$5:$AD$29,15,FALSE)+($F57+($F57*0.5*($D57-1)))*(R$3-1)</f>
        <v>17611</v>
      </c>
      <c r="S57" s="146">
        <f>VLOOKUP($C$55,Servant!$B$5:$AD$29,15,FALSE)+($F57+($F57*0.5*($D57-1)))*(S$3-1)</f>
        <v>18843</v>
      </c>
      <c r="T57" s="146">
        <f>VLOOKUP($C$55,Servant!$B$5:$AD$29,15,FALSE)+($F57+($F57*0.5*($D57-1)))*(T$3-1)</f>
        <v>20075</v>
      </c>
      <c r="U57" s="146">
        <f>VLOOKUP($C$55,Servant!$B$5:$AD$29,15,FALSE)+($F57+($F57*0.5*($D57-1)))*(U$3-1)</f>
        <v>21307</v>
      </c>
      <c r="V57" s="146">
        <f>VLOOKUP($C$55,Servant!$B$5:$AD$29,15,FALSE)+($F57+($F57*0.5*($D57-1)))*(V$3-1)</f>
        <v>22539</v>
      </c>
      <c r="W57" s="146">
        <f>VLOOKUP($C$55,Servant!$B$5:$AD$29,15,FALSE)+($F57+($F57*0.5*($D57-1)))*(W$3-1)</f>
        <v>23771</v>
      </c>
      <c r="X57" s="146">
        <f>VLOOKUP($C$55,Servant!$B$5:$AD$29,15,FALSE)+($F57+($F57*0.5*($D57-1)))*(X$3-1)</f>
        <v>25003</v>
      </c>
      <c r="Y57" s="146">
        <f>VLOOKUP($C$55,Servant!$B$5:$AD$29,15,FALSE)+($F57+($F57*0.5*($D57-1)))*(Y$3-1)</f>
        <v>26235</v>
      </c>
      <c r="Z57" s="146">
        <f>VLOOKUP($C$55,Servant!$B$5:$AD$29,15,FALSE)+($F57+($F57*0.5*($D57-1)))*(Z$3-1)</f>
        <v>27467</v>
      </c>
      <c r="AA57" s="146">
        <f>VLOOKUP($C$55,Servant!$B$5:$AD$29,15,FALSE)+($F57+($F57*0.5*($D57-1)))*(AA$3-1)</f>
        <v>28699</v>
      </c>
      <c r="AB57" s="146">
        <f>VLOOKUP($C$55,Servant!$B$5:$AD$29,15,FALSE)+($F57+($F57*0.5*($D57-1)))*(AB$3-1)</f>
        <v>29931</v>
      </c>
      <c r="AC57" s="146">
        <f>VLOOKUP($C$55,Servant!$B$5:$AD$29,15,FALSE)+($F57+($F57*0.5*($D57-1)))*(AC$3-1)</f>
        <v>31163</v>
      </c>
      <c r="AD57" s="146">
        <f>VLOOKUP($C$55,Servant!$B$5:$AD$29,15,FALSE)+($F57+($F57*0.5*($D57-1)))*(AD$3-1)</f>
        <v>32395</v>
      </c>
      <c r="AE57" s="146">
        <f>VLOOKUP($C$55,Servant!$B$5:$AD$29,15,FALSE)+($F57+($F57*0.5*($D57-1)))*(AE$3-1)</f>
        <v>33627</v>
      </c>
      <c r="AF57" s="146">
        <f>VLOOKUP($C$55,Servant!$B$5:$AD$29,15,FALSE)+($F57+($F57*0.5*($D57-1)))*(AF$3-1)</f>
        <v>34859</v>
      </c>
      <c r="AG57" s="146">
        <f>VLOOKUP($C$55,Servant!$B$5:$AD$29,15,FALSE)+($F57+($F57*0.5*($D57-1)))*(AG$3-1)</f>
        <v>36091</v>
      </c>
      <c r="AH57" s="146">
        <f>VLOOKUP($C$55,Servant!$B$5:$AD$29,15,FALSE)+($F57+($F57*0.5*($D57-1)))*(AH$3-1)</f>
        <v>37323</v>
      </c>
      <c r="AI57" s="146">
        <f>VLOOKUP($C$55,Servant!$B$5:$AD$29,15,FALSE)+($F57+($F57*0.5*($D57-1)))*(AI$3-1)</f>
        <v>38555</v>
      </c>
      <c r="AJ57" s="146">
        <f>VLOOKUP($C$55,Servant!$B$5:$AD$29,15,FALSE)+($F57+($F57*0.5*($D57-1)))*(AJ$3-1)</f>
        <v>39787</v>
      </c>
      <c r="AK57" s="146">
        <f>VLOOKUP($C$55,Servant!$B$5:$AD$29,15,FALSE)+($F57+($F57*0.5*($D57-1)))*(AK$3-1)</f>
        <v>41019</v>
      </c>
    </row>
    <row r="58" spans="2:37" x14ac:dyDescent="0.3">
      <c r="B58" s="309"/>
      <c r="C58" s="301" t="s">
        <v>313</v>
      </c>
      <c r="D58" s="129">
        <v>4</v>
      </c>
      <c r="E58" s="124">
        <f>VLOOKUP($C$58,ServantLevelUPdStatus!$B$5:$AD$29,3,FALSE)+(VLOOKUP($C$58,ServantLevelUPdStatus!$B$5:$AD$29,3,FALSE)*0.5*(Simulator_HP!$D58-1))</f>
        <v>725</v>
      </c>
      <c r="F58" s="124">
        <f>VLOOKUP($C$58,ServantLevelUPdStatus!$B$5:$AD$29,3,FALSE)</f>
        <v>290</v>
      </c>
      <c r="H58" s="115">
        <f>VLOOKUP($C$58,Servant!$B$5:$AD$29,15,FALSE)+($F58+($F58*0.5*($D58-1)))*(H$3-1)</f>
        <v>4366</v>
      </c>
      <c r="I58" s="115">
        <f>VLOOKUP($C$58,Servant!$B$5:$AD$29,15,FALSE)+($F58+($F58*0.5*($D58-1)))*(I$3-1)</f>
        <v>5091</v>
      </c>
      <c r="J58" s="115">
        <f>VLOOKUP($C$58,Servant!$B$5:$AD$29,15,FALSE)+($F58+($F58*0.5*($D58-1)))*(J$3-1)</f>
        <v>5816</v>
      </c>
      <c r="K58" s="115">
        <f>VLOOKUP($C$58,Servant!$B$5:$AD$29,15,FALSE)+($F58+($F58*0.5*($D58-1)))*(K$3-1)</f>
        <v>6541</v>
      </c>
      <c r="L58" s="115">
        <f>VLOOKUP($C$58,Servant!$B$5:$AD$29,15,FALSE)+($F58+($F58*0.5*($D58-1)))*(L$3-1)</f>
        <v>7266</v>
      </c>
      <c r="M58" s="115">
        <f>VLOOKUP($C$58,Servant!$B$5:$AD$29,15,FALSE)+($F58+($F58*0.5*($D58-1)))*(M$3-1)</f>
        <v>7991</v>
      </c>
      <c r="N58" s="115">
        <f>VLOOKUP($C$58,Servant!$B$5:$AD$29,15,FALSE)+($F58+($F58*0.5*($D58-1)))*(N$3-1)</f>
        <v>8716</v>
      </c>
      <c r="O58" s="115">
        <f>VLOOKUP($C$58,Servant!$B$5:$AD$29,15,FALSE)+($F58+($F58*0.5*($D58-1)))*(O$3-1)</f>
        <v>9441</v>
      </c>
      <c r="P58" s="115">
        <f>VLOOKUP($C$58,Servant!$B$5:$AD$29,15,FALSE)+($F58+($F58*0.5*($D58-1)))*(P$3-1)</f>
        <v>10166</v>
      </c>
      <c r="Q58" s="115">
        <f>VLOOKUP($C$58,Servant!$B$5:$AD$29,15,FALSE)+($F58+($F58*0.5*($D58-1)))*(Q$3-1)</f>
        <v>10891</v>
      </c>
      <c r="R58" s="115">
        <f>VLOOKUP($C$58,Servant!$B$5:$AD$29,15,FALSE)+($F58+($F58*0.5*($D58-1)))*(R$3-1)</f>
        <v>11616</v>
      </c>
      <c r="S58" s="115">
        <f>VLOOKUP($C$58,Servant!$B$5:$AD$29,15,FALSE)+($F58+($F58*0.5*($D58-1)))*(S$3-1)</f>
        <v>12341</v>
      </c>
      <c r="T58" s="115">
        <f>VLOOKUP($C$58,Servant!$B$5:$AD$29,15,FALSE)+($F58+($F58*0.5*($D58-1)))*(T$3-1)</f>
        <v>13066</v>
      </c>
      <c r="U58" s="115">
        <f>VLOOKUP($C$58,Servant!$B$5:$AD$29,15,FALSE)+($F58+($F58*0.5*($D58-1)))*(U$3-1)</f>
        <v>13791</v>
      </c>
      <c r="V58" s="115">
        <f>VLOOKUP($C$58,Servant!$B$5:$AD$29,15,FALSE)+($F58+($F58*0.5*($D58-1)))*(V$3-1)</f>
        <v>14516</v>
      </c>
      <c r="W58" s="115">
        <f>VLOOKUP($C$58,Servant!$B$5:$AD$29,15,FALSE)+($F58+($F58*0.5*($D58-1)))*(W$3-1)</f>
        <v>15241</v>
      </c>
      <c r="X58" s="115">
        <f>VLOOKUP($C$58,Servant!$B$5:$AD$29,15,FALSE)+($F58+($F58*0.5*($D58-1)))*(X$3-1)</f>
        <v>15966</v>
      </c>
      <c r="Y58" s="115">
        <f>VLOOKUP($C$58,Servant!$B$5:$AD$29,15,FALSE)+($F58+($F58*0.5*($D58-1)))*(Y$3-1)</f>
        <v>16691</v>
      </c>
      <c r="Z58" s="115">
        <f>VLOOKUP($C$58,Servant!$B$5:$AD$29,15,FALSE)+($F58+($F58*0.5*($D58-1)))*(Z$3-1)</f>
        <v>17416</v>
      </c>
      <c r="AA58" s="115">
        <f>VLOOKUP($C$58,Servant!$B$5:$AD$29,15,FALSE)+($F58+($F58*0.5*($D58-1)))*(AA$3-1)</f>
        <v>18141</v>
      </c>
      <c r="AB58" s="115">
        <f>VLOOKUP($C$58,Servant!$B$5:$AD$29,15,FALSE)+($F58+($F58*0.5*($D58-1)))*(AB$3-1)</f>
        <v>18866</v>
      </c>
      <c r="AC58" s="115">
        <f>VLOOKUP($C$58,Servant!$B$5:$AD$29,15,FALSE)+($F58+($F58*0.5*($D58-1)))*(AC$3-1)</f>
        <v>19591</v>
      </c>
      <c r="AD58" s="115">
        <f>VLOOKUP($C$58,Servant!$B$5:$AD$29,15,FALSE)+($F58+($F58*0.5*($D58-1)))*(AD$3-1)</f>
        <v>20316</v>
      </c>
      <c r="AE58" s="115">
        <f>VLOOKUP($C$58,Servant!$B$5:$AD$29,15,FALSE)+($F58+($F58*0.5*($D58-1)))*(AE$3-1)</f>
        <v>21041</v>
      </c>
      <c r="AF58" s="115">
        <f>VLOOKUP($C$58,Servant!$B$5:$AD$29,15,FALSE)+($F58+($F58*0.5*($D58-1)))*(AF$3-1)</f>
        <v>21766</v>
      </c>
      <c r="AG58" s="115">
        <f>VLOOKUP($C$58,Servant!$B$5:$AD$29,15,FALSE)+($F58+($F58*0.5*($D58-1)))*(AG$3-1)</f>
        <v>22491</v>
      </c>
      <c r="AH58" s="115">
        <f>VLOOKUP($C$58,Servant!$B$5:$AD$29,15,FALSE)+($F58+($F58*0.5*($D58-1)))*(AH$3-1)</f>
        <v>23216</v>
      </c>
      <c r="AI58" s="115">
        <f>VLOOKUP($C$58,Servant!$B$5:$AD$29,15,FALSE)+($F58+($F58*0.5*($D58-1)))*(AI$3-1)</f>
        <v>23941</v>
      </c>
      <c r="AJ58" s="115">
        <f>VLOOKUP($C$58,Servant!$B$5:$AD$29,15,FALSE)+($F58+($F58*0.5*($D58-1)))*(AJ$3-1)</f>
        <v>24666</v>
      </c>
      <c r="AK58" s="115">
        <f>VLOOKUP($C$58,Servant!$B$5:$AD$29,15,FALSE)+($F58+($F58*0.5*($D58-1)))*(AK$3-1)</f>
        <v>25391</v>
      </c>
    </row>
    <row r="59" spans="2:37" x14ac:dyDescent="0.3">
      <c r="B59" s="309"/>
      <c r="C59" s="302"/>
      <c r="D59" s="129">
        <v>5</v>
      </c>
      <c r="E59" s="124">
        <f>VLOOKUP($C$52,ServantLevelUPdStatus!$B$5:$AD$29,3,FALSE)+(VLOOKUP($C$52,ServantLevelUPdStatus!$B$5:$AD$29,3,FALSE)*0.5*(Simulator_HP!$D59-1))</f>
        <v>1026</v>
      </c>
      <c r="F59" s="123">
        <f>F58</f>
        <v>290</v>
      </c>
      <c r="H59" s="115">
        <f>VLOOKUP($C$58,Servant!$B$5:$AD$29,15,FALSE)+($F59+($F59*0.5*($D59-1)))*(H$3-1)</f>
        <v>4366</v>
      </c>
      <c r="I59" s="115">
        <f>VLOOKUP($C$58,Servant!$B$5:$AD$29,15,FALSE)+($F59+($F59*0.5*($D59-1)))*(I$3-1)</f>
        <v>5236</v>
      </c>
      <c r="J59" s="115">
        <f>VLOOKUP($C$58,Servant!$B$5:$AD$29,15,FALSE)+($F59+($F59*0.5*($D59-1)))*(J$3-1)</f>
        <v>6106</v>
      </c>
      <c r="K59" s="115">
        <f>VLOOKUP($C$58,Servant!$B$5:$AD$29,15,FALSE)+($F59+($F59*0.5*($D59-1)))*(K$3-1)</f>
        <v>6976</v>
      </c>
      <c r="L59" s="115">
        <f>VLOOKUP($C$58,Servant!$B$5:$AD$29,15,FALSE)+($F59+($F59*0.5*($D59-1)))*(L$3-1)</f>
        <v>7846</v>
      </c>
      <c r="M59" s="115">
        <f>VLOOKUP($C$58,Servant!$B$5:$AD$29,15,FALSE)+($F59+($F59*0.5*($D59-1)))*(M$3-1)</f>
        <v>8716</v>
      </c>
      <c r="N59" s="115">
        <f>VLOOKUP($C$58,Servant!$B$5:$AD$29,15,FALSE)+($F59+($F59*0.5*($D59-1)))*(N$3-1)</f>
        <v>9586</v>
      </c>
      <c r="O59" s="115">
        <f>VLOOKUP($C$58,Servant!$B$5:$AD$29,15,FALSE)+($F59+($F59*0.5*($D59-1)))*(O$3-1)</f>
        <v>10456</v>
      </c>
      <c r="P59" s="115">
        <f>VLOOKUP($C$58,Servant!$B$5:$AD$29,15,FALSE)+($F59+($F59*0.5*($D59-1)))*(P$3-1)</f>
        <v>11326</v>
      </c>
      <c r="Q59" s="115">
        <f>VLOOKUP($C$58,Servant!$B$5:$AD$29,15,FALSE)+($F59+($F59*0.5*($D59-1)))*(Q$3-1)</f>
        <v>12196</v>
      </c>
      <c r="R59" s="115">
        <f>VLOOKUP($C$58,Servant!$B$5:$AD$29,15,FALSE)+($F59+($F59*0.5*($D59-1)))*(R$3-1)</f>
        <v>13066</v>
      </c>
      <c r="S59" s="115">
        <f>VLOOKUP($C$58,Servant!$B$5:$AD$29,15,FALSE)+($F59+($F59*0.5*($D59-1)))*(S$3-1)</f>
        <v>13936</v>
      </c>
      <c r="T59" s="115">
        <f>VLOOKUP($C$58,Servant!$B$5:$AD$29,15,FALSE)+($F59+($F59*0.5*($D59-1)))*(T$3-1)</f>
        <v>14806</v>
      </c>
      <c r="U59" s="115">
        <f>VLOOKUP($C$58,Servant!$B$5:$AD$29,15,FALSE)+($F59+($F59*0.5*($D59-1)))*(U$3-1)</f>
        <v>15676</v>
      </c>
      <c r="V59" s="115">
        <f>VLOOKUP($C$58,Servant!$B$5:$AD$29,15,FALSE)+($F59+($F59*0.5*($D59-1)))*(V$3-1)</f>
        <v>16546</v>
      </c>
      <c r="W59" s="115">
        <f>VLOOKUP($C$58,Servant!$B$5:$AD$29,15,FALSE)+($F59+($F59*0.5*($D59-1)))*(W$3-1)</f>
        <v>17416</v>
      </c>
      <c r="X59" s="115">
        <f>VLOOKUP($C$58,Servant!$B$5:$AD$29,15,FALSE)+($F59+($F59*0.5*($D59-1)))*(X$3-1)</f>
        <v>18286</v>
      </c>
      <c r="Y59" s="115">
        <f>VLOOKUP($C$58,Servant!$B$5:$AD$29,15,FALSE)+($F59+($F59*0.5*($D59-1)))*(Y$3-1)</f>
        <v>19156</v>
      </c>
      <c r="Z59" s="115">
        <f>VLOOKUP($C$58,Servant!$B$5:$AD$29,15,FALSE)+($F59+($F59*0.5*($D59-1)))*(Z$3-1)</f>
        <v>20026</v>
      </c>
      <c r="AA59" s="115">
        <f>VLOOKUP($C$58,Servant!$B$5:$AD$29,15,FALSE)+($F59+($F59*0.5*($D59-1)))*(AA$3-1)</f>
        <v>20896</v>
      </c>
      <c r="AB59" s="115">
        <f>VLOOKUP($C$58,Servant!$B$5:$AD$29,15,FALSE)+($F59+($F59*0.5*($D59-1)))*(AB$3-1)</f>
        <v>21766</v>
      </c>
      <c r="AC59" s="115">
        <f>VLOOKUP($C$58,Servant!$B$5:$AD$29,15,FALSE)+($F59+($F59*0.5*($D59-1)))*(AC$3-1)</f>
        <v>22636</v>
      </c>
      <c r="AD59" s="115">
        <f>VLOOKUP($C$58,Servant!$B$5:$AD$29,15,FALSE)+($F59+($F59*0.5*($D59-1)))*(AD$3-1)</f>
        <v>23506</v>
      </c>
      <c r="AE59" s="115">
        <f>VLOOKUP($C$58,Servant!$B$5:$AD$29,15,FALSE)+($F59+($F59*0.5*($D59-1)))*(AE$3-1)</f>
        <v>24376</v>
      </c>
      <c r="AF59" s="115">
        <f>VLOOKUP($C$58,Servant!$B$5:$AD$29,15,FALSE)+($F59+($F59*0.5*($D59-1)))*(AF$3-1)</f>
        <v>25246</v>
      </c>
      <c r="AG59" s="115">
        <f>VLOOKUP($C$58,Servant!$B$5:$AD$29,15,FALSE)+($F59+($F59*0.5*($D59-1)))*(AG$3-1)</f>
        <v>26116</v>
      </c>
      <c r="AH59" s="115">
        <f>VLOOKUP($C$58,Servant!$B$5:$AD$29,15,FALSE)+($F59+($F59*0.5*($D59-1)))*(AH$3-1)</f>
        <v>26986</v>
      </c>
      <c r="AI59" s="115">
        <f>VLOOKUP($C$58,Servant!$B$5:$AD$29,15,FALSE)+($F59+($F59*0.5*($D59-1)))*(AI$3-1)</f>
        <v>27856</v>
      </c>
      <c r="AJ59" s="115">
        <f>VLOOKUP($C$58,Servant!$B$5:$AD$29,15,FALSE)+($F59+($F59*0.5*($D59-1)))*(AJ$3-1)</f>
        <v>28726</v>
      </c>
      <c r="AK59" s="115">
        <f>VLOOKUP($C$58,Servant!$B$5:$AD$29,15,FALSE)+($F59+($F59*0.5*($D59-1)))*(AK$3-1)</f>
        <v>29596</v>
      </c>
    </row>
    <row r="60" spans="2:37" x14ac:dyDescent="0.3">
      <c r="B60" s="309"/>
      <c r="C60" s="303"/>
      <c r="D60" s="129">
        <v>6</v>
      </c>
      <c r="E60" s="124">
        <f>VLOOKUP($C$52,ServantLevelUPdStatus!$B$5:$AD$29,3,FALSE)+(VLOOKUP($C$52,ServantLevelUPdStatus!$B$5:$AD$29,3,FALSE)*0.5*(Simulator_HP!$D60-1))</f>
        <v>1197</v>
      </c>
      <c r="F60" s="123">
        <f>F59</f>
        <v>290</v>
      </c>
      <c r="H60" s="115">
        <f>VLOOKUP($C$58,Servant!$B$5:$AD$29,15,FALSE)+($F60+($F60*0.5*($D60-1)))*(H$3-1)</f>
        <v>4366</v>
      </c>
      <c r="I60" s="115">
        <f>VLOOKUP($C$58,Servant!$B$5:$AD$29,15,FALSE)+($F60+($F60*0.5*($D60-1)))*(I$3-1)</f>
        <v>5381</v>
      </c>
      <c r="J60" s="115">
        <f>VLOOKUP($C$58,Servant!$B$5:$AD$29,15,FALSE)+($F60+($F60*0.5*($D60-1)))*(J$3-1)</f>
        <v>6396</v>
      </c>
      <c r="K60" s="115">
        <f>VLOOKUP($C$58,Servant!$B$5:$AD$29,15,FALSE)+($F60+($F60*0.5*($D60-1)))*(K$3-1)</f>
        <v>7411</v>
      </c>
      <c r="L60" s="115">
        <f>VLOOKUP($C$58,Servant!$B$5:$AD$29,15,FALSE)+($F60+($F60*0.5*($D60-1)))*(L$3-1)</f>
        <v>8426</v>
      </c>
      <c r="M60" s="115">
        <f>VLOOKUP($C$58,Servant!$B$5:$AD$29,15,FALSE)+($F60+($F60*0.5*($D60-1)))*(M$3-1)</f>
        <v>9441</v>
      </c>
      <c r="N60" s="115">
        <f>VLOOKUP($C$58,Servant!$B$5:$AD$29,15,FALSE)+($F60+($F60*0.5*($D60-1)))*(N$3-1)</f>
        <v>10456</v>
      </c>
      <c r="O60" s="115">
        <f>VLOOKUP($C$58,Servant!$B$5:$AD$29,15,FALSE)+($F60+($F60*0.5*($D60-1)))*(O$3-1)</f>
        <v>11471</v>
      </c>
      <c r="P60" s="115">
        <f>VLOOKUP($C$58,Servant!$B$5:$AD$29,15,FALSE)+($F60+($F60*0.5*($D60-1)))*(P$3-1)</f>
        <v>12486</v>
      </c>
      <c r="Q60" s="115">
        <f>VLOOKUP($C$58,Servant!$B$5:$AD$29,15,FALSE)+($F60+($F60*0.5*($D60-1)))*(Q$3-1)</f>
        <v>13501</v>
      </c>
      <c r="R60" s="115">
        <f>VLOOKUP($C$58,Servant!$B$5:$AD$29,15,FALSE)+($F60+($F60*0.5*($D60-1)))*(R$3-1)</f>
        <v>14516</v>
      </c>
      <c r="S60" s="115">
        <f>VLOOKUP($C$58,Servant!$B$5:$AD$29,15,FALSE)+($F60+($F60*0.5*($D60-1)))*(S$3-1)</f>
        <v>15531</v>
      </c>
      <c r="T60" s="115">
        <f>VLOOKUP($C$58,Servant!$B$5:$AD$29,15,FALSE)+($F60+($F60*0.5*($D60-1)))*(T$3-1)</f>
        <v>16546</v>
      </c>
      <c r="U60" s="115">
        <f>VLOOKUP($C$58,Servant!$B$5:$AD$29,15,FALSE)+($F60+($F60*0.5*($D60-1)))*(U$3-1)</f>
        <v>17561</v>
      </c>
      <c r="V60" s="115">
        <f>VLOOKUP($C$58,Servant!$B$5:$AD$29,15,FALSE)+($F60+($F60*0.5*($D60-1)))*(V$3-1)</f>
        <v>18576</v>
      </c>
      <c r="W60" s="115">
        <f>VLOOKUP($C$58,Servant!$B$5:$AD$29,15,FALSE)+($F60+($F60*0.5*($D60-1)))*(W$3-1)</f>
        <v>19591</v>
      </c>
      <c r="X60" s="115">
        <f>VLOOKUP($C$58,Servant!$B$5:$AD$29,15,FALSE)+($F60+($F60*0.5*($D60-1)))*(X$3-1)</f>
        <v>20606</v>
      </c>
      <c r="Y60" s="115">
        <f>VLOOKUP($C$58,Servant!$B$5:$AD$29,15,FALSE)+($F60+($F60*0.5*($D60-1)))*(Y$3-1)</f>
        <v>21621</v>
      </c>
      <c r="Z60" s="115">
        <f>VLOOKUP($C$58,Servant!$B$5:$AD$29,15,FALSE)+($F60+($F60*0.5*($D60-1)))*(Z$3-1)</f>
        <v>22636</v>
      </c>
      <c r="AA60" s="115">
        <f>VLOOKUP($C$58,Servant!$B$5:$AD$29,15,FALSE)+($F60+($F60*0.5*($D60-1)))*(AA$3-1)</f>
        <v>23651</v>
      </c>
      <c r="AB60" s="115">
        <f>VLOOKUP($C$58,Servant!$B$5:$AD$29,15,FALSE)+($F60+($F60*0.5*($D60-1)))*(AB$3-1)</f>
        <v>24666</v>
      </c>
      <c r="AC60" s="115">
        <f>VLOOKUP($C$58,Servant!$B$5:$AD$29,15,FALSE)+($F60+($F60*0.5*($D60-1)))*(AC$3-1)</f>
        <v>25681</v>
      </c>
      <c r="AD60" s="115">
        <f>VLOOKUP($C$58,Servant!$B$5:$AD$29,15,FALSE)+($F60+($F60*0.5*($D60-1)))*(AD$3-1)</f>
        <v>26696</v>
      </c>
      <c r="AE60" s="115">
        <f>VLOOKUP($C$58,Servant!$B$5:$AD$29,15,FALSE)+($F60+($F60*0.5*($D60-1)))*(AE$3-1)</f>
        <v>27711</v>
      </c>
      <c r="AF60" s="115">
        <f>VLOOKUP($C$58,Servant!$B$5:$AD$29,15,FALSE)+($F60+($F60*0.5*($D60-1)))*(AF$3-1)</f>
        <v>28726</v>
      </c>
      <c r="AG60" s="115">
        <f>VLOOKUP($C$58,Servant!$B$5:$AD$29,15,FALSE)+($F60+($F60*0.5*($D60-1)))*(AG$3-1)</f>
        <v>29741</v>
      </c>
      <c r="AH60" s="115">
        <f>VLOOKUP($C$58,Servant!$B$5:$AD$29,15,FALSE)+($F60+($F60*0.5*($D60-1)))*(AH$3-1)</f>
        <v>30756</v>
      </c>
      <c r="AI60" s="115">
        <f>VLOOKUP($C$58,Servant!$B$5:$AD$29,15,FALSE)+($F60+($F60*0.5*($D60-1)))*(AI$3-1)</f>
        <v>31771</v>
      </c>
      <c r="AJ60" s="115">
        <f>VLOOKUP($C$58,Servant!$B$5:$AD$29,15,FALSE)+($F60+($F60*0.5*($D60-1)))*(AJ$3-1)</f>
        <v>32786</v>
      </c>
      <c r="AK60" s="115">
        <f>VLOOKUP($C$58,Servant!$B$5:$AD$29,15,FALSE)+($F60+($F60*0.5*($D60-1)))*(AK$3-1)</f>
        <v>33801</v>
      </c>
    </row>
    <row r="61" spans="2:37" x14ac:dyDescent="0.3">
      <c r="B61" s="309"/>
      <c r="C61" s="304" t="s">
        <v>314</v>
      </c>
      <c r="D61" s="144">
        <v>4</v>
      </c>
      <c r="E61" s="145">
        <f>VLOOKUP($C$61,ServantLevelUPdStatus!$B$5:$AD$29,3,FALSE)+(VLOOKUP($C$61,ServantLevelUPdStatus!$B$5:$AD$29,3,FALSE)*0.5*(Simulator_HP!$D61-1))</f>
        <v>965</v>
      </c>
      <c r="F61" s="145">
        <f>VLOOKUP($C$61,ServantLevelUPdStatus!$B$5:$AD$29,3,FALSE)</f>
        <v>386</v>
      </c>
      <c r="H61" s="146">
        <f>VLOOKUP($C$61,Servant!$B$5:$AD$29,15,FALSE)+($F61+($F61*0.5*($D61-1)))*(H$3-1)</f>
        <v>5804</v>
      </c>
      <c r="I61" s="146">
        <f>VLOOKUP($C$61,Servant!$B$5:$AD$29,15,FALSE)+($F61+($F61*0.5*($D61-1)))*(I$3-1)</f>
        <v>6769</v>
      </c>
      <c r="J61" s="146">
        <f>VLOOKUP($C$61,Servant!$B$5:$AD$29,15,FALSE)+($F61+($F61*0.5*($D61-1)))*(J$3-1)</f>
        <v>7734</v>
      </c>
      <c r="K61" s="146">
        <f>VLOOKUP($C$61,Servant!$B$5:$AD$29,15,FALSE)+($F61+($F61*0.5*($D61-1)))*(K$3-1)</f>
        <v>8699</v>
      </c>
      <c r="L61" s="146">
        <f>VLOOKUP($C$61,Servant!$B$5:$AD$29,15,FALSE)+($F61+($F61*0.5*($D61-1)))*(L$3-1)</f>
        <v>9664</v>
      </c>
      <c r="M61" s="146">
        <f>VLOOKUP($C$61,Servant!$B$5:$AD$29,15,FALSE)+($F61+($F61*0.5*($D61-1)))*(M$3-1)</f>
        <v>10629</v>
      </c>
      <c r="N61" s="146">
        <f>VLOOKUP($C$61,Servant!$B$5:$AD$29,15,FALSE)+($F61+($F61*0.5*($D61-1)))*(N$3-1)</f>
        <v>11594</v>
      </c>
      <c r="O61" s="146">
        <f>VLOOKUP($C$61,Servant!$B$5:$AD$29,15,FALSE)+($F61+($F61*0.5*($D61-1)))*(O$3-1)</f>
        <v>12559</v>
      </c>
      <c r="P61" s="146">
        <f>VLOOKUP($C$61,Servant!$B$5:$AD$29,15,FALSE)+($F61+($F61*0.5*($D61-1)))*(P$3-1)</f>
        <v>13524</v>
      </c>
      <c r="Q61" s="146">
        <f>VLOOKUP($C$61,Servant!$B$5:$AD$29,15,FALSE)+($F61+($F61*0.5*($D61-1)))*(Q$3-1)</f>
        <v>14489</v>
      </c>
      <c r="R61" s="146">
        <f>VLOOKUP($C$61,Servant!$B$5:$AD$29,15,FALSE)+($F61+($F61*0.5*($D61-1)))*(R$3-1)</f>
        <v>15454</v>
      </c>
      <c r="S61" s="146">
        <f>VLOOKUP($C$61,Servant!$B$5:$AD$29,15,FALSE)+($F61+($F61*0.5*($D61-1)))*(S$3-1)</f>
        <v>16419</v>
      </c>
      <c r="T61" s="146">
        <f>VLOOKUP($C$61,Servant!$B$5:$AD$29,15,FALSE)+($F61+($F61*0.5*($D61-1)))*(T$3-1)</f>
        <v>17384</v>
      </c>
      <c r="U61" s="146">
        <f>VLOOKUP($C$61,Servant!$B$5:$AD$29,15,FALSE)+($F61+($F61*0.5*($D61-1)))*(U$3-1)</f>
        <v>18349</v>
      </c>
      <c r="V61" s="146">
        <f>VLOOKUP($C$61,Servant!$B$5:$AD$29,15,FALSE)+($F61+($F61*0.5*($D61-1)))*(V$3-1)</f>
        <v>19314</v>
      </c>
      <c r="W61" s="146">
        <f>VLOOKUP($C$61,Servant!$B$5:$AD$29,15,FALSE)+($F61+($F61*0.5*($D61-1)))*(W$3-1)</f>
        <v>20279</v>
      </c>
      <c r="X61" s="146">
        <f>VLOOKUP($C$61,Servant!$B$5:$AD$29,15,FALSE)+($F61+($F61*0.5*($D61-1)))*(X$3-1)</f>
        <v>21244</v>
      </c>
      <c r="Y61" s="146">
        <f>VLOOKUP($C$61,Servant!$B$5:$AD$29,15,FALSE)+($F61+($F61*0.5*($D61-1)))*(Y$3-1)</f>
        <v>22209</v>
      </c>
      <c r="Z61" s="146">
        <f>VLOOKUP($C$61,Servant!$B$5:$AD$29,15,FALSE)+($F61+($F61*0.5*($D61-1)))*(Z$3-1)</f>
        <v>23174</v>
      </c>
      <c r="AA61" s="146">
        <f>VLOOKUP($C$61,Servant!$B$5:$AD$29,15,FALSE)+($F61+($F61*0.5*($D61-1)))*(AA$3-1)</f>
        <v>24139</v>
      </c>
      <c r="AB61" s="146">
        <f>VLOOKUP($C$61,Servant!$B$5:$AD$29,15,FALSE)+($F61+($F61*0.5*($D61-1)))*(AB$3-1)</f>
        <v>25104</v>
      </c>
      <c r="AC61" s="146">
        <f>VLOOKUP($C$61,Servant!$B$5:$AD$29,15,FALSE)+($F61+($F61*0.5*($D61-1)))*(AC$3-1)</f>
        <v>26069</v>
      </c>
      <c r="AD61" s="146">
        <f>VLOOKUP($C$61,Servant!$B$5:$AD$29,15,FALSE)+($F61+($F61*0.5*($D61-1)))*(AD$3-1)</f>
        <v>27034</v>
      </c>
      <c r="AE61" s="146">
        <f>VLOOKUP($C$61,Servant!$B$5:$AD$29,15,FALSE)+($F61+($F61*0.5*($D61-1)))*(AE$3-1)</f>
        <v>27999</v>
      </c>
      <c r="AF61" s="146">
        <f>VLOOKUP($C$61,Servant!$B$5:$AD$29,15,FALSE)+($F61+($F61*0.5*($D61-1)))*(AF$3-1)</f>
        <v>28964</v>
      </c>
      <c r="AG61" s="146">
        <f>VLOOKUP($C$61,Servant!$B$5:$AD$29,15,FALSE)+($F61+($F61*0.5*($D61-1)))*(AG$3-1)</f>
        <v>29929</v>
      </c>
      <c r="AH61" s="146">
        <f>VLOOKUP($C$61,Servant!$B$5:$AD$29,15,FALSE)+($F61+($F61*0.5*($D61-1)))*(AH$3-1)</f>
        <v>30894</v>
      </c>
      <c r="AI61" s="146">
        <f>VLOOKUP($C$61,Servant!$B$5:$AD$29,15,FALSE)+($F61+($F61*0.5*($D61-1)))*(AI$3-1)</f>
        <v>31859</v>
      </c>
      <c r="AJ61" s="146">
        <f>VLOOKUP($C$61,Servant!$B$5:$AD$29,15,FALSE)+($F61+($F61*0.5*($D61-1)))*(AJ$3-1)</f>
        <v>32824</v>
      </c>
      <c r="AK61" s="146">
        <f>VLOOKUP($C$61,Servant!$B$5:$AD$29,15,FALSE)+($F61+($F61*0.5*($D61-1)))*(AK$3-1)</f>
        <v>33789</v>
      </c>
    </row>
    <row r="62" spans="2:37" x14ac:dyDescent="0.3">
      <c r="B62" s="309"/>
      <c r="C62" s="305"/>
      <c r="D62" s="144">
        <v>5</v>
      </c>
      <c r="E62" s="145">
        <f>VLOOKUP($C$61,ServantLevelUPdStatus!$B$5:$AD$29,3,FALSE)+(VLOOKUP($C$61,ServantLevelUPdStatus!$B$5:$AD$29,3,FALSE)*0.5*(Simulator_HP!$D62-1))</f>
        <v>1158</v>
      </c>
      <c r="F62" s="147">
        <f>F61</f>
        <v>386</v>
      </c>
      <c r="H62" s="146">
        <f>VLOOKUP($C$61,Servant!$B$5:$AD$29,15,FALSE)+($F62+($F62*0.5*($D62-1)))*(H$3-1)</f>
        <v>5804</v>
      </c>
      <c r="I62" s="146">
        <f>VLOOKUP($C$61,Servant!$B$5:$AD$29,15,FALSE)+($F62+($F62*0.5*($D62-1)))*(I$3-1)</f>
        <v>6962</v>
      </c>
      <c r="J62" s="146">
        <f>VLOOKUP($C$61,Servant!$B$5:$AD$29,15,FALSE)+($F62+($F62*0.5*($D62-1)))*(J$3-1)</f>
        <v>8120</v>
      </c>
      <c r="K62" s="146">
        <f>VLOOKUP($C$61,Servant!$B$5:$AD$29,15,FALSE)+($F62+($F62*0.5*($D62-1)))*(K$3-1)</f>
        <v>9278</v>
      </c>
      <c r="L62" s="146">
        <f>VLOOKUP($C$61,Servant!$B$5:$AD$29,15,FALSE)+($F62+($F62*0.5*($D62-1)))*(L$3-1)</f>
        <v>10436</v>
      </c>
      <c r="M62" s="146">
        <f>VLOOKUP($C$61,Servant!$B$5:$AD$29,15,FALSE)+($F62+($F62*0.5*($D62-1)))*(M$3-1)</f>
        <v>11594</v>
      </c>
      <c r="N62" s="146">
        <f>VLOOKUP($C$61,Servant!$B$5:$AD$29,15,FALSE)+($F62+($F62*0.5*($D62-1)))*(N$3-1)</f>
        <v>12752</v>
      </c>
      <c r="O62" s="146">
        <f>VLOOKUP($C$61,Servant!$B$5:$AD$29,15,FALSE)+($F62+($F62*0.5*($D62-1)))*(O$3-1)</f>
        <v>13910</v>
      </c>
      <c r="P62" s="146">
        <f>VLOOKUP($C$61,Servant!$B$5:$AD$29,15,FALSE)+($F62+($F62*0.5*($D62-1)))*(P$3-1)</f>
        <v>15068</v>
      </c>
      <c r="Q62" s="146">
        <f>VLOOKUP($C$61,Servant!$B$5:$AD$29,15,FALSE)+($F62+($F62*0.5*($D62-1)))*(Q$3-1)</f>
        <v>16226</v>
      </c>
      <c r="R62" s="146">
        <f>VLOOKUP($C$61,Servant!$B$5:$AD$29,15,FALSE)+($F62+($F62*0.5*($D62-1)))*(R$3-1)</f>
        <v>17384</v>
      </c>
      <c r="S62" s="146">
        <f>VLOOKUP($C$61,Servant!$B$5:$AD$29,15,FALSE)+($F62+($F62*0.5*($D62-1)))*(S$3-1)</f>
        <v>18542</v>
      </c>
      <c r="T62" s="146">
        <f>VLOOKUP($C$61,Servant!$B$5:$AD$29,15,FALSE)+($F62+($F62*0.5*($D62-1)))*(T$3-1)</f>
        <v>19700</v>
      </c>
      <c r="U62" s="146">
        <f>VLOOKUP($C$61,Servant!$B$5:$AD$29,15,FALSE)+($F62+($F62*0.5*($D62-1)))*(U$3-1)</f>
        <v>20858</v>
      </c>
      <c r="V62" s="146">
        <f>VLOOKUP($C$61,Servant!$B$5:$AD$29,15,FALSE)+($F62+($F62*0.5*($D62-1)))*(V$3-1)</f>
        <v>22016</v>
      </c>
      <c r="W62" s="146">
        <f>VLOOKUP($C$61,Servant!$B$5:$AD$29,15,FALSE)+($F62+($F62*0.5*($D62-1)))*(W$3-1)</f>
        <v>23174</v>
      </c>
      <c r="X62" s="146">
        <f>VLOOKUP($C$61,Servant!$B$5:$AD$29,15,FALSE)+($F62+($F62*0.5*($D62-1)))*(X$3-1)</f>
        <v>24332</v>
      </c>
      <c r="Y62" s="146">
        <f>VLOOKUP($C$61,Servant!$B$5:$AD$29,15,FALSE)+($F62+($F62*0.5*($D62-1)))*(Y$3-1)</f>
        <v>25490</v>
      </c>
      <c r="Z62" s="146">
        <f>VLOOKUP($C$61,Servant!$B$5:$AD$29,15,FALSE)+($F62+($F62*0.5*($D62-1)))*(Z$3-1)</f>
        <v>26648</v>
      </c>
      <c r="AA62" s="146">
        <f>VLOOKUP($C$61,Servant!$B$5:$AD$29,15,FALSE)+($F62+($F62*0.5*($D62-1)))*(AA$3-1)</f>
        <v>27806</v>
      </c>
      <c r="AB62" s="146">
        <f>VLOOKUP($C$61,Servant!$B$5:$AD$29,15,FALSE)+($F62+($F62*0.5*($D62-1)))*(AB$3-1)</f>
        <v>28964</v>
      </c>
      <c r="AC62" s="146">
        <f>VLOOKUP($C$61,Servant!$B$5:$AD$29,15,FALSE)+($F62+($F62*0.5*($D62-1)))*(AC$3-1)</f>
        <v>30122</v>
      </c>
      <c r="AD62" s="146">
        <f>VLOOKUP($C$61,Servant!$B$5:$AD$29,15,FALSE)+($F62+($F62*0.5*($D62-1)))*(AD$3-1)</f>
        <v>31280</v>
      </c>
      <c r="AE62" s="146">
        <f>VLOOKUP($C$61,Servant!$B$5:$AD$29,15,FALSE)+($F62+($F62*0.5*($D62-1)))*(AE$3-1)</f>
        <v>32438</v>
      </c>
      <c r="AF62" s="146">
        <f>VLOOKUP($C$61,Servant!$B$5:$AD$29,15,FALSE)+($F62+($F62*0.5*($D62-1)))*(AF$3-1)</f>
        <v>33596</v>
      </c>
      <c r="AG62" s="146">
        <f>VLOOKUP($C$61,Servant!$B$5:$AD$29,15,FALSE)+($F62+($F62*0.5*($D62-1)))*(AG$3-1)</f>
        <v>34754</v>
      </c>
      <c r="AH62" s="146">
        <f>VLOOKUP($C$61,Servant!$B$5:$AD$29,15,FALSE)+($F62+($F62*0.5*($D62-1)))*(AH$3-1)</f>
        <v>35912</v>
      </c>
      <c r="AI62" s="146">
        <f>VLOOKUP($C$61,Servant!$B$5:$AD$29,15,FALSE)+($F62+($F62*0.5*($D62-1)))*(AI$3-1)</f>
        <v>37070</v>
      </c>
      <c r="AJ62" s="146">
        <f>VLOOKUP($C$61,Servant!$B$5:$AD$29,15,FALSE)+($F62+($F62*0.5*($D62-1)))*(AJ$3-1)</f>
        <v>38228</v>
      </c>
      <c r="AK62" s="146">
        <f>VLOOKUP($C$61,Servant!$B$5:$AD$29,15,FALSE)+($F62+($F62*0.5*($D62-1)))*(AK$3-1)</f>
        <v>39386</v>
      </c>
    </row>
    <row r="63" spans="2:37" x14ac:dyDescent="0.3">
      <c r="B63" s="309"/>
      <c r="C63" s="306"/>
      <c r="D63" s="144">
        <v>6</v>
      </c>
      <c r="E63" s="145">
        <f>VLOOKUP($C$61,ServantLevelUPdStatus!$B$5:$AD$29,3,FALSE)+(VLOOKUP($C$61,ServantLevelUPdStatus!$B$5:$AD$29,3,FALSE)*0.5*(Simulator_HP!$D63-1))</f>
        <v>1351</v>
      </c>
      <c r="F63" s="147">
        <f>F62</f>
        <v>386</v>
      </c>
      <c r="H63" s="146">
        <f>VLOOKUP($C$61,Servant!$B$5:$AD$29,15,FALSE)+($F63+($F63*0.5*($D63-1)))*(H$3-1)</f>
        <v>5804</v>
      </c>
      <c r="I63" s="146">
        <f>VLOOKUP($C$61,Servant!$B$5:$AD$29,15,FALSE)+($F63+($F63*0.5*($D63-1)))*(I$3-1)</f>
        <v>7155</v>
      </c>
      <c r="J63" s="146">
        <f>VLOOKUP($C$61,Servant!$B$5:$AD$29,15,FALSE)+($F63+($F63*0.5*($D63-1)))*(J$3-1)</f>
        <v>8506</v>
      </c>
      <c r="K63" s="146">
        <f>VLOOKUP($C$61,Servant!$B$5:$AD$29,15,FALSE)+($F63+($F63*0.5*($D63-1)))*(K$3-1)</f>
        <v>9857</v>
      </c>
      <c r="L63" s="146">
        <f>VLOOKUP($C$61,Servant!$B$5:$AD$29,15,FALSE)+($F63+($F63*0.5*($D63-1)))*(L$3-1)</f>
        <v>11208</v>
      </c>
      <c r="M63" s="146">
        <f>VLOOKUP($C$61,Servant!$B$5:$AD$29,15,FALSE)+($F63+($F63*0.5*($D63-1)))*(M$3-1)</f>
        <v>12559</v>
      </c>
      <c r="N63" s="146">
        <f>VLOOKUP($C$61,Servant!$B$5:$AD$29,15,FALSE)+($F63+($F63*0.5*($D63-1)))*(N$3-1)</f>
        <v>13910</v>
      </c>
      <c r="O63" s="146">
        <f>VLOOKUP($C$61,Servant!$B$5:$AD$29,15,FALSE)+($F63+($F63*0.5*($D63-1)))*(O$3-1)</f>
        <v>15261</v>
      </c>
      <c r="P63" s="146">
        <f>VLOOKUP($C$61,Servant!$B$5:$AD$29,15,FALSE)+($F63+($F63*0.5*($D63-1)))*(P$3-1)</f>
        <v>16612</v>
      </c>
      <c r="Q63" s="146">
        <f>VLOOKUP($C$61,Servant!$B$5:$AD$29,15,FALSE)+($F63+($F63*0.5*($D63-1)))*(Q$3-1)</f>
        <v>17963</v>
      </c>
      <c r="R63" s="146">
        <f>VLOOKUP($C$61,Servant!$B$5:$AD$29,15,FALSE)+($F63+($F63*0.5*($D63-1)))*(R$3-1)</f>
        <v>19314</v>
      </c>
      <c r="S63" s="146">
        <f>VLOOKUP($C$61,Servant!$B$5:$AD$29,15,FALSE)+($F63+($F63*0.5*($D63-1)))*(S$3-1)</f>
        <v>20665</v>
      </c>
      <c r="T63" s="146">
        <f>VLOOKUP($C$61,Servant!$B$5:$AD$29,15,FALSE)+($F63+($F63*0.5*($D63-1)))*(T$3-1)</f>
        <v>22016</v>
      </c>
      <c r="U63" s="146">
        <f>VLOOKUP($C$61,Servant!$B$5:$AD$29,15,FALSE)+($F63+($F63*0.5*($D63-1)))*(U$3-1)</f>
        <v>23367</v>
      </c>
      <c r="V63" s="146">
        <f>VLOOKUP($C$61,Servant!$B$5:$AD$29,15,FALSE)+($F63+($F63*0.5*($D63-1)))*(V$3-1)</f>
        <v>24718</v>
      </c>
      <c r="W63" s="146">
        <f>VLOOKUP($C$61,Servant!$B$5:$AD$29,15,FALSE)+($F63+($F63*0.5*($D63-1)))*(W$3-1)</f>
        <v>26069</v>
      </c>
      <c r="X63" s="146">
        <f>VLOOKUP($C$61,Servant!$B$5:$AD$29,15,FALSE)+($F63+($F63*0.5*($D63-1)))*(X$3-1)</f>
        <v>27420</v>
      </c>
      <c r="Y63" s="146">
        <f>VLOOKUP($C$61,Servant!$B$5:$AD$29,15,FALSE)+($F63+($F63*0.5*($D63-1)))*(Y$3-1)</f>
        <v>28771</v>
      </c>
      <c r="Z63" s="146">
        <f>VLOOKUP($C$61,Servant!$B$5:$AD$29,15,FALSE)+($F63+($F63*0.5*($D63-1)))*(Z$3-1)</f>
        <v>30122</v>
      </c>
      <c r="AA63" s="146">
        <f>VLOOKUP($C$61,Servant!$B$5:$AD$29,15,FALSE)+($F63+($F63*0.5*($D63-1)))*(AA$3-1)</f>
        <v>31473</v>
      </c>
      <c r="AB63" s="146">
        <f>VLOOKUP($C$61,Servant!$B$5:$AD$29,15,FALSE)+($F63+($F63*0.5*($D63-1)))*(AB$3-1)</f>
        <v>32824</v>
      </c>
      <c r="AC63" s="146">
        <f>VLOOKUP($C$61,Servant!$B$5:$AD$29,15,FALSE)+($F63+($F63*0.5*($D63-1)))*(AC$3-1)</f>
        <v>34175</v>
      </c>
      <c r="AD63" s="146">
        <f>VLOOKUP($C$61,Servant!$B$5:$AD$29,15,FALSE)+($F63+($F63*0.5*($D63-1)))*(AD$3-1)</f>
        <v>35526</v>
      </c>
      <c r="AE63" s="146">
        <f>VLOOKUP($C$61,Servant!$B$5:$AD$29,15,FALSE)+($F63+($F63*0.5*($D63-1)))*(AE$3-1)</f>
        <v>36877</v>
      </c>
      <c r="AF63" s="146">
        <f>VLOOKUP($C$61,Servant!$B$5:$AD$29,15,FALSE)+($F63+($F63*0.5*($D63-1)))*(AF$3-1)</f>
        <v>38228</v>
      </c>
      <c r="AG63" s="146">
        <f>VLOOKUP($C$61,Servant!$B$5:$AD$29,15,FALSE)+($F63+($F63*0.5*($D63-1)))*(AG$3-1)</f>
        <v>39579</v>
      </c>
      <c r="AH63" s="146">
        <f>VLOOKUP($C$61,Servant!$B$5:$AD$29,15,FALSE)+($F63+($F63*0.5*($D63-1)))*(AH$3-1)</f>
        <v>40930</v>
      </c>
      <c r="AI63" s="146">
        <f>VLOOKUP($C$61,Servant!$B$5:$AD$29,15,FALSE)+($F63+($F63*0.5*($D63-1)))*(AI$3-1)</f>
        <v>42281</v>
      </c>
      <c r="AJ63" s="146">
        <f>VLOOKUP($C$61,Servant!$B$5:$AD$29,15,FALSE)+($F63+($F63*0.5*($D63-1)))*(AJ$3-1)</f>
        <v>43632</v>
      </c>
      <c r="AK63" s="146">
        <f>VLOOKUP($C$61,Servant!$B$5:$AD$29,15,FALSE)+($F63+($F63*0.5*($D63-1)))*(AK$3-1)</f>
        <v>44983</v>
      </c>
    </row>
    <row r="64" spans="2:37" x14ac:dyDescent="0.3">
      <c r="B64" s="309"/>
      <c r="C64" s="301" t="s">
        <v>315</v>
      </c>
      <c r="D64" s="129">
        <v>4</v>
      </c>
      <c r="E64" s="124">
        <f>VLOOKUP($C$64,ServantLevelUPdStatus!$B$5:$AD$29,3,FALSE)+(VLOOKUP($C$64,ServantLevelUPdStatus!$B$5:$AD$29,3,FALSE)*0.5*(Simulator_HP!$D64-1))</f>
        <v>912.5</v>
      </c>
      <c r="F64" s="124">
        <f>VLOOKUP($C$64,ServantLevelUPdStatus!$B$5:$AD$29,3,FALSE)</f>
        <v>365</v>
      </c>
      <c r="H64" s="115">
        <f>VLOOKUP($C$64,Servant!$B$5:$AD$29,15,FALSE)+($F64+($F64*0.5*($D64-1)))*(H$3-1)</f>
        <v>5496</v>
      </c>
      <c r="I64" s="115">
        <f>VLOOKUP($C$64,Servant!$B$5:$AD$29,15,FALSE)+($F64+($F64*0.5*($D64-1)))*(I$3-1)</f>
        <v>6408.5</v>
      </c>
      <c r="J64" s="115">
        <f>VLOOKUP($C$64,Servant!$B$5:$AD$29,15,FALSE)+($F64+($F64*0.5*($D64-1)))*(J$3-1)</f>
        <v>7321</v>
      </c>
      <c r="K64" s="115">
        <f>VLOOKUP($C$64,Servant!$B$5:$AD$29,15,FALSE)+($F64+($F64*0.5*($D64-1)))*(K$3-1)</f>
        <v>8233.5</v>
      </c>
      <c r="L64" s="115">
        <f>VLOOKUP($C$64,Servant!$B$5:$AD$29,15,FALSE)+($F64+($F64*0.5*($D64-1)))*(L$3-1)</f>
        <v>9146</v>
      </c>
      <c r="M64" s="115">
        <f>VLOOKUP($C$64,Servant!$B$5:$AD$29,15,FALSE)+($F64+($F64*0.5*($D64-1)))*(M$3-1)</f>
        <v>10058.5</v>
      </c>
      <c r="N64" s="115">
        <f>VLOOKUP($C$64,Servant!$B$5:$AD$29,15,FALSE)+($F64+($F64*0.5*($D64-1)))*(N$3-1)</f>
        <v>10971</v>
      </c>
      <c r="O64" s="115">
        <f>VLOOKUP($C$64,Servant!$B$5:$AD$29,15,FALSE)+($F64+($F64*0.5*($D64-1)))*(O$3-1)</f>
        <v>11883.5</v>
      </c>
      <c r="P64" s="115">
        <f>VLOOKUP($C$64,Servant!$B$5:$AD$29,15,FALSE)+($F64+($F64*0.5*($D64-1)))*(P$3-1)</f>
        <v>12796</v>
      </c>
      <c r="Q64" s="115">
        <f>VLOOKUP($C$64,Servant!$B$5:$AD$29,15,FALSE)+($F64+($F64*0.5*($D64-1)))*(Q$3-1)</f>
        <v>13708.5</v>
      </c>
      <c r="R64" s="115">
        <f>VLOOKUP($C$64,Servant!$B$5:$AD$29,15,FALSE)+($F64+($F64*0.5*($D64-1)))*(R$3-1)</f>
        <v>14621</v>
      </c>
      <c r="S64" s="115">
        <f>VLOOKUP($C$64,Servant!$B$5:$AD$29,15,FALSE)+($F64+($F64*0.5*($D64-1)))*(S$3-1)</f>
        <v>15533.5</v>
      </c>
      <c r="T64" s="115">
        <f>VLOOKUP($C$64,Servant!$B$5:$AD$29,15,FALSE)+($F64+($F64*0.5*($D64-1)))*(T$3-1)</f>
        <v>16446</v>
      </c>
      <c r="U64" s="115">
        <f>VLOOKUP($C$64,Servant!$B$5:$AD$29,15,FALSE)+($F64+($F64*0.5*($D64-1)))*(U$3-1)</f>
        <v>17358.5</v>
      </c>
      <c r="V64" s="115">
        <f>VLOOKUP($C$64,Servant!$B$5:$AD$29,15,FALSE)+($F64+($F64*0.5*($D64-1)))*(V$3-1)</f>
        <v>18271</v>
      </c>
      <c r="W64" s="115">
        <f>VLOOKUP($C$64,Servant!$B$5:$AD$29,15,FALSE)+($F64+($F64*0.5*($D64-1)))*(W$3-1)</f>
        <v>19183.5</v>
      </c>
      <c r="X64" s="115">
        <f>VLOOKUP($C$64,Servant!$B$5:$AD$29,15,FALSE)+($F64+($F64*0.5*($D64-1)))*(X$3-1)</f>
        <v>20096</v>
      </c>
      <c r="Y64" s="115">
        <f>VLOOKUP($C$64,Servant!$B$5:$AD$29,15,FALSE)+($F64+($F64*0.5*($D64-1)))*(Y$3-1)</f>
        <v>21008.5</v>
      </c>
      <c r="Z64" s="115">
        <f>VLOOKUP($C$64,Servant!$B$5:$AD$29,15,FALSE)+($F64+($F64*0.5*($D64-1)))*(Z$3-1)</f>
        <v>21921</v>
      </c>
      <c r="AA64" s="115">
        <f>VLOOKUP($C$64,Servant!$B$5:$AD$29,15,FALSE)+($F64+($F64*0.5*($D64-1)))*(AA$3-1)</f>
        <v>22833.5</v>
      </c>
      <c r="AB64" s="115">
        <f>VLOOKUP($C$64,Servant!$B$5:$AD$29,15,FALSE)+($F64+($F64*0.5*($D64-1)))*(AB$3-1)</f>
        <v>23746</v>
      </c>
      <c r="AC64" s="115">
        <f>VLOOKUP($C$64,Servant!$B$5:$AD$29,15,FALSE)+($F64+($F64*0.5*($D64-1)))*(AC$3-1)</f>
        <v>24658.5</v>
      </c>
      <c r="AD64" s="115">
        <f>VLOOKUP($C$64,Servant!$B$5:$AD$29,15,FALSE)+($F64+($F64*0.5*($D64-1)))*(AD$3-1)</f>
        <v>25571</v>
      </c>
      <c r="AE64" s="115">
        <f>VLOOKUP($C$64,Servant!$B$5:$AD$29,15,FALSE)+($F64+($F64*0.5*($D64-1)))*(AE$3-1)</f>
        <v>26483.5</v>
      </c>
      <c r="AF64" s="115">
        <f>VLOOKUP($C$64,Servant!$B$5:$AD$29,15,FALSE)+($F64+($F64*0.5*($D64-1)))*(AF$3-1)</f>
        <v>27396</v>
      </c>
      <c r="AG64" s="115">
        <f>VLOOKUP($C$64,Servant!$B$5:$AD$29,15,FALSE)+($F64+($F64*0.5*($D64-1)))*(AG$3-1)</f>
        <v>28308.5</v>
      </c>
      <c r="AH64" s="115">
        <f>VLOOKUP($C$64,Servant!$B$5:$AD$29,15,FALSE)+($F64+($F64*0.5*($D64-1)))*(AH$3-1)</f>
        <v>29221</v>
      </c>
      <c r="AI64" s="115">
        <f>VLOOKUP($C$64,Servant!$B$5:$AD$29,15,FALSE)+($F64+($F64*0.5*($D64-1)))*(AI$3-1)</f>
        <v>30133.5</v>
      </c>
      <c r="AJ64" s="115">
        <f>VLOOKUP($C$64,Servant!$B$5:$AD$29,15,FALSE)+($F64+($F64*0.5*($D64-1)))*(AJ$3-1)</f>
        <v>31046</v>
      </c>
      <c r="AK64" s="115">
        <f>VLOOKUP($C$64,Servant!$B$5:$AD$29,15,FALSE)+($F64+($F64*0.5*($D64-1)))*(AK$3-1)</f>
        <v>31958.5</v>
      </c>
    </row>
    <row r="65" spans="2:37" x14ac:dyDescent="0.3">
      <c r="B65" s="309"/>
      <c r="C65" s="302"/>
      <c r="D65" s="129">
        <v>5</v>
      </c>
      <c r="E65" s="124">
        <f>VLOOKUP($C$64,ServantLevelUPdStatus!$B$5:$AD$29,3,FALSE)+(VLOOKUP($C$64,ServantLevelUPdStatus!$B$5:$AD$29,3,FALSE)*0.5*(Simulator_HP!$D65-1))</f>
        <v>1095</v>
      </c>
      <c r="F65" s="123">
        <f>F64</f>
        <v>365</v>
      </c>
      <c r="H65" s="115">
        <f>VLOOKUP($C$64,Servant!$B$5:$AD$29,15,FALSE)+($F65+($F65*0.5*($D65-1)))*(H$3-1)</f>
        <v>5496</v>
      </c>
      <c r="I65" s="115">
        <f>VLOOKUP($C$64,Servant!$B$5:$AD$29,15,FALSE)+($F65+($F65*0.5*($D65-1)))*(I$3-1)</f>
        <v>6591</v>
      </c>
      <c r="J65" s="115">
        <f>VLOOKUP($C$64,Servant!$B$5:$AD$29,15,FALSE)+($F65+($F65*0.5*($D65-1)))*(J$3-1)</f>
        <v>7686</v>
      </c>
      <c r="K65" s="115">
        <f>VLOOKUP($C$64,Servant!$B$5:$AD$29,15,FALSE)+($F65+($F65*0.5*($D65-1)))*(K$3-1)</f>
        <v>8781</v>
      </c>
      <c r="L65" s="115">
        <f>VLOOKUP($C$64,Servant!$B$5:$AD$29,15,FALSE)+($F65+($F65*0.5*($D65-1)))*(L$3-1)</f>
        <v>9876</v>
      </c>
      <c r="M65" s="115">
        <f>VLOOKUP($C$64,Servant!$B$5:$AD$29,15,FALSE)+($F65+($F65*0.5*($D65-1)))*(M$3-1)</f>
        <v>10971</v>
      </c>
      <c r="N65" s="115">
        <f>VLOOKUP($C$64,Servant!$B$5:$AD$29,15,FALSE)+($F65+($F65*0.5*($D65-1)))*(N$3-1)</f>
        <v>12066</v>
      </c>
      <c r="O65" s="115">
        <f>VLOOKUP($C$64,Servant!$B$5:$AD$29,15,FALSE)+($F65+($F65*0.5*($D65-1)))*(O$3-1)</f>
        <v>13161</v>
      </c>
      <c r="P65" s="115">
        <f>VLOOKUP($C$64,Servant!$B$5:$AD$29,15,FALSE)+($F65+($F65*0.5*($D65-1)))*(P$3-1)</f>
        <v>14256</v>
      </c>
      <c r="Q65" s="115">
        <f>VLOOKUP($C$64,Servant!$B$5:$AD$29,15,FALSE)+($F65+($F65*0.5*($D65-1)))*(Q$3-1)</f>
        <v>15351</v>
      </c>
      <c r="R65" s="115">
        <f>VLOOKUP($C$64,Servant!$B$5:$AD$29,15,FALSE)+($F65+($F65*0.5*($D65-1)))*(R$3-1)</f>
        <v>16446</v>
      </c>
      <c r="S65" s="115">
        <f>VLOOKUP($C$64,Servant!$B$5:$AD$29,15,FALSE)+($F65+($F65*0.5*($D65-1)))*(S$3-1)</f>
        <v>17541</v>
      </c>
      <c r="T65" s="115">
        <f>VLOOKUP($C$64,Servant!$B$5:$AD$29,15,FALSE)+($F65+($F65*0.5*($D65-1)))*(T$3-1)</f>
        <v>18636</v>
      </c>
      <c r="U65" s="115">
        <f>VLOOKUP($C$64,Servant!$B$5:$AD$29,15,FALSE)+($F65+($F65*0.5*($D65-1)))*(U$3-1)</f>
        <v>19731</v>
      </c>
      <c r="V65" s="115">
        <f>VLOOKUP($C$64,Servant!$B$5:$AD$29,15,FALSE)+($F65+($F65*0.5*($D65-1)))*(V$3-1)</f>
        <v>20826</v>
      </c>
      <c r="W65" s="115">
        <f>VLOOKUP($C$64,Servant!$B$5:$AD$29,15,FALSE)+($F65+($F65*0.5*($D65-1)))*(W$3-1)</f>
        <v>21921</v>
      </c>
      <c r="X65" s="115">
        <f>VLOOKUP($C$64,Servant!$B$5:$AD$29,15,FALSE)+($F65+($F65*0.5*($D65-1)))*(X$3-1)</f>
        <v>23016</v>
      </c>
      <c r="Y65" s="115">
        <f>VLOOKUP($C$64,Servant!$B$5:$AD$29,15,FALSE)+($F65+($F65*0.5*($D65-1)))*(Y$3-1)</f>
        <v>24111</v>
      </c>
      <c r="Z65" s="115">
        <f>VLOOKUP($C$64,Servant!$B$5:$AD$29,15,FALSE)+($F65+($F65*0.5*($D65-1)))*(Z$3-1)</f>
        <v>25206</v>
      </c>
      <c r="AA65" s="115">
        <f>VLOOKUP($C$64,Servant!$B$5:$AD$29,15,FALSE)+($F65+($F65*0.5*($D65-1)))*(AA$3-1)</f>
        <v>26301</v>
      </c>
      <c r="AB65" s="115">
        <f>VLOOKUP($C$64,Servant!$B$5:$AD$29,15,FALSE)+($F65+($F65*0.5*($D65-1)))*(AB$3-1)</f>
        <v>27396</v>
      </c>
      <c r="AC65" s="115">
        <f>VLOOKUP($C$64,Servant!$B$5:$AD$29,15,FALSE)+($F65+($F65*0.5*($D65-1)))*(AC$3-1)</f>
        <v>28491</v>
      </c>
      <c r="AD65" s="115">
        <f>VLOOKUP($C$64,Servant!$B$5:$AD$29,15,FALSE)+($F65+($F65*0.5*($D65-1)))*(AD$3-1)</f>
        <v>29586</v>
      </c>
      <c r="AE65" s="115">
        <f>VLOOKUP($C$64,Servant!$B$5:$AD$29,15,FALSE)+($F65+($F65*0.5*($D65-1)))*(AE$3-1)</f>
        <v>30681</v>
      </c>
      <c r="AF65" s="115">
        <f>VLOOKUP($C$64,Servant!$B$5:$AD$29,15,FALSE)+($F65+($F65*0.5*($D65-1)))*(AF$3-1)</f>
        <v>31776</v>
      </c>
      <c r="AG65" s="115">
        <f>VLOOKUP($C$64,Servant!$B$5:$AD$29,15,FALSE)+($F65+($F65*0.5*($D65-1)))*(AG$3-1)</f>
        <v>32871</v>
      </c>
      <c r="AH65" s="115">
        <f>VLOOKUP($C$64,Servant!$B$5:$AD$29,15,FALSE)+($F65+($F65*0.5*($D65-1)))*(AH$3-1)</f>
        <v>33966</v>
      </c>
      <c r="AI65" s="115">
        <f>VLOOKUP($C$64,Servant!$B$5:$AD$29,15,FALSE)+($F65+($F65*0.5*($D65-1)))*(AI$3-1)</f>
        <v>35061</v>
      </c>
      <c r="AJ65" s="115">
        <f>VLOOKUP($C$64,Servant!$B$5:$AD$29,15,FALSE)+($F65+($F65*0.5*($D65-1)))*(AJ$3-1)</f>
        <v>36156</v>
      </c>
      <c r="AK65" s="115">
        <f>VLOOKUP($C$64,Servant!$B$5:$AD$29,15,FALSE)+($F65+($F65*0.5*($D65-1)))*(AK$3-1)</f>
        <v>37251</v>
      </c>
    </row>
    <row r="66" spans="2:37" x14ac:dyDescent="0.3">
      <c r="B66" s="309"/>
      <c r="C66" s="303"/>
      <c r="D66" s="129">
        <v>6</v>
      </c>
      <c r="E66" s="124">
        <f>VLOOKUP($C$64,ServantLevelUPdStatus!$B$5:$AD$29,3,FALSE)+(VLOOKUP($C$64,ServantLevelUPdStatus!$B$5:$AD$29,3,FALSE)*0.5*(Simulator_HP!$D66-1))</f>
        <v>1277.5</v>
      </c>
      <c r="F66" s="123">
        <f>F65</f>
        <v>365</v>
      </c>
      <c r="H66" s="115">
        <f>VLOOKUP($C$64,Servant!$B$5:$AD$29,15,FALSE)+($F66+($F66*0.5*($D66-1)))*(H$3-1)</f>
        <v>5496</v>
      </c>
      <c r="I66" s="115">
        <f>VLOOKUP($C$64,Servant!$B$5:$AD$29,15,FALSE)+($F66+($F66*0.5*($D66-1)))*(I$3-1)</f>
        <v>6773.5</v>
      </c>
      <c r="J66" s="115">
        <f>VLOOKUP($C$64,Servant!$B$5:$AD$29,15,FALSE)+($F66+($F66*0.5*($D66-1)))*(J$3-1)</f>
        <v>8051</v>
      </c>
      <c r="K66" s="115">
        <f>VLOOKUP($C$64,Servant!$B$5:$AD$29,15,FALSE)+($F66+($F66*0.5*($D66-1)))*(K$3-1)</f>
        <v>9328.5</v>
      </c>
      <c r="L66" s="115">
        <f>VLOOKUP($C$64,Servant!$B$5:$AD$29,15,FALSE)+($F66+($F66*0.5*($D66-1)))*(L$3-1)</f>
        <v>10606</v>
      </c>
      <c r="M66" s="115">
        <f>VLOOKUP($C$64,Servant!$B$5:$AD$29,15,FALSE)+($F66+($F66*0.5*($D66-1)))*(M$3-1)</f>
        <v>11883.5</v>
      </c>
      <c r="N66" s="115">
        <f>VLOOKUP($C$64,Servant!$B$5:$AD$29,15,FALSE)+($F66+($F66*0.5*($D66-1)))*(N$3-1)</f>
        <v>13161</v>
      </c>
      <c r="O66" s="115">
        <f>VLOOKUP($C$64,Servant!$B$5:$AD$29,15,FALSE)+($F66+($F66*0.5*($D66-1)))*(O$3-1)</f>
        <v>14438.5</v>
      </c>
      <c r="P66" s="115">
        <f>VLOOKUP($C$64,Servant!$B$5:$AD$29,15,FALSE)+($F66+($F66*0.5*($D66-1)))*(P$3-1)</f>
        <v>15716</v>
      </c>
      <c r="Q66" s="115">
        <f>VLOOKUP($C$64,Servant!$B$5:$AD$29,15,FALSE)+($F66+($F66*0.5*($D66-1)))*(Q$3-1)</f>
        <v>16993.5</v>
      </c>
      <c r="R66" s="115">
        <f>VLOOKUP($C$64,Servant!$B$5:$AD$29,15,FALSE)+($F66+($F66*0.5*($D66-1)))*(R$3-1)</f>
        <v>18271</v>
      </c>
      <c r="S66" s="115">
        <f>VLOOKUP($C$64,Servant!$B$5:$AD$29,15,FALSE)+($F66+($F66*0.5*($D66-1)))*(S$3-1)</f>
        <v>19548.5</v>
      </c>
      <c r="T66" s="115">
        <f>VLOOKUP($C$64,Servant!$B$5:$AD$29,15,FALSE)+($F66+($F66*0.5*($D66-1)))*(T$3-1)</f>
        <v>20826</v>
      </c>
      <c r="U66" s="115">
        <f>VLOOKUP($C$64,Servant!$B$5:$AD$29,15,FALSE)+($F66+($F66*0.5*($D66-1)))*(U$3-1)</f>
        <v>22103.5</v>
      </c>
      <c r="V66" s="115">
        <f>VLOOKUP($C$64,Servant!$B$5:$AD$29,15,FALSE)+($F66+($F66*0.5*($D66-1)))*(V$3-1)</f>
        <v>23381</v>
      </c>
      <c r="W66" s="115">
        <f>VLOOKUP($C$64,Servant!$B$5:$AD$29,15,FALSE)+($F66+($F66*0.5*($D66-1)))*(W$3-1)</f>
        <v>24658.5</v>
      </c>
      <c r="X66" s="115">
        <f>VLOOKUP($C$64,Servant!$B$5:$AD$29,15,FALSE)+($F66+($F66*0.5*($D66-1)))*(X$3-1)</f>
        <v>25936</v>
      </c>
      <c r="Y66" s="115">
        <f>VLOOKUP($C$64,Servant!$B$5:$AD$29,15,FALSE)+($F66+($F66*0.5*($D66-1)))*(Y$3-1)</f>
        <v>27213.5</v>
      </c>
      <c r="Z66" s="115">
        <f>VLOOKUP($C$64,Servant!$B$5:$AD$29,15,FALSE)+($F66+($F66*0.5*($D66-1)))*(Z$3-1)</f>
        <v>28491</v>
      </c>
      <c r="AA66" s="115">
        <f>VLOOKUP($C$64,Servant!$B$5:$AD$29,15,FALSE)+($F66+($F66*0.5*($D66-1)))*(AA$3-1)</f>
        <v>29768.5</v>
      </c>
      <c r="AB66" s="115">
        <f>VLOOKUP($C$64,Servant!$B$5:$AD$29,15,FALSE)+($F66+($F66*0.5*($D66-1)))*(AB$3-1)</f>
        <v>31046</v>
      </c>
      <c r="AC66" s="115">
        <f>VLOOKUP($C$64,Servant!$B$5:$AD$29,15,FALSE)+($F66+($F66*0.5*($D66-1)))*(AC$3-1)</f>
        <v>32323.5</v>
      </c>
      <c r="AD66" s="115">
        <f>VLOOKUP($C$64,Servant!$B$5:$AD$29,15,FALSE)+($F66+($F66*0.5*($D66-1)))*(AD$3-1)</f>
        <v>33601</v>
      </c>
      <c r="AE66" s="115">
        <f>VLOOKUP($C$64,Servant!$B$5:$AD$29,15,FALSE)+($F66+($F66*0.5*($D66-1)))*(AE$3-1)</f>
        <v>34878.5</v>
      </c>
      <c r="AF66" s="115">
        <f>VLOOKUP($C$64,Servant!$B$5:$AD$29,15,FALSE)+($F66+($F66*0.5*($D66-1)))*(AF$3-1)</f>
        <v>36156</v>
      </c>
      <c r="AG66" s="115">
        <f>VLOOKUP($C$64,Servant!$B$5:$AD$29,15,FALSE)+($F66+($F66*0.5*($D66-1)))*(AG$3-1)</f>
        <v>37433.5</v>
      </c>
      <c r="AH66" s="115">
        <f>VLOOKUP($C$64,Servant!$B$5:$AD$29,15,FALSE)+($F66+($F66*0.5*($D66-1)))*(AH$3-1)</f>
        <v>38711</v>
      </c>
      <c r="AI66" s="115">
        <f>VLOOKUP($C$64,Servant!$B$5:$AD$29,15,FALSE)+($F66+($F66*0.5*($D66-1)))*(AI$3-1)</f>
        <v>39988.5</v>
      </c>
      <c r="AJ66" s="115">
        <f>VLOOKUP($C$64,Servant!$B$5:$AD$29,15,FALSE)+($F66+($F66*0.5*($D66-1)))*(AJ$3-1)</f>
        <v>41266</v>
      </c>
      <c r="AK66" s="115">
        <f>VLOOKUP($C$64,Servant!$B$5:$AD$29,15,FALSE)+($F66+($F66*0.5*($D66-1)))*(AK$3-1)</f>
        <v>42543.5</v>
      </c>
    </row>
    <row r="67" spans="2:37" x14ac:dyDescent="0.3">
      <c r="B67" s="309"/>
      <c r="C67" s="304" t="s">
        <v>316</v>
      </c>
      <c r="D67" s="144">
        <v>4</v>
      </c>
      <c r="E67" s="145">
        <f>VLOOKUP($C$67,ServantLevelUPdStatus!$B$5:$AD$29,3,FALSE)+(VLOOKUP($C$67,ServantLevelUPdStatus!$B$5:$AD$29,3,FALSE)*0.5*(Simulator_HP!$D67-1))</f>
        <v>795</v>
      </c>
      <c r="F67" s="145">
        <f>VLOOKUP($C$67,ServantLevelUPdStatus!$B$5:$AD$29,3,FALSE)</f>
        <v>318</v>
      </c>
      <c r="H67" s="146">
        <f>VLOOKUP($C$67,Servant!$B$5:$AD$29,15,FALSE)+($F67+($F67*0.5*($D67-1)))*(H$3-1)</f>
        <v>4777</v>
      </c>
      <c r="I67" s="146">
        <f>VLOOKUP($C$67,Servant!$B$5:$AD$29,15,FALSE)+($F67+($F67*0.5*($D67-1)))*(I$3-1)</f>
        <v>5572</v>
      </c>
      <c r="J67" s="146">
        <f>VLOOKUP($C$67,Servant!$B$5:$AD$29,15,FALSE)+($F67+($F67*0.5*($D67-1)))*(J$3-1)</f>
        <v>6367</v>
      </c>
      <c r="K67" s="146">
        <f>VLOOKUP($C$67,Servant!$B$5:$AD$29,15,FALSE)+($F67+($F67*0.5*($D67-1)))*(K$3-1)</f>
        <v>7162</v>
      </c>
      <c r="L67" s="146">
        <f>VLOOKUP($C$67,Servant!$B$5:$AD$29,15,FALSE)+($F67+($F67*0.5*($D67-1)))*(L$3-1)</f>
        <v>7957</v>
      </c>
      <c r="M67" s="146">
        <f>VLOOKUP($C$67,Servant!$B$5:$AD$29,15,FALSE)+($F67+($F67*0.5*($D67-1)))*(M$3-1)</f>
        <v>8752</v>
      </c>
      <c r="N67" s="146">
        <f>VLOOKUP($C$67,Servant!$B$5:$AD$29,15,FALSE)+($F67+($F67*0.5*($D67-1)))*(N$3-1)</f>
        <v>9547</v>
      </c>
      <c r="O67" s="146">
        <f>VLOOKUP($C$67,Servant!$B$5:$AD$29,15,FALSE)+($F67+($F67*0.5*($D67-1)))*(O$3-1)</f>
        <v>10342</v>
      </c>
      <c r="P67" s="146">
        <f>VLOOKUP($C$67,Servant!$B$5:$AD$29,15,FALSE)+($F67+($F67*0.5*($D67-1)))*(P$3-1)</f>
        <v>11137</v>
      </c>
      <c r="Q67" s="146">
        <f>VLOOKUP($C$67,Servant!$B$5:$AD$29,15,FALSE)+($F67+($F67*0.5*($D67-1)))*(Q$3-1)</f>
        <v>11932</v>
      </c>
      <c r="R67" s="146">
        <f>VLOOKUP($C$67,Servant!$B$5:$AD$29,15,FALSE)+($F67+($F67*0.5*($D67-1)))*(R$3-1)</f>
        <v>12727</v>
      </c>
      <c r="S67" s="146">
        <f>VLOOKUP($C$67,Servant!$B$5:$AD$29,15,FALSE)+($F67+($F67*0.5*($D67-1)))*(S$3-1)</f>
        <v>13522</v>
      </c>
      <c r="T67" s="146">
        <f>VLOOKUP($C$67,Servant!$B$5:$AD$29,15,FALSE)+($F67+($F67*0.5*($D67-1)))*(T$3-1)</f>
        <v>14317</v>
      </c>
      <c r="U67" s="146">
        <f>VLOOKUP($C$67,Servant!$B$5:$AD$29,15,FALSE)+($F67+($F67*0.5*($D67-1)))*(U$3-1)</f>
        <v>15112</v>
      </c>
      <c r="V67" s="146">
        <f>VLOOKUP($C$67,Servant!$B$5:$AD$29,15,FALSE)+($F67+($F67*0.5*($D67-1)))*(V$3-1)</f>
        <v>15907</v>
      </c>
      <c r="W67" s="146">
        <f>VLOOKUP($C$67,Servant!$B$5:$AD$29,15,FALSE)+($F67+($F67*0.5*($D67-1)))*(W$3-1)</f>
        <v>16702</v>
      </c>
      <c r="X67" s="146">
        <f>VLOOKUP($C$67,Servant!$B$5:$AD$29,15,FALSE)+($F67+($F67*0.5*($D67-1)))*(X$3-1)</f>
        <v>17497</v>
      </c>
      <c r="Y67" s="146">
        <f>VLOOKUP($C$67,Servant!$B$5:$AD$29,15,FALSE)+($F67+($F67*0.5*($D67-1)))*(Y$3-1)</f>
        <v>18292</v>
      </c>
      <c r="Z67" s="146">
        <f>VLOOKUP($C$67,Servant!$B$5:$AD$29,15,FALSE)+($F67+($F67*0.5*($D67-1)))*(Z$3-1)</f>
        <v>19087</v>
      </c>
      <c r="AA67" s="146">
        <f>VLOOKUP($C$67,Servant!$B$5:$AD$29,15,FALSE)+($F67+($F67*0.5*($D67-1)))*(AA$3-1)</f>
        <v>19882</v>
      </c>
      <c r="AB67" s="146">
        <f>VLOOKUP($C$67,Servant!$B$5:$AD$29,15,FALSE)+($F67+($F67*0.5*($D67-1)))*(AB$3-1)</f>
        <v>20677</v>
      </c>
      <c r="AC67" s="146">
        <f>VLOOKUP($C$67,Servant!$B$5:$AD$29,15,FALSE)+($F67+($F67*0.5*($D67-1)))*(AC$3-1)</f>
        <v>21472</v>
      </c>
      <c r="AD67" s="146">
        <f>VLOOKUP($C$67,Servant!$B$5:$AD$29,15,FALSE)+($F67+($F67*0.5*($D67-1)))*(AD$3-1)</f>
        <v>22267</v>
      </c>
      <c r="AE67" s="146">
        <f>VLOOKUP($C$67,Servant!$B$5:$AD$29,15,FALSE)+($F67+($F67*0.5*($D67-1)))*(AE$3-1)</f>
        <v>23062</v>
      </c>
      <c r="AF67" s="146">
        <f>VLOOKUP($C$67,Servant!$B$5:$AD$29,15,FALSE)+($F67+($F67*0.5*($D67-1)))*(AF$3-1)</f>
        <v>23857</v>
      </c>
      <c r="AG67" s="146">
        <f>VLOOKUP($C$67,Servant!$B$5:$AD$29,15,FALSE)+($F67+($F67*0.5*($D67-1)))*(AG$3-1)</f>
        <v>24652</v>
      </c>
      <c r="AH67" s="146">
        <f>VLOOKUP($C$67,Servant!$B$5:$AD$29,15,FALSE)+($F67+($F67*0.5*($D67-1)))*(AH$3-1)</f>
        <v>25447</v>
      </c>
      <c r="AI67" s="146">
        <f>VLOOKUP($C$67,Servant!$B$5:$AD$29,15,FALSE)+($F67+($F67*0.5*($D67-1)))*(AI$3-1)</f>
        <v>26242</v>
      </c>
      <c r="AJ67" s="146">
        <f>VLOOKUP($C$67,Servant!$B$5:$AD$29,15,FALSE)+($F67+($F67*0.5*($D67-1)))*(AJ$3-1)</f>
        <v>27037</v>
      </c>
      <c r="AK67" s="146">
        <f>VLOOKUP($C$67,Servant!$B$5:$AD$29,15,FALSE)+($F67+($F67*0.5*($D67-1)))*(AK$3-1)</f>
        <v>27832</v>
      </c>
    </row>
    <row r="68" spans="2:37" x14ac:dyDescent="0.3">
      <c r="B68" s="309"/>
      <c r="C68" s="305"/>
      <c r="D68" s="144">
        <v>5</v>
      </c>
      <c r="E68" s="145">
        <f>VLOOKUP($C$67,ServantLevelUPdStatus!$B$5:$AD$29,3,FALSE)+(VLOOKUP($C$67,ServantLevelUPdStatus!$B$5:$AD$29,3,FALSE)*0.5*(Simulator_HP!$D68-1))</f>
        <v>954</v>
      </c>
      <c r="F68" s="147">
        <f>F67</f>
        <v>318</v>
      </c>
      <c r="H68" s="146">
        <f>VLOOKUP($C$67,Servant!$B$5:$AD$29,15,FALSE)+($F68+($F68*0.5*($D68-1)))*(H$3-1)</f>
        <v>4777</v>
      </c>
      <c r="I68" s="146">
        <f>VLOOKUP($C$67,Servant!$B$5:$AD$29,15,FALSE)+($F68+($F68*0.5*($D68-1)))*(I$3-1)</f>
        <v>5731</v>
      </c>
      <c r="J68" s="146">
        <f>VLOOKUP($C$67,Servant!$B$5:$AD$29,15,FALSE)+($F68+($F68*0.5*($D68-1)))*(J$3-1)</f>
        <v>6685</v>
      </c>
      <c r="K68" s="146">
        <f>VLOOKUP($C$67,Servant!$B$5:$AD$29,15,FALSE)+($F68+($F68*0.5*($D68-1)))*(K$3-1)</f>
        <v>7639</v>
      </c>
      <c r="L68" s="146">
        <f>VLOOKUP($C$67,Servant!$B$5:$AD$29,15,FALSE)+($F68+($F68*0.5*($D68-1)))*(L$3-1)</f>
        <v>8593</v>
      </c>
      <c r="M68" s="146">
        <f>VLOOKUP($C$67,Servant!$B$5:$AD$29,15,FALSE)+($F68+($F68*0.5*($D68-1)))*(M$3-1)</f>
        <v>9547</v>
      </c>
      <c r="N68" s="146">
        <f>VLOOKUP($C$67,Servant!$B$5:$AD$29,15,FALSE)+($F68+($F68*0.5*($D68-1)))*(N$3-1)</f>
        <v>10501</v>
      </c>
      <c r="O68" s="146">
        <f>VLOOKUP($C$67,Servant!$B$5:$AD$29,15,FALSE)+($F68+($F68*0.5*($D68-1)))*(O$3-1)</f>
        <v>11455</v>
      </c>
      <c r="P68" s="146">
        <f>VLOOKUP($C$67,Servant!$B$5:$AD$29,15,FALSE)+($F68+($F68*0.5*($D68-1)))*(P$3-1)</f>
        <v>12409</v>
      </c>
      <c r="Q68" s="146">
        <f>VLOOKUP($C$67,Servant!$B$5:$AD$29,15,FALSE)+($F68+($F68*0.5*($D68-1)))*(Q$3-1)</f>
        <v>13363</v>
      </c>
      <c r="R68" s="146">
        <f>VLOOKUP($C$67,Servant!$B$5:$AD$29,15,FALSE)+($F68+($F68*0.5*($D68-1)))*(R$3-1)</f>
        <v>14317</v>
      </c>
      <c r="S68" s="146">
        <f>VLOOKUP($C$67,Servant!$B$5:$AD$29,15,FALSE)+($F68+($F68*0.5*($D68-1)))*(S$3-1)</f>
        <v>15271</v>
      </c>
      <c r="T68" s="146">
        <f>VLOOKUP($C$67,Servant!$B$5:$AD$29,15,FALSE)+($F68+($F68*0.5*($D68-1)))*(T$3-1)</f>
        <v>16225</v>
      </c>
      <c r="U68" s="146">
        <f>VLOOKUP($C$67,Servant!$B$5:$AD$29,15,FALSE)+($F68+($F68*0.5*($D68-1)))*(U$3-1)</f>
        <v>17179</v>
      </c>
      <c r="V68" s="146">
        <f>VLOOKUP($C$67,Servant!$B$5:$AD$29,15,FALSE)+($F68+($F68*0.5*($D68-1)))*(V$3-1)</f>
        <v>18133</v>
      </c>
      <c r="W68" s="146">
        <f>VLOOKUP($C$67,Servant!$B$5:$AD$29,15,FALSE)+($F68+($F68*0.5*($D68-1)))*(W$3-1)</f>
        <v>19087</v>
      </c>
      <c r="X68" s="146">
        <f>VLOOKUP($C$67,Servant!$B$5:$AD$29,15,FALSE)+($F68+($F68*0.5*($D68-1)))*(X$3-1)</f>
        <v>20041</v>
      </c>
      <c r="Y68" s="146">
        <f>VLOOKUP($C$67,Servant!$B$5:$AD$29,15,FALSE)+($F68+($F68*0.5*($D68-1)))*(Y$3-1)</f>
        <v>20995</v>
      </c>
      <c r="Z68" s="146">
        <f>VLOOKUP($C$67,Servant!$B$5:$AD$29,15,FALSE)+($F68+($F68*0.5*($D68-1)))*(Z$3-1)</f>
        <v>21949</v>
      </c>
      <c r="AA68" s="146">
        <f>VLOOKUP($C$67,Servant!$B$5:$AD$29,15,FALSE)+($F68+($F68*0.5*($D68-1)))*(AA$3-1)</f>
        <v>22903</v>
      </c>
      <c r="AB68" s="146">
        <f>VLOOKUP($C$67,Servant!$B$5:$AD$29,15,FALSE)+($F68+($F68*0.5*($D68-1)))*(AB$3-1)</f>
        <v>23857</v>
      </c>
      <c r="AC68" s="146">
        <f>VLOOKUP($C$67,Servant!$B$5:$AD$29,15,FALSE)+($F68+($F68*0.5*($D68-1)))*(AC$3-1)</f>
        <v>24811</v>
      </c>
      <c r="AD68" s="146">
        <f>VLOOKUP($C$67,Servant!$B$5:$AD$29,15,FALSE)+($F68+($F68*0.5*($D68-1)))*(AD$3-1)</f>
        <v>25765</v>
      </c>
      <c r="AE68" s="146">
        <f>VLOOKUP($C$67,Servant!$B$5:$AD$29,15,FALSE)+($F68+($F68*0.5*($D68-1)))*(AE$3-1)</f>
        <v>26719</v>
      </c>
      <c r="AF68" s="146">
        <f>VLOOKUP($C$67,Servant!$B$5:$AD$29,15,FALSE)+($F68+($F68*0.5*($D68-1)))*(AF$3-1)</f>
        <v>27673</v>
      </c>
      <c r="AG68" s="146">
        <f>VLOOKUP($C$67,Servant!$B$5:$AD$29,15,FALSE)+($F68+($F68*0.5*($D68-1)))*(AG$3-1)</f>
        <v>28627</v>
      </c>
      <c r="AH68" s="146">
        <f>VLOOKUP($C$67,Servant!$B$5:$AD$29,15,FALSE)+($F68+($F68*0.5*($D68-1)))*(AH$3-1)</f>
        <v>29581</v>
      </c>
      <c r="AI68" s="146">
        <f>VLOOKUP($C$67,Servant!$B$5:$AD$29,15,FALSE)+($F68+($F68*0.5*($D68-1)))*(AI$3-1)</f>
        <v>30535</v>
      </c>
      <c r="AJ68" s="146">
        <f>VLOOKUP($C$67,Servant!$B$5:$AD$29,15,FALSE)+($F68+($F68*0.5*($D68-1)))*(AJ$3-1)</f>
        <v>31489</v>
      </c>
      <c r="AK68" s="146">
        <f>VLOOKUP($C$67,Servant!$B$5:$AD$29,15,FALSE)+($F68+($F68*0.5*($D68-1)))*(AK$3-1)</f>
        <v>32443</v>
      </c>
    </row>
    <row r="69" spans="2:37" x14ac:dyDescent="0.3">
      <c r="B69" s="309"/>
      <c r="C69" s="306"/>
      <c r="D69" s="144">
        <v>6</v>
      </c>
      <c r="E69" s="145">
        <f>VLOOKUP($C$67,ServantLevelUPdStatus!$B$5:$AD$29,3,FALSE)+(VLOOKUP($C$67,ServantLevelUPdStatus!$B$5:$AD$29,3,FALSE)*0.5*(Simulator_HP!$D69-1))</f>
        <v>1113</v>
      </c>
      <c r="F69" s="147">
        <f>F68</f>
        <v>318</v>
      </c>
      <c r="H69" s="146">
        <f>VLOOKUP($C$67,Servant!$B$5:$AD$29,15,FALSE)+($F69+($F69*0.5*($D69-1)))*(H$3-1)</f>
        <v>4777</v>
      </c>
      <c r="I69" s="146">
        <f>VLOOKUP($C$67,Servant!$B$5:$AD$29,15,FALSE)+($F69+($F69*0.5*($D69-1)))*(I$3-1)</f>
        <v>5890</v>
      </c>
      <c r="J69" s="146">
        <f>VLOOKUP($C$67,Servant!$B$5:$AD$29,15,FALSE)+($F69+($F69*0.5*($D69-1)))*(J$3-1)</f>
        <v>7003</v>
      </c>
      <c r="K69" s="146">
        <f>VLOOKUP($C$67,Servant!$B$5:$AD$29,15,FALSE)+($F69+($F69*0.5*($D69-1)))*(K$3-1)</f>
        <v>8116</v>
      </c>
      <c r="L69" s="146">
        <f>VLOOKUP($C$67,Servant!$B$5:$AD$29,15,FALSE)+($F69+($F69*0.5*($D69-1)))*(L$3-1)</f>
        <v>9229</v>
      </c>
      <c r="M69" s="146">
        <f>VLOOKUP($C$67,Servant!$B$5:$AD$29,15,FALSE)+($F69+($F69*0.5*($D69-1)))*(M$3-1)</f>
        <v>10342</v>
      </c>
      <c r="N69" s="146">
        <f>VLOOKUP($C$67,Servant!$B$5:$AD$29,15,FALSE)+($F69+($F69*0.5*($D69-1)))*(N$3-1)</f>
        <v>11455</v>
      </c>
      <c r="O69" s="146">
        <f>VLOOKUP($C$67,Servant!$B$5:$AD$29,15,FALSE)+($F69+($F69*0.5*($D69-1)))*(O$3-1)</f>
        <v>12568</v>
      </c>
      <c r="P69" s="146">
        <f>VLOOKUP($C$67,Servant!$B$5:$AD$29,15,FALSE)+($F69+($F69*0.5*($D69-1)))*(P$3-1)</f>
        <v>13681</v>
      </c>
      <c r="Q69" s="146">
        <f>VLOOKUP($C$67,Servant!$B$5:$AD$29,15,FALSE)+($F69+($F69*0.5*($D69-1)))*(Q$3-1)</f>
        <v>14794</v>
      </c>
      <c r="R69" s="146">
        <f>VLOOKUP($C$67,Servant!$B$5:$AD$29,15,FALSE)+($F69+($F69*0.5*($D69-1)))*(R$3-1)</f>
        <v>15907</v>
      </c>
      <c r="S69" s="146">
        <f>VLOOKUP($C$67,Servant!$B$5:$AD$29,15,FALSE)+($F69+($F69*0.5*($D69-1)))*(S$3-1)</f>
        <v>17020</v>
      </c>
      <c r="T69" s="146">
        <f>VLOOKUP($C$67,Servant!$B$5:$AD$29,15,FALSE)+($F69+($F69*0.5*($D69-1)))*(T$3-1)</f>
        <v>18133</v>
      </c>
      <c r="U69" s="146">
        <f>VLOOKUP($C$67,Servant!$B$5:$AD$29,15,FALSE)+($F69+($F69*0.5*($D69-1)))*(U$3-1)</f>
        <v>19246</v>
      </c>
      <c r="V69" s="146">
        <f>VLOOKUP($C$67,Servant!$B$5:$AD$29,15,FALSE)+($F69+($F69*0.5*($D69-1)))*(V$3-1)</f>
        <v>20359</v>
      </c>
      <c r="W69" s="146">
        <f>VLOOKUP($C$67,Servant!$B$5:$AD$29,15,FALSE)+($F69+($F69*0.5*($D69-1)))*(W$3-1)</f>
        <v>21472</v>
      </c>
      <c r="X69" s="146">
        <f>VLOOKUP($C$67,Servant!$B$5:$AD$29,15,FALSE)+($F69+($F69*0.5*($D69-1)))*(X$3-1)</f>
        <v>22585</v>
      </c>
      <c r="Y69" s="146">
        <f>VLOOKUP($C$67,Servant!$B$5:$AD$29,15,FALSE)+($F69+($F69*0.5*($D69-1)))*(Y$3-1)</f>
        <v>23698</v>
      </c>
      <c r="Z69" s="146">
        <f>VLOOKUP($C$67,Servant!$B$5:$AD$29,15,FALSE)+($F69+($F69*0.5*($D69-1)))*(Z$3-1)</f>
        <v>24811</v>
      </c>
      <c r="AA69" s="146">
        <f>VLOOKUP($C$67,Servant!$B$5:$AD$29,15,FALSE)+($F69+($F69*0.5*($D69-1)))*(AA$3-1)</f>
        <v>25924</v>
      </c>
      <c r="AB69" s="146">
        <f>VLOOKUP($C$67,Servant!$B$5:$AD$29,15,FALSE)+($F69+($F69*0.5*($D69-1)))*(AB$3-1)</f>
        <v>27037</v>
      </c>
      <c r="AC69" s="146">
        <f>VLOOKUP($C$67,Servant!$B$5:$AD$29,15,FALSE)+($F69+($F69*0.5*($D69-1)))*(AC$3-1)</f>
        <v>28150</v>
      </c>
      <c r="AD69" s="146">
        <f>VLOOKUP($C$67,Servant!$B$5:$AD$29,15,FALSE)+($F69+($F69*0.5*($D69-1)))*(AD$3-1)</f>
        <v>29263</v>
      </c>
      <c r="AE69" s="146">
        <f>VLOOKUP($C$67,Servant!$B$5:$AD$29,15,FALSE)+($F69+($F69*0.5*($D69-1)))*(AE$3-1)</f>
        <v>30376</v>
      </c>
      <c r="AF69" s="146">
        <f>VLOOKUP($C$67,Servant!$B$5:$AD$29,15,FALSE)+($F69+($F69*0.5*($D69-1)))*(AF$3-1)</f>
        <v>31489</v>
      </c>
      <c r="AG69" s="146">
        <f>VLOOKUP($C$67,Servant!$B$5:$AD$29,15,FALSE)+($F69+($F69*0.5*($D69-1)))*(AG$3-1)</f>
        <v>32602</v>
      </c>
      <c r="AH69" s="146">
        <f>VLOOKUP($C$67,Servant!$B$5:$AD$29,15,FALSE)+($F69+($F69*0.5*($D69-1)))*(AH$3-1)</f>
        <v>33715</v>
      </c>
      <c r="AI69" s="146">
        <f>VLOOKUP($C$67,Servant!$B$5:$AD$29,15,FALSE)+($F69+($F69*0.5*($D69-1)))*(AI$3-1)</f>
        <v>34828</v>
      </c>
      <c r="AJ69" s="146">
        <f>VLOOKUP($C$67,Servant!$B$5:$AD$29,15,FALSE)+($F69+($F69*0.5*($D69-1)))*(AJ$3-1)</f>
        <v>35941</v>
      </c>
      <c r="AK69" s="146">
        <f>VLOOKUP($C$67,Servant!$B$5:$AD$29,15,FALSE)+($F69+($F69*0.5*($D69-1)))*(AK$3-1)</f>
        <v>37054</v>
      </c>
    </row>
    <row r="70" spans="2:37" x14ac:dyDescent="0.3">
      <c r="B70" s="309"/>
      <c r="C70" s="301" t="s">
        <v>317</v>
      </c>
      <c r="D70" s="129">
        <v>4</v>
      </c>
      <c r="E70" s="124">
        <f>VLOOKUP($C$70,ServantLevelUPdStatus!$B$5:$AD$29,3,FALSE)+(VLOOKUP($C$70,ServantLevelUPdStatus!$B$5:$AD$29,3,FALSE)*0.5*(Simulator_HP!$D70-1))</f>
        <v>1015</v>
      </c>
      <c r="F70" s="124">
        <f>VLOOKUP($C$70,ServantLevelUPdStatus!$B$5:$AD$29,3,FALSE)</f>
        <v>406</v>
      </c>
      <c r="H70" s="115">
        <f>VLOOKUP($C$70,Servant!$B$5:$AD$29,15,FALSE)+($F70+($F70*0.5*($D70-1)))*(H$3-1)</f>
        <v>6113</v>
      </c>
      <c r="I70" s="115">
        <f>VLOOKUP($C$70,Servant!$B$5:$AD$29,15,FALSE)+($F70+($F70*0.5*($D70-1)))*(I$3-1)</f>
        <v>7128</v>
      </c>
      <c r="J70" s="115">
        <f>VLOOKUP($C$70,Servant!$B$5:$AD$29,15,FALSE)+($F70+($F70*0.5*($D70-1)))*(J$3-1)</f>
        <v>8143</v>
      </c>
      <c r="K70" s="115">
        <f>VLOOKUP($C$70,Servant!$B$5:$AD$29,15,FALSE)+($F70+($F70*0.5*($D70-1)))*(K$3-1)</f>
        <v>9158</v>
      </c>
      <c r="L70" s="115">
        <f>VLOOKUP($C$70,Servant!$B$5:$AD$29,15,FALSE)+($F70+($F70*0.5*($D70-1)))*(L$3-1)</f>
        <v>10173</v>
      </c>
      <c r="M70" s="115">
        <f>VLOOKUP($C$70,Servant!$B$5:$AD$29,15,FALSE)+($F70+($F70*0.5*($D70-1)))*(M$3-1)</f>
        <v>11188</v>
      </c>
      <c r="N70" s="115">
        <f>VLOOKUP($C$70,Servant!$B$5:$AD$29,15,FALSE)+($F70+($F70*0.5*($D70-1)))*(N$3-1)</f>
        <v>12203</v>
      </c>
      <c r="O70" s="115">
        <f>VLOOKUP($C$70,Servant!$B$5:$AD$29,15,FALSE)+($F70+($F70*0.5*($D70-1)))*(O$3-1)</f>
        <v>13218</v>
      </c>
      <c r="P70" s="115">
        <f>VLOOKUP($C$70,Servant!$B$5:$AD$29,15,FALSE)+($F70+($F70*0.5*($D70-1)))*(P$3-1)</f>
        <v>14233</v>
      </c>
      <c r="Q70" s="115">
        <f>VLOOKUP($C$70,Servant!$B$5:$AD$29,15,FALSE)+($F70+($F70*0.5*($D70-1)))*(Q$3-1)</f>
        <v>15248</v>
      </c>
      <c r="R70" s="115">
        <f>VLOOKUP($C$70,Servant!$B$5:$AD$29,15,FALSE)+($F70+($F70*0.5*($D70-1)))*(R$3-1)</f>
        <v>16263</v>
      </c>
      <c r="S70" s="115">
        <f>VLOOKUP($C$70,Servant!$B$5:$AD$29,15,FALSE)+($F70+($F70*0.5*($D70-1)))*(S$3-1)</f>
        <v>17278</v>
      </c>
      <c r="T70" s="115">
        <f>VLOOKUP($C$70,Servant!$B$5:$AD$29,15,FALSE)+($F70+($F70*0.5*($D70-1)))*(T$3-1)</f>
        <v>18293</v>
      </c>
      <c r="U70" s="115">
        <f>VLOOKUP($C$70,Servant!$B$5:$AD$29,15,FALSE)+($F70+($F70*0.5*($D70-1)))*(U$3-1)</f>
        <v>19308</v>
      </c>
      <c r="V70" s="115">
        <f>VLOOKUP($C$70,Servant!$B$5:$AD$29,15,FALSE)+($F70+($F70*0.5*($D70-1)))*(V$3-1)</f>
        <v>20323</v>
      </c>
      <c r="W70" s="115">
        <f>VLOOKUP($C$70,Servant!$B$5:$AD$29,15,FALSE)+($F70+($F70*0.5*($D70-1)))*(W$3-1)</f>
        <v>21338</v>
      </c>
      <c r="X70" s="115">
        <f>VLOOKUP($C$70,Servant!$B$5:$AD$29,15,FALSE)+($F70+($F70*0.5*($D70-1)))*(X$3-1)</f>
        <v>22353</v>
      </c>
      <c r="Y70" s="115">
        <f>VLOOKUP($C$70,Servant!$B$5:$AD$29,15,FALSE)+($F70+($F70*0.5*($D70-1)))*(Y$3-1)</f>
        <v>23368</v>
      </c>
      <c r="Z70" s="115">
        <f>VLOOKUP($C$70,Servant!$B$5:$AD$29,15,FALSE)+($F70+($F70*0.5*($D70-1)))*(Z$3-1)</f>
        <v>24383</v>
      </c>
      <c r="AA70" s="115">
        <f>VLOOKUP($C$70,Servant!$B$5:$AD$29,15,FALSE)+($F70+($F70*0.5*($D70-1)))*(AA$3-1)</f>
        <v>25398</v>
      </c>
      <c r="AB70" s="115">
        <f>VLOOKUP($C$70,Servant!$B$5:$AD$29,15,FALSE)+($F70+($F70*0.5*($D70-1)))*(AB$3-1)</f>
        <v>26413</v>
      </c>
      <c r="AC70" s="115">
        <f>VLOOKUP($C$70,Servant!$B$5:$AD$29,15,FALSE)+($F70+($F70*0.5*($D70-1)))*(AC$3-1)</f>
        <v>27428</v>
      </c>
      <c r="AD70" s="115">
        <f>VLOOKUP($C$70,Servant!$B$5:$AD$29,15,FALSE)+($F70+($F70*0.5*($D70-1)))*(AD$3-1)</f>
        <v>28443</v>
      </c>
      <c r="AE70" s="115">
        <f>VLOOKUP($C$70,Servant!$B$5:$AD$29,15,FALSE)+($F70+($F70*0.5*($D70-1)))*(AE$3-1)</f>
        <v>29458</v>
      </c>
      <c r="AF70" s="115">
        <f>VLOOKUP($C$70,Servant!$B$5:$AD$29,15,FALSE)+($F70+($F70*0.5*($D70-1)))*(AF$3-1)</f>
        <v>30473</v>
      </c>
      <c r="AG70" s="115">
        <f>VLOOKUP($C$70,Servant!$B$5:$AD$29,15,FALSE)+($F70+($F70*0.5*($D70-1)))*(AG$3-1)</f>
        <v>31488</v>
      </c>
      <c r="AH70" s="115">
        <f>VLOOKUP($C$70,Servant!$B$5:$AD$29,15,FALSE)+($F70+($F70*0.5*($D70-1)))*(AH$3-1)</f>
        <v>32503</v>
      </c>
      <c r="AI70" s="115">
        <f>VLOOKUP($C$70,Servant!$B$5:$AD$29,15,FALSE)+($F70+($F70*0.5*($D70-1)))*(AI$3-1)</f>
        <v>33518</v>
      </c>
      <c r="AJ70" s="115">
        <f>VLOOKUP($C$70,Servant!$B$5:$AD$29,15,FALSE)+($F70+($F70*0.5*($D70-1)))*(AJ$3-1)</f>
        <v>34533</v>
      </c>
      <c r="AK70" s="115">
        <f>VLOOKUP($C$70,Servant!$B$5:$AD$29,15,FALSE)+($F70+($F70*0.5*($D70-1)))*(AK$3-1)</f>
        <v>35548</v>
      </c>
    </row>
    <row r="71" spans="2:37" x14ac:dyDescent="0.3">
      <c r="B71" s="309"/>
      <c r="C71" s="302"/>
      <c r="D71" s="129">
        <v>5</v>
      </c>
      <c r="E71" s="124">
        <f>VLOOKUP($C$70,ServantLevelUPdStatus!$B$5:$AD$29,3,FALSE)+(VLOOKUP($C$70,ServantLevelUPdStatus!$B$5:$AD$29,3,FALSE)*0.5*(Simulator_HP!$D71-1))</f>
        <v>1218</v>
      </c>
      <c r="F71" s="123">
        <f>F70</f>
        <v>406</v>
      </c>
      <c r="H71" s="115">
        <f>VLOOKUP($C$70,Servant!$B$5:$AD$29,15,FALSE)+($F71+($F71*0.5*($D71-1)))*(H$3-1)</f>
        <v>6113</v>
      </c>
      <c r="I71" s="115">
        <f>VLOOKUP($C$70,Servant!$B$5:$AD$29,15,FALSE)+($F71+($F71*0.5*($D71-1)))*(I$3-1)</f>
        <v>7331</v>
      </c>
      <c r="J71" s="115">
        <f>VLOOKUP($C$70,Servant!$B$5:$AD$29,15,FALSE)+($F71+($F71*0.5*($D71-1)))*(J$3-1)</f>
        <v>8549</v>
      </c>
      <c r="K71" s="115">
        <f>VLOOKUP($C$70,Servant!$B$5:$AD$29,15,FALSE)+($F71+($F71*0.5*($D71-1)))*(K$3-1)</f>
        <v>9767</v>
      </c>
      <c r="L71" s="115">
        <f>VLOOKUP($C$70,Servant!$B$5:$AD$29,15,FALSE)+($F71+($F71*0.5*($D71-1)))*(L$3-1)</f>
        <v>10985</v>
      </c>
      <c r="M71" s="115">
        <f>VLOOKUP($C$70,Servant!$B$5:$AD$29,15,FALSE)+($F71+($F71*0.5*($D71-1)))*(M$3-1)</f>
        <v>12203</v>
      </c>
      <c r="N71" s="115">
        <f>VLOOKUP($C$70,Servant!$B$5:$AD$29,15,FALSE)+($F71+($F71*0.5*($D71-1)))*(N$3-1)</f>
        <v>13421</v>
      </c>
      <c r="O71" s="115">
        <f>VLOOKUP($C$70,Servant!$B$5:$AD$29,15,FALSE)+($F71+($F71*0.5*($D71-1)))*(O$3-1)</f>
        <v>14639</v>
      </c>
      <c r="P71" s="115">
        <f>VLOOKUP($C$70,Servant!$B$5:$AD$29,15,FALSE)+($F71+($F71*0.5*($D71-1)))*(P$3-1)</f>
        <v>15857</v>
      </c>
      <c r="Q71" s="115">
        <f>VLOOKUP($C$70,Servant!$B$5:$AD$29,15,FALSE)+($F71+($F71*0.5*($D71-1)))*(Q$3-1)</f>
        <v>17075</v>
      </c>
      <c r="R71" s="115">
        <f>VLOOKUP($C$70,Servant!$B$5:$AD$29,15,FALSE)+($F71+($F71*0.5*($D71-1)))*(R$3-1)</f>
        <v>18293</v>
      </c>
      <c r="S71" s="115">
        <f>VLOOKUP($C$70,Servant!$B$5:$AD$29,15,FALSE)+($F71+($F71*0.5*($D71-1)))*(S$3-1)</f>
        <v>19511</v>
      </c>
      <c r="T71" s="115">
        <f>VLOOKUP($C$70,Servant!$B$5:$AD$29,15,FALSE)+($F71+($F71*0.5*($D71-1)))*(T$3-1)</f>
        <v>20729</v>
      </c>
      <c r="U71" s="115">
        <f>VLOOKUP($C$70,Servant!$B$5:$AD$29,15,FALSE)+($F71+($F71*0.5*($D71-1)))*(U$3-1)</f>
        <v>21947</v>
      </c>
      <c r="V71" s="115">
        <f>VLOOKUP($C$70,Servant!$B$5:$AD$29,15,FALSE)+($F71+($F71*0.5*($D71-1)))*(V$3-1)</f>
        <v>23165</v>
      </c>
      <c r="W71" s="115">
        <f>VLOOKUP($C$70,Servant!$B$5:$AD$29,15,FALSE)+($F71+($F71*0.5*($D71-1)))*(W$3-1)</f>
        <v>24383</v>
      </c>
      <c r="X71" s="115">
        <f>VLOOKUP($C$70,Servant!$B$5:$AD$29,15,FALSE)+($F71+($F71*0.5*($D71-1)))*(X$3-1)</f>
        <v>25601</v>
      </c>
      <c r="Y71" s="115">
        <f>VLOOKUP($C$70,Servant!$B$5:$AD$29,15,FALSE)+($F71+($F71*0.5*($D71-1)))*(Y$3-1)</f>
        <v>26819</v>
      </c>
      <c r="Z71" s="115">
        <f>VLOOKUP($C$70,Servant!$B$5:$AD$29,15,FALSE)+($F71+($F71*0.5*($D71-1)))*(Z$3-1)</f>
        <v>28037</v>
      </c>
      <c r="AA71" s="115">
        <f>VLOOKUP($C$70,Servant!$B$5:$AD$29,15,FALSE)+($F71+($F71*0.5*($D71-1)))*(AA$3-1)</f>
        <v>29255</v>
      </c>
      <c r="AB71" s="115">
        <f>VLOOKUP($C$70,Servant!$B$5:$AD$29,15,FALSE)+($F71+($F71*0.5*($D71-1)))*(AB$3-1)</f>
        <v>30473</v>
      </c>
      <c r="AC71" s="115">
        <f>VLOOKUP($C$70,Servant!$B$5:$AD$29,15,FALSE)+($F71+($F71*0.5*($D71-1)))*(AC$3-1)</f>
        <v>31691</v>
      </c>
      <c r="AD71" s="115">
        <f>VLOOKUP($C$70,Servant!$B$5:$AD$29,15,FALSE)+($F71+($F71*0.5*($D71-1)))*(AD$3-1)</f>
        <v>32909</v>
      </c>
      <c r="AE71" s="115">
        <f>VLOOKUP($C$70,Servant!$B$5:$AD$29,15,FALSE)+($F71+($F71*0.5*($D71-1)))*(AE$3-1)</f>
        <v>34127</v>
      </c>
      <c r="AF71" s="115">
        <f>VLOOKUP($C$70,Servant!$B$5:$AD$29,15,FALSE)+($F71+($F71*0.5*($D71-1)))*(AF$3-1)</f>
        <v>35345</v>
      </c>
      <c r="AG71" s="115">
        <f>VLOOKUP($C$70,Servant!$B$5:$AD$29,15,FALSE)+($F71+($F71*0.5*($D71-1)))*(AG$3-1)</f>
        <v>36563</v>
      </c>
      <c r="AH71" s="115">
        <f>VLOOKUP($C$70,Servant!$B$5:$AD$29,15,FALSE)+($F71+($F71*0.5*($D71-1)))*(AH$3-1)</f>
        <v>37781</v>
      </c>
      <c r="AI71" s="115">
        <f>VLOOKUP($C$70,Servant!$B$5:$AD$29,15,FALSE)+($F71+($F71*0.5*($D71-1)))*(AI$3-1)</f>
        <v>38999</v>
      </c>
      <c r="AJ71" s="115">
        <f>VLOOKUP($C$70,Servant!$B$5:$AD$29,15,FALSE)+($F71+($F71*0.5*($D71-1)))*(AJ$3-1)</f>
        <v>40217</v>
      </c>
      <c r="AK71" s="115">
        <f>VLOOKUP($C$70,Servant!$B$5:$AD$29,15,FALSE)+($F71+($F71*0.5*($D71-1)))*(AK$3-1)</f>
        <v>41435</v>
      </c>
    </row>
    <row r="72" spans="2:37" x14ac:dyDescent="0.3">
      <c r="B72" s="309"/>
      <c r="C72" s="303"/>
      <c r="D72" s="129">
        <v>6</v>
      </c>
      <c r="E72" s="124">
        <f>VLOOKUP($C$70,ServantLevelUPdStatus!$B$5:$AD$29,3,FALSE)+(VLOOKUP($C$70,ServantLevelUPdStatus!$B$5:$AD$29,3,FALSE)*0.5*(Simulator_HP!$D72-1))</f>
        <v>1421</v>
      </c>
      <c r="F72" s="123">
        <f>F71</f>
        <v>406</v>
      </c>
      <c r="H72" s="115">
        <f>VLOOKUP($C$70,Servant!$B$5:$AD$29,15,FALSE)+($F72+($F72*0.5*($D72-1)))*(H$3-1)</f>
        <v>6113</v>
      </c>
      <c r="I72" s="115">
        <f>VLOOKUP($C$70,Servant!$B$5:$AD$29,15,FALSE)+($F72+($F72*0.5*($D72-1)))*(I$3-1)</f>
        <v>7534</v>
      </c>
      <c r="J72" s="115">
        <f>VLOOKUP($C$70,Servant!$B$5:$AD$29,15,FALSE)+($F72+($F72*0.5*($D72-1)))*(J$3-1)</f>
        <v>8955</v>
      </c>
      <c r="K72" s="115">
        <f>VLOOKUP($C$70,Servant!$B$5:$AD$29,15,FALSE)+($F72+($F72*0.5*($D72-1)))*(K$3-1)</f>
        <v>10376</v>
      </c>
      <c r="L72" s="115">
        <f>VLOOKUP($C$70,Servant!$B$5:$AD$29,15,FALSE)+($F72+($F72*0.5*($D72-1)))*(L$3-1)</f>
        <v>11797</v>
      </c>
      <c r="M72" s="115">
        <f>VLOOKUP($C$70,Servant!$B$5:$AD$29,15,FALSE)+($F72+($F72*0.5*($D72-1)))*(M$3-1)</f>
        <v>13218</v>
      </c>
      <c r="N72" s="115">
        <f>VLOOKUP($C$70,Servant!$B$5:$AD$29,15,FALSE)+($F72+($F72*0.5*($D72-1)))*(N$3-1)</f>
        <v>14639</v>
      </c>
      <c r="O72" s="115">
        <f>VLOOKUP($C$70,Servant!$B$5:$AD$29,15,FALSE)+($F72+($F72*0.5*($D72-1)))*(O$3-1)</f>
        <v>16060</v>
      </c>
      <c r="P72" s="115">
        <f>VLOOKUP($C$70,Servant!$B$5:$AD$29,15,FALSE)+($F72+($F72*0.5*($D72-1)))*(P$3-1)</f>
        <v>17481</v>
      </c>
      <c r="Q72" s="115">
        <f>VLOOKUP($C$70,Servant!$B$5:$AD$29,15,FALSE)+($F72+($F72*0.5*($D72-1)))*(Q$3-1)</f>
        <v>18902</v>
      </c>
      <c r="R72" s="115">
        <f>VLOOKUP($C$70,Servant!$B$5:$AD$29,15,FALSE)+($F72+($F72*0.5*($D72-1)))*(R$3-1)</f>
        <v>20323</v>
      </c>
      <c r="S72" s="115">
        <f>VLOOKUP($C$70,Servant!$B$5:$AD$29,15,FALSE)+($F72+($F72*0.5*($D72-1)))*(S$3-1)</f>
        <v>21744</v>
      </c>
      <c r="T72" s="115">
        <f>VLOOKUP($C$70,Servant!$B$5:$AD$29,15,FALSE)+($F72+($F72*0.5*($D72-1)))*(T$3-1)</f>
        <v>23165</v>
      </c>
      <c r="U72" s="115">
        <f>VLOOKUP($C$70,Servant!$B$5:$AD$29,15,FALSE)+($F72+($F72*0.5*($D72-1)))*(U$3-1)</f>
        <v>24586</v>
      </c>
      <c r="V72" s="115">
        <f>VLOOKUP($C$70,Servant!$B$5:$AD$29,15,FALSE)+($F72+($F72*0.5*($D72-1)))*(V$3-1)</f>
        <v>26007</v>
      </c>
      <c r="W72" s="115">
        <f>VLOOKUP($C$70,Servant!$B$5:$AD$29,15,FALSE)+($F72+($F72*0.5*($D72-1)))*(W$3-1)</f>
        <v>27428</v>
      </c>
      <c r="X72" s="115">
        <f>VLOOKUP($C$70,Servant!$B$5:$AD$29,15,FALSE)+($F72+($F72*0.5*($D72-1)))*(X$3-1)</f>
        <v>28849</v>
      </c>
      <c r="Y72" s="115">
        <f>VLOOKUP($C$70,Servant!$B$5:$AD$29,15,FALSE)+($F72+($F72*0.5*($D72-1)))*(Y$3-1)</f>
        <v>30270</v>
      </c>
      <c r="Z72" s="115">
        <f>VLOOKUP($C$70,Servant!$B$5:$AD$29,15,FALSE)+($F72+($F72*0.5*($D72-1)))*(Z$3-1)</f>
        <v>31691</v>
      </c>
      <c r="AA72" s="115">
        <f>VLOOKUP($C$70,Servant!$B$5:$AD$29,15,FALSE)+($F72+($F72*0.5*($D72-1)))*(AA$3-1)</f>
        <v>33112</v>
      </c>
      <c r="AB72" s="115">
        <f>VLOOKUP($C$70,Servant!$B$5:$AD$29,15,FALSE)+($F72+($F72*0.5*($D72-1)))*(AB$3-1)</f>
        <v>34533</v>
      </c>
      <c r="AC72" s="115">
        <f>VLOOKUP($C$70,Servant!$B$5:$AD$29,15,FALSE)+($F72+($F72*0.5*($D72-1)))*(AC$3-1)</f>
        <v>35954</v>
      </c>
      <c r="AD72" s="115">
        <f>VLOOKUP($C$70,Servant!$B$5:$AD$29,15,FALSE)+($F72+($F72*0.5*($D72-1)))*(AD$3-1)</f>
        <v>37375</v>
      </c>
      <c r="AE72" s="115">
        <f>VLOOKUP($C$70,Servant!$B$5:$AD$29,15,FALSE)+($F72+($F72*0.5*($D72-1)))*(AE$3-1)</f>
        <v>38796</v>
      </c>
      <c r="AF72" s="115">
        <f>VLOOKUP($C$70,Servant!$B$5:$AD$29,15,FALSE)+($F72+($F72*0.5*($D72-1)))*(AF$3-1)</f>
        <v>40217</v>
      </c>
      <c r="AG72" s="115">
        <f>VLOOKUP($C$70,Servant!$B$5:$AD$29,15,FALSE)+($F72+($F72*0.5*($D72-1)))*(AG$3-1)</f>
        <v>41638</v>
      </c>
      <c r="AH72" s="115">
        <f>VLOOKUP($C$70,Servant!$B$5:$AD$29,15,FALSE)+($F72+($F72*0.5*($D72-1)))*(AH$3-1)</f>
        <v>43059</v>
      </c>
      <c r="AI72" s="115">
        <f>VLOOKUP($C$70,Servant!$B$5:$AD$29,15,FALSE)+($F72+($F72*0.5*($D72-1)))*(AI$3-1)</f>
        <v>44480</v>
      </c>
      <c r="AJ72" s="115">
        <f>VLOOKUP($C$70,Servant!$B$5:$AD$29,15,FALSE)+($F72+($F72*0.5*($D72-1)))*(AJ$3-1)</f>
        <v>45901</v>
      </c>
      <c r="AK72" s="115">
        <f>VLOOKUP($C$70,Servant!$B$5:$AD$29,15,FALSE)+($F72+($F72*0.5*($D72-1)))*(AK$3-1)</f>
        <v>47322</v>
      </c>
    </row>
    <row r="73" spans="2:37" x14ac:dyDescent="0.3">
      <c r="B73" s="309"/>
      <c r="C73" s="304" t="s">
        <v>318</v>
      </c>
      <c r="D73" s="144">
        <v>4</v>
      </c>
      <c r="E73" s="145">
        <f>VLOOKUP($C$73,ServantLevelUPdStatus!$B$5:$AD$29,3,FALSE)+(VLOOKUP($C$73,ServantLevelUPdStatus!$B$5:$AD$29,3,FALSE)*0.5*(Simulator_HP!$D73-1))</f>
        <v>820</v>
      </c>
      <c r="F73" s="145">
        <f>VLOOKUP($C$73,ServantLevelUPdStatus!$B$5:$AD$29,3,FALSE)</f>
        <v>328</v>
      </c>
      <c r="H73" s="146">
        <f>VLOOKUP($C$73,Servant!$B$5:$AD$29,15,FALSE)+($F73+($F73*0.5*($D73-1)))*(H$3-1)</f>
        <v>4931</v>
      </c>
      <c r="I73" s="146">
        <f>VLOOKUP($C$73,Servant!$B$5:$AD$29,15,FALSE)+($F73+($F73*0.5*($D73-1)))*(I$3-1)</f>
        <v>5751</v>
      </c>
      <c r="J73" s="146">
        <f>VLOOKUP($C$73,Servant!$B$5:$AD$29,15,FALSE)+($F73+($F73*0.5*($D73-1)))*(J$3-1)</f>
        <v>6571</v>
      </c>
      <c r="K73" s="146">
        <f>VLOOKUP($C$73,Servant!$B$5:$AD$29,15,FALSE)+($F73+($F73*0.5*($D73-1)))*(K$3-1)</f>
        <v>7391</v>
      </c>
      <c r="L73" s="146">
        <f>VLOOKUP($C$73,Servant!$B$5:$AD$29,15,FALSE)+($F73+($F73*0.5*($D73-1)))*(L$3-1)</f>
        <v>8211</v>
      </c>
      <c r="M73" s="146">
        <f>VLOOKUP($C$73,Servant!$B$5:$AD$29,15,FALSE)+($F73+($F73*0.5*($D73-1)))*(M$3-1)</f>
        <v>9031</v>
      </c>
      <c r="N73" s="146">
        <f>VLOOKUP($C$73,Servant!$B$5:$AD$29,15,FALSE)+($F73+($F73*0.5*($D73-1)))*(N$3-1)</f>
        <v>9851</v>
      </c>
      <c r="O73" s="146">
        <f>VLOOKUP($C$73,Servant!$B$5:$AD$29,15,FALSE)+($F73+($F73*0.5*($D73-1)))*(O$3-1)</f>
        <v>10671</v>
      </c>
      <c r="P73" s="146">
        <f>VLOOKUP($C$73,Servant!$B$5:$AD$29,15,FALSE)+($F73+($F73*0.5*($D73-1)))*(P$3-1)</f>
        <v>11491</v>
      </c>
      <c r="Q73" s="146">
        <f>VLOOKUP($C$73,Servant!$B$5:$AD$29,15,FALSE)+($F73+($F73*0.5*($D73-1)))*(Q$3-1)</f>
        <v>12311</v>
      </c>
      <c r="R73" s="146">
        <f>VLOOKUP($C$73,Servant!$B$5:$AD$29,15,FALSE)+($F73+($F73*0.5*($D73-1)))*(R$3-1)</f>
        <v>13131</v>
      </c>
      <c r="S73" s="146">
        <f>VLOOKUP($C$73,Servant!$B$5:$AD$29,15,FALSE)+($F73+($F73*0.5*($D73-1)))*(S$3-1)</f>
        <v>13951</v>
      </c>
      <c r="T73" s="146">
        <f>VLOOKUP($C$73,Servant!$B$5:$AD$29,15,FALSE)+($F73+($F73*0.5*($D73-1)))*(T$3-1)</f>
        <v>14771</v>
      </c>
      <c r="U73" s="146">
        <f>VLOOKUP($C$73,Servant!$B$5:$AD$29,15,FALSE)+($F73+($F73*0.5*($D73-1)))*(U$3-1)</f>
        <v>15591</v>
      </c>
      <c r="V73" s="146">
        <f>VLOOKUP($C$73,Servant!$B$5:$AD$29,15,FALSE)+($F73+($F73*0.5*($D73-1)))*(V$3-1)</f>
        <v>16411</v>
      </c>
      <c r="W73" s="146">
        <f>VLOOKUP($C$73,Servant!$B$5:$AD$29,15,FALSE)+($F73+($F73*0.5*($D73-1)))*(W$3-1)</f>
        <v>17231</v>
      </c>
      <c r="X73" s="146">
        <f>VLOOKUP($C$73,Servant!$B$5:$AD$29,15,FALSE)+($F73+($F73*0.5*($D73-1)))*(X$3-1)</f>
        <v>18051</v>
      </c>
      <c r="Y73" s="146">
        <f>VLOOKUP($C$73,Servant!$B$5:$AD$29,15,FALSE)+($F73+($F73*0.5*($D73-1)))*(Y$3-1)</f>
        <v>18871</v>
      </c>
      <c r="Z73" s="146">
        <f>VLOOKUP($C$73,Servant!$B$5:$AD$29,15,FALSE)+($F73+($F73*0.5*($D73-1)))*(Z$3-1)</f>
        <v>19691</v>
      </c>
      <c r="AA73" s="146">
        <f>VLOOKUP($C$73,Servant!$B$5:$AD$29,15,FALSE)+($F73+($F73*0.5*($D73-1)))*(AA$3-1)</f>
        <v>20511</v>
      </c>
      <c r="AB73" s="146">
        <f>VLOOKUP($C$73,Servant!$B$5:$AD$29,15,FALSE)+($F73+($F73*0.5*($D73-1)))*(AB$3-1)</f>
        <v>21331</v>
      </c>
      <c r="AC73" s="146">
        <f>VLOOKUP($C$73,Servant!$B$5:$AD$29,15,FALSE)+($F73+($F73*0.5*($D73-1)))*(AC$3-1)</f>
        <v>22151</v>
      </c>
      <c r="AD73" s="146">
        <f>VLOOKUP($C$73,Servant!$B$5:$AD$29,15,FALSE)+($F73+($F73*0.5*($D73-1)))*(AD$3-1)</f>
        <v>22971</v>
      </c>
      <c r="AE73" s="146">
        <f>VLOOKUP($C$73,Servant!$B$5:$AD$29,15,FALSE)+($F73+($F73*0.5*($D73-1)))*(AE$3-1)</f>
        <v>23791</v>
      </c>
      <c r="AF73" s="146">
        <f>VLOOKUP($C$73,Servant!$B$5:$AD$29,15,FALSE)+($F73+($F73*0.5*($D73-1)))*(AF$3-1)</f>
        <v>24611</v>
      </c>
      <c r="AG73" s="146">
        <f>VLOOKUP($C$73,Servant!$B$5:$AD$29,15,FALSE)+($F73+($F73*0.5*($D73-1)))*(AG$3-1)</f>
        <v>25431</v>
      </c>
      <c r="AH73" s="146">
        <f>VLOOKUP($C$73,Servant!$B$5:$AD$29,15,FALSE)+($F73+($F73*0.5*($D73-1)))*(AH$3-1)</f>
        <v>26251</v>
      </c>
      <c r="AI73" s="146">
        <f>VLOOKUP($C$73,Servant!$B$5:$AD$29,15,FALSE)+($F73+($F73*0.5*($D73-1)))*(AI$3-1)</f>
        <v>27071</v>
      </c>
      <c r="AJ73" s="146">
        <f>VLOOKUP($C$73,Servant!$B$5:$AD$29,15,FALSE)+($F73+($F73*0.5*($D73-1)))*(AJ$3-1)</f>
        <v>27891</v>
      </c>
      <c r="AK73" s="146">
        <f>VLOOKUP($C$73,Servant!$B$5:$AD$29,15,FALSE)+($F73+($F73*0.5*($D73-1)))*(AK$3-1)</f>
        <v>28711</v>
      </c>
    </row>
    <row r="74" spans="2:37" x14ac:dyDescent="0.3">
      <c r="B74" s="309"/>
      <c r="C74" s="305"/>
      <c r="D74" s="144">
        <v>5</v>
      </c>
      <c r="E74" s="145">
        <f>VLOOKUP($C$73,ServantLevelUPdStatus!$B$5:$AD$29,3,FALSE)+(VLOOKUP($C$73,ServantLevelUPdStatus!$B$5:$AD$29,3,FALSE)*0.5*(Simulator_HP!$D74-1))</f>
        <v>984</v>
      </c>
      <c r="F74" s="147">
        <f>F73</f>
        <v>328</v>
      </c>
      <c r="H74" s="146">
        <f>VLOOKUP($C$73,Servant!$B$5:$AD$29,15,FALSE)+($F74+($F74*0.5*($D74-1)))*(H$3-1)</f>
        <v>4931</v>
      </c>
      <c r="I74" s="146">
        <f>VLOOKUP($C$73,Servant!$B$5:$AD$29,15,FALSE)+($F74+($F74*0.5*($D74-1)))*(I$3-1)</f>
        <v>5915</v>
      </c>
      <c r="J74" s="146">
        <f>VLOOKUP($C$73,Servant!$B$5:$AD$29,15,FALSE)+($F74+($F74*0.5*($D74-1)))*(J$3-1)</f>
        <v>6899</v>
      </c>
      <c r="K74" s="146">
        <f>VLOOKUP($C$73,Servant!$B$5:$AD$29,15,FALSE)+($F74+($F74*0.5*($D74-1)))*(K$3-1)</f>
        <v>7883</v>
      </c>
      <c r="L74" s="146">
        <f>VLOOKUP($C$73,Servant!$B$5:$AD$29,15,FALSE)+($F74+($F74*0.5*($D74-1)))*(L$3-1)</f>
        <v>8867</v>
      </c>
      <c r="M74" s="146">
        <f>VLOOKUP($C$73,Servant!$B$5:$AD$29,15,FALSE)+($F74+($F74*0.5*($D74-1)))*(M$3-1)</f>
        <v>9851</v>
      </c>
      <c r="N74" s="146">
        <f>VLOOKUP($C$73,Servant!$B$5:$AD$29,15,FALSE)+($F74+($F74*0.5*($D74-1)))*(N$3-1)</f>
        <v>10835</v>
      </c>
      <c r="O74" s="146">
        <f>VLOOKUP($C$73,Servant!$B$5:$AD$29,15,FALSE)+($F74+($F74*0.5*($D74-1)))*(O$3-1)</f>
        <v>11819</v>
      </c>
      <c r="P74" s="146">
        <f>VLOOKUP($C$73,Servant!$B$5:$AD$29,15,FALSE)+($F74+($F74*0.5*($D74-1)))*(P$3-1)</f>
        <v>12803</v>
      </c>
      <c r="Q74" s="146">
        <f>VLOOKUP($C$73,Servant!$B$5:$AD$29,15,FALSE)+($F74+($F74*0.5*($D74-1)))*(Q$3-1)</f>
        <v>13787</v>
      </c>
      <c r="R74" s="146">
        <f>VLOOKUP($C$73,Servant!$B$5:$AD$29,15,FALSE)+($F74+($F74*0.5*($D74-1)))*(R$3-1)</f>
        <v>14771</v>
      </c>
      <c r="S74" s="146">
        <f>VLOOKUP($C$73,Servant!$B$5:$AD$29,15,FALSE)+($F74+($F74*0.5*($D74-1)))*(S$3-1)</f>
        <v>15755</v>
      </c>
      <c r="T74" s="146">
        <f>VLOOKUP($C$73,Servant!$B$5:$AD$29,15,FALSE)+($F74+($F74*0.5*($D74-1)))*(T$3-1)</f>
        <v>16739</v>
      </c>
      <c r="U74" s="146">
        <f>VLOOKUP($C$73,Servant!$B$5:$AD$29,15,FALSE)+($F74+($F74*0.5*($D74-1)))*(U$3-1)</f>
        <v>17723</v>
      </c>
      <c r="V74" s="146">
        <f>VLOOKUP($C$73,Servant!$B$5:$AD$29,15,FALSE)+($F74+($F74*0.5*($D74-1)))*(V$3-1)</f>
        <v>18707</v>
      </c>
      <c r="W74" s="146">
        <f>VLOOKUP($C$73,Servant!$B$5:$AD$29,15,FALSE)+($F74+($F74*0.5*($D74-1)))*(W$3-1)</f>
        <v>19691</v>
      </c>
      <c r="X74" s="146">
        <f>VLOOKUP($C$73,Servant!$B$5:$AD$29,15,FALSE)+($F74+($F74*0.5*($D74-1)))*(X$3-1)</f>
        <v>20675</v>
      </c>
      <c r="Y74" s="146">
        <f>VLOOKUP($C$73,Servant!$B$5:$AD$29,15,FALSE)+($F74+($F74*0.5*($D74-1)))*(Y$3-1)</f>
        <v>21659</v>
      </c>
      <c r="Z74" s="146">
        <f>VLOOKUP($C$73,Servant!$B$5:$AD$29,15,FALSE)+($F74+($F74*0.5*($D74-1)))*(Z$3-1)</f>
        <v>22643</v>
      </c>
      <c r="AA74" s="146">
        <f>VLOOKUP($C$73,Servant!$B$5:$AD$29,15,FALSE)+($F74+($F74*0.5*($D74-1)))*(AA$3-1)</f>
        <v>23627</v>
      </c>
      <c r="AB74" s="146">
        <f>VLOOKUP($C$73,Servant!$B$5:$AD$29,15,FALSE)+($F74+($F74*0.5*($D74-1)))*(AB$3-1)</f>
        <v>24611</v>
      </c>
      <c r="AC74" s="146">
        <f>VLOOKUP($C$73,Servant!$B$5:$AD$29,15,FALSE)+($F74+($F74*0.5*($D74-1)))*(AC$3-1)</f>
        <v>25595</v>
      </c>
      <c r="AD74" s="146">
        <f>VLOOKUP($C$73,Servant!$B$5:$AD$29,15,FALSE)+($F74+($F74*0.5*($D74-1)))*(AD$3-1)</f>
        <v>26579</v>
      </c>
      <c r="AE74" s="146">
        <f>VLOOKUP($C$73,Servant!$B$5:$AD$29,15,FALSE)+($F74+($F74*0.5*($D74-1)))*(AE$3-1)</f>
        <v>27563</v>
      </c>
      <c r="AF74" s="146">
        <f>VLOOKUP($C$73,Servant!$B$5:$AD$29,15,FALSE)+($F74+($F74*0.5*($D74-1)))*(AF$3-1)</f>
        <v>28547</v>
      </c>
      <c r="AG74" s="146">
        <f>VLOOKUP($C$73,Servant!$B$5:$AD$29,15,FALSE)+($F74+($F74*0.5*($D74-1)))*(AG$3-1)</f>
        <v>29531</v>
      </c>
      <c r="AH74" s="146">
        <f>VLOOKUP($C$73,Servant!$B$5:$AD$29,15,FALSE)+($F74+($F74*0.5*($D74-1)))*(AH$3-1)</f>
        <v>30515</v>
      </c>
      <c r="AI74" s="146">
        <f>VLOOKUP($C$73,Servant!$B$5:$AD$29,15,FALSE)+($F74+($F74*0.5*($D74-1)))*(AI$3-1)</f>
        <v>31499</v>
      </c>
      <c r="AJ74" s="146">
        <f>VLOOKUP($C$73,Servant!$B$5:$AD$29,15,FALSE)+($F74+($F74*0.5*($D74-1)))*(AJ$3-1)</f>
        <v>32483</v>
      </c>
      <c r="AK74" s="146">
        <f>VLOOKUP($C$73,Servant!$B$5:$AD$29,15,FALSE)+($F74+($F74*0.5*($D74-1)))*(AK$3-1)</f>
        <v>33467</v>
      </c>
    </row>
    <row r="75" spans="2:37" x14ac:dyDescent="0.3">
      <c r="B75" s="309"/>
      <c r="C75" s="306"/>
      <c r="D75" s="144">
        <v>6</v>
      </c>
      <c r="E75" s="145">
        <f>VLOOKUP($C$73,ServantLevelUPdStatus!$B$5:$AD$29,3,FALSE)+(VLOOKUP($C$73,ServantLevelUPdStatus!$B$5:$AD$29,3,FALSE)*0.5*(Simulator_HP!$D75-1))</f>
        <v>1148</v>
      </c>
      <c r="F75" s="147">
        <f>F74</f>
        <v>328</v>
      </c>
      <c r="H75" s="146">
        <f>VLOOKUP($C$73,Servant!$B$5:$AD$29,15,FALSE)+($F75+($F75*0.5*($D75-1)))*(H$3-1)</f>
        <v>4931</v>
      </c>
      <c r="I75" s="146">
        <f>VLOOKUP($C$73,Servant!$B$5:$AD$29,15,FALSE)+($F75+($F75*0.5*($D75-1)))*(I$3-1)</f>
        <v>6079</v>
      </c>
      <c r="J75" s="146">
        <f>VLOOKUP($C$73,Servant!$B$5:$AD$29,15,FALSE)+($F75+($F75*0.5*($D75-1)))*(J$3-1)</f>
        <v>7227</v>
      </c>
      <c r="K75" s="146">
        <f>VLOOKUP($C$73,Servant!$B$5:$AD$29,15,FALSE)+($F75+($F75*0.5*($D75-1)))*(K$3-1)</f>
        <v>8375</v>
      </c>
      <c r="L75" s="146">
        <f>VLOOKUP($C$73,Servant!$B$5:$AD$29,15,FALSE)+($F75+($F75*0.5*($D75-1)))*(L$3-1)</f>
        <v>9523</v>
      </c>
      <c r="M75" s="146">
        <f>VLOOKUP($C$73,Servant!$B$5:$AD$29,15,FALSE)+($F75+($F75*0.5*($D75-1)))*(M$3-1)</f>
        <v>10671</v>
      </c>
      <c r="N75" s="146">
        <f>VLOOKUP($C$73,Servant!$B$5:$AD$29,15,FALSE)+($F75+($F75*0.5*($D75-1)))*(N$3-1)</f>
        <v>11819</v>
      </c>
      <c r="O75" s="146">
        <f>VLOOKUP($C$73,Servant!$B$5:$AD$29,15,FALSE)+($F75+($F75*0.5*($D75-1)))*(O$3-1)</f>
        <v>12967</v>
      </c>
      <c r="P75" s="146">
        <f>VLOOKUP($C$73,Servant!$B$5:$AD$29,15,FALSE)+($F75+($F75*0.5*($D75-1)))*(P$3-1)</f>
        <v>14115</v>
      </c>
      <c r="Q75" s="146">
        <f>VLOOKUP($C$73,Servant!$B$5:$AD$29,15,FALSE)+($F75+($F75*0.5*($D75-1)))*(Q$3-1)</f>
        <v>15263</v>
      </c>
      <c r="R75" s="146">
        <f>VLOOKUP($C$73,Servant!$B$5:$AD$29,15,FALSE)+($F75+($F75*0.5*($D75-1)))*(R$3-1)</f>
        <v>16411</v>
      </c>
      <c r="S75" s="146">
        <f>VLOOKUP($C$73,Servant!$B$5:$AD$29,15,FALSE)+($F75+($F75*0.5*($D75-1)))*(S$3-1)</f>
        <v>17559</v>
      </c>
      <c r="T75" s="146">
        <f>VLOOKUP($C$73,Servant!$B$5:$AD$29,15,FALSE)+($F75+($F75*0.5*($D75-1)))*(T$3-1)</f>
        <v>18707</v>
      </c>
      <c r="U75" s="146">
        <f>VLOOKUP($C$73,Servant!$B$5:$AD$29,15,FALSE)+($F75+($F75*0.5*($D75-1)))*(U$3-1)</f>
        <v>19855</v>
      </c>
      <c r="V75" s="146">
        <f>VLOOKUP($C$73,Servant!$B$5:$AD$29,15,FALSE)+($F75+($F75*0.5*($D75-1)))*(V$3-1)</f>
        <v>21003</v>
      </c>
      <c r="W75" s="146">
        <f>VLOOKUP($C$73,Servant!$B$5:$AD$29,15,FALSE)+($F75+($F75*0.5*($D75-1)))*(W$3-1)</f>
        <v>22151</v>
      </c>
      <c r="X75" s="146">
        <f>VLOOKUP($C$73,Servant!$B$5:$AD$29,15,FALSE)+($F75+($F75*0.5*($D75-1)))*(X$3-1)</f>
        <v>23299</v>
      </c>
      <c r="Y75" s="146">
        <f>VLOOKUP($C$73,Servant!$B$5:$AD$29,15,FALSE)+($F75+($F75*0.5*($D75-1)))*(Y$3-1)</f>
        <v>24447</v>
      </c>
      <c r="Z75" s="146">
        <f>VLOOKUP($C$73,Servant!$B$5:$AD$29,15,FALSE)+($F75+($F75*0.5*($D75-1)))*(Z$3-1)</f>
        <v>25595</v>
      </c>
      <c r="AA75" s="146">
        <f>VLOOKUP($C$73,Servant!$B$5:$AD$29,15,FALSE)+($F75+($F75*0.5*($D75-1)))*(AA$3-1)</f>
        <v>26743</v>
      </c>
      <c r="AB75" s="146">
        <f>VLOOKUP($C$73,Servant!$B$5:$AD$29,15,FALSE)+($F75+($F75*0.5*($D75-1)))*(AB$3-1)</f>
        <v>27891</v>
      </c>
      <c r="AC75" s="146">
        <f>VLOOKUP($C$73,Servant!$B$5:$AD$29,15,FALSE)+($F75+($F75*0.5*($D75-1)))*(AC$3-1)</f>
        <v>29039</v>
      </c>
      <c r="AD75" s="146">
        <f>VLOOKUP($C$73,Servant!$B$5:$AD$29,15,FALSE)+($F75+($F75*0.5*($D75-1)))*(AD$3-1)</f>
        <v>30187</v>
      </c>
      <c r="AE75" s="146">
        <f>VLOOKUP($C$73,Servant!$B$5:$AD$29,15,FALSE)+($F75+($F75*0.5*($D75-1)))*(AE$3-1)</f>
        <v>31335</v>
      </c>
      <c r="AF75" s="146">
        <f>VLOOKUP($C$73,Servant!$B$5:$AD$29,15,FALSE)+($F75+($F75*0.5*($D75-1)))*(AF$3-1)</f>
        <v>32483</v>
      </c>
      <c r="AG75" s="146">
        <f>VLOOKUP($C$73,Servant!$B$5:$AD$29,15,FALSE)+($F75+($F75*0.5*($D75-1)))*(AG$3-1)</f>
        <v>33631</v>
      </c>
      <c r="AH75" s="146">
        <f>VLOOKUP($C$73,Servant!$B$5:$AD$29,15,FALSE)+($F75+($F75*0.5*($D75-1)))*(AH$3-1)</f>
        <v>34779</v>
      </c>
      <c r="AI75" s="146">
        <f>VLOOKUP($C$73,Servant!$B$5:$AD$29,15,FALSE)+($F75+($F75*0.5*($D75-1)))*(AI$3-1)</f>
        <v>35927</v>
      </c>
      <c r="AJ75" s="146">
        <f>VLOOKUP($C$73,Servant!$B$5:$AD$29,15,FALSE)+($F75+($F75*0.5*($D75-1)))*(AJ$3-1)</f>
        <v>37075</v>
      </c>
      <c r="AK75" s="146">
        <f>VLOOKUP($C$73,Servant!$B$5:$AD$29,15,FALSE)+($F75+($F75*0.5*($D75-1)))*(AK$3-1)</f>
        <v>38223</v>
      </c>
    </row>
  </sheetData>
  <mergeCells count="30">
    <mergeCell ref="B4:B75"/>
    <mergeCell ref="C4:C6"/>
    <mergeCell ref="C7:C9"/>
    <mergeCell ref="C10:C12"/>
    <mergeCell ref="C13:C15"/>
    <mergeCell ref="C49:C51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C2:C3"/>
    <mergeCell ref="D2:D3"/>
    <mergeCell ref="E2:E3"/>
    <mergeCell ref="F2:F3"/>
    <mergeCell ref="H2:AK2"/>
    <mergeCell ref="C46:C48"/>
    <mergeCell ref="C70:C72"/>
    <mergeCell ref="C73:C75"/>
    <mergeCell ref="C52:C54"/>
    <mergeCell ref="C55:C57"/>
    <mergeCell ref="C58:C60"/>
    <mergeCell ref="C61:C63"/>
    <mergeCell ref="C64:C66"/>
    <mergeCell ref="C67:C69"/>
  </mergeCells>
  <phoneticPr fontId="31" type="noConversion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75"/>
  <sheetViews>
    <sheetView workbookViewId="0">
      <pane ySplit="3" topLeftCell="A4" activePane="bottomLeft" state="frozen"/>
      <selection pane="bottomLeft" activeCell="H4" sqref="H4"/>
    </sheetView>
  </sheetViews>
  <sheetFormatPr defaultRowHeight="16.5" x14ac:dyDescent="0.3"/>
  <cols>
    <col min="1" max="1" width="1.625" style="50" customWidth="1"/>
    <col min="2" max="2" width="7.625" style="50" bestFit="1" customWidth="1"/>
    <col min="3" max="3" width="17.5" style="50" bestFit="1" customWidth="1"/>
    <col min="4" max="4" width="6" style="130" bestFit="1" customWidth="1"/>
    <col min="5" max="5" width="7.875" style="50" customWidth="1"/>
    <col min="6" max="6" width="8.75" style="50" bestFit="1" customWidth="1"/>
    <col min="7" max="7" width="1.25" style="50" customWidth="1"/>
    <col min="8" max="37" width="6" style="50" customWidth="1"/>
    <col min="38" max="16384" width="9" style="50"/>
  </cols>
  <sheetData>
    <row r="2" spans="2:37" x14ac:dyDescent="0.3">
      <c r="B2" s="116"/>
      <c r="C2" s="285" t="s">
        <v>322</v>
      </c>
      <c r="D2" s="307" t="s">
        <v>234</v>
      </c>
      <c r="E2" s="308" t="s">
        <v>236</v>
      </c>
      <c r="F2" s="308" t="s">
        <v>257</v>
      </c>
      <c r="H2" s="284" t="s">
        <v>235</v>
      </c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</row>
    <row r="3" spans="2:37" x14ac:dyDescent="0.3">
      <c r="B3" s="116"/>
      <c r="C3" s="285"/>
      <c r="D3" s="307"/>
      <c r="E3" s="308"/>
      <c r="F3" s="308"/>
      <c r="H3" s="105">
        <v>1</v>
      </c>
      <c r="I3" s="105">
        <v>2</v>
      </c>
      <c r="J3" s="105">
        <v>3</v>
      </c>
      <c r="K3" s="105">
        <v>4</v>
      </c>
      <c r="L3" s="105">
        <v>5</v>
      </c>
      <c r="M3" s="105">
        <v>6</v>
      </c>
      <c r="N3" s="105">
        <v>7</v>
      </c>
      <c r="O3" s="105">
        <v>8</v>
      </c>
      <c r="P3" s="105">
        <v>9</v>
      </c>
      <c r="Q3" s="105">
        <v>10</v>
      </c>
      <c r="R3" s="105">
        <v>11</v>
      </c>
      <c r="S3" s="105">
        <v>12</v>
      </c>
      <c r="T3" s="105">
        <v>13</v>
      </c>
      <c r="U3" s="105">
        <v>14</v>
      </c>
      <c r="V3" s="105">
        <v>15</v>
      </c>
      <c r="W3" s="105">
        <v>16</v>
      </c>
      <c r="X3" s="105">
        <v>17</v>
      </c>
      <c r="Y3" s="105">
        <v>18</v>
      </c>
      <c r="Z3" s="105">
        <v>19</v>
      </c>
      <c r="AA3" s="105">
        <v>20</v>
      </c>
      <c r="AB3" s="105">
        <v>21</v>
      </c>
      <c r="AC3" s="105">
        <v>22</v>
      </c>
      <c r="AD3" s="105">
        <v>23</v>
      </c>
      <c r="AE3" s="105">
        <v>24</v>
      </c>
      <c r="AF3" s="105">
        <v>25</v>
      </c>
      <c r="AG3" s="105">
        <v>26</v>
      </c>
      <c r="AH3" s="105">
        <v>27</v>
      </c>
      <c r="AI3" s="105">
        <v>28</v>
      </c>
      <c r="AJ3" s="105">
        <v>29</v>
      </c>
      <c r="AK3" s="105">
        <v>30</v>
      </c>
    </row>
    <row r="4" spans="2:37" ht="16.5" customHeight="1" x14ac:dyDescent="0.3">
      <c r="B4" s="309" t="s">
        <v>319</v>
      </c>
      <c r="C4" s="310" t="s">
        <v>217</v>
      </c>
      <c r="D4" s="125">
        <v>1</v>
      </c>
      <c r="E4" s="117">
        <f>VLOOKUP($C$4,ServantLevelUPdStatus!$B$5:$AD$29,6,FALSE)+(VLOOKUP($C$4,ServantLevelUPdStatus!$B$5:$AD$29,6,FALSE)*0.5*(Simulator_AttkPow!$D4-1))</f>
        <v>85.64</v>
      </c>
      <c r="F4" s="117">
        <f>VLOOKUP($C$4,ServantLevelUPdStatus!$B$5:$AD$29,6,FALSE)</f>
        <v>85.64</v>
      </c>
      <c r="H4" s="112">
        <f>VLOOKUP($C$4,Servant!$B$5:$AD$29,18,FALSE)+($F4+($F4*0.5*($D4-1)))*(H$3-1)</f>
        <v>166</v>
      </c>
      <c r="I4" s="112">
        <f>VLOOKUP($C$4,Servant!$B$5:$AD$29,18,FALSE)+($F4+($F4*0.5*($D4-1)))*(I$3-1)</f>
        <v>251.64</v>
      </c>
      <c r="J4" s="112">
        <f>VLOOKUP($C$4,Servant!$B$5:$AD$29,18,FALSE)+($F4+($F4*0.5*($D4-1)))*(J$3-1)</f>
        <v>337.28</v>
      </c>
      <c r="K4" s="112">
        <f>VLOOKUP($C$4,Servant!$B$5:$AD$29,18,FALSE)+($F4+($F4*0.5*($D4-1)))*(K$3-1)</f>
        <v>422.92</v>
      </c>
      <c r="L4" s="112">
        <f>VLOOKUP($C$4,Servant!$B$5:$AD$29,18,FALSE)+($F4+($F4*0.5*($D4-1)))*(L$3-1)</f>
        <v>508.56</v>
      </c>
      <c r="M4" s="112">
        <f>VLOOKUP($C$4,Servant!$B$5:$AD$29,18,FALSE)+($F4+($F4*0.5*($D4-1)))*(M$3-1)</f>
        <v>594.20000000000005</v>
      </c>
      <c r="N4" s="112">
        <f>VLOOKUP($C$4,Servant!$B$5:$AD$29,18,FALSE)+($F4+($F4*0.5*($D4-1)))*(N$3-1)</f>
        <v>679.84</v>
      </c>
      <c r="O4" s="112">
        <f>VLOOKUP($C$4,Servant!$B$5:$AD$29,18,FALSE)+($F4+($F4*0.5*($D4-1)))*(O$3-1)</f>
        <v>765.48</v>
      </c>
      <c r="P4" s="112">
        <f>VLOOKUP($C$4,Servant!$B$5:$AD$29,18,FALSE)+($F4+($F4*0.5*($D4-1)))*(P$3-1)</f>
        <v>851.12</v>
      </c>
      <c r="Q4" s="112">
        <f>VLOOKUP($C$4,Servant!$B$5:$AD$29,18,FALSE)+($F4+($F4*0.5*($D4-1)))*(Q$3-1)</f>
        <v>936.76</v>
      </c>
      <c r="R4" s="112">
        <f>VLOOKUP($C$4,Servant!$B$5:$AD$29,18,FALSE)+($F4+($F4*0.5*($D4-1)))*(R$3-1)</f>
        <v>1022.4</v>
      </c>
      <c r="S4" s="112">
        <f>VLOOKUP($C$4,Servant!$B$5:$AD$29,18,FALSE)+($F4+($F4*0.5*($D4-1)))*(S$3-1)</f>
        <v>1108.04</v>
      </c>
      <c r="T4" s="112">
        <f>VLOOKUP($C$4,Servant!$B$5:$AD$29,18,FALSE)+($F4+($F4*0.5*($D4-1)))*(T$3-1)</f>
        <v>1193.68</v>
      </c>
      <c r="U4" s="112">
        <f>VLOOKUP($C$4,Servant!$B$5:$AD$29,18,FALSE)+($F4+($F4*0.5*($D4-1)))*(U$3-1)</f>
        <v>1279.32</v>
      </c>
      <c r="V4" s="112">
        <f>VLOOKUP($C$4,Servant!$B$5:$AD$29,18,FALSE)+($F4+($F4*0.5*($D4-1)))*(V$3-1)</f>
        <v>1364.96</v>
      </c>
      <c r="W4" s="112">
        <f>VLOOKUP($C$4,Servant!$B$5:$AD$29,18,FALSE)+($F4+($F4*0.5*($D4-1)))*(W$3-1)</f>
        <v>1450.6</v>
      </c>
      <c r="X4" s="112">
        <f>VLOOKUP($C$4,Servant!$B$5:$AD$29,18,FALSE)+($F4+($F4*0.5*($D4-1)))*(X$3-1)</f>
        <v>1536.24</v>
      </c>
      <c r="Y4" s="112">
        <f>VLOOKUP($C$4,Servant!$B$5:$AD$29,18,FALSE)+($F4+($F4*0.5*($D4-1)))*(Y$3-1)</f>
        <v>1621.88</v>
      </c>
      <c r="Z4" s="112">
        <f>VLOOKUP($C$4,Servant!$B$5:$AD$29,18,FALSE)+($F4+($F4*0.5*($D4-1)))*(Z$3-1)</f>
        <v>1707.52</v>
      </c>
      <c r="AA4" s="112">
        <f>VLOOKUP($C$4,Servant!$B$5:$AD$29,18,FALSE)+($F4+($F4*0.5*($D4-1)))*(AA$3-1)</f>
        <v>1793.16</v>
      </c>
      <c r="AB4" s="112">
        <f>VLOOKUP($C$4,Servant!$B$5:$AD$29,18,FALSE)+($F4+($F4*0.5*($D4-1)))*(AB$3-1)</f>
        <v>1878.8</v>
      </c>
      <c r="AC4" s="112">
        <f>VLOOKUP($C$4,Servant!$B$5:$AD$29,18,FALSE)+($F4+($F4*0.5*($D4-1)))*(AC$3-1)</f>
        <v>1964.44</v>
      </c>
      <c r="AD4" s="112">
        <f>VLOOKUP($C$4,Servant!$B$5:$AD$29,18,FALSE)+($F4+($F4*0.5*($D4-1)))*(AD$3-1)</f>
        <v>2050.08</v>
      </c>
      <c r="AE4" s="112">
        <f>VLOOKUP($C$4,Servant!$B$5:$AD$29,18,FALSE)+($F4+($F4*0.5*($D4-1)))*(AE$3-1)</f>
        <v>2135.7200000000003</v>
      </c>
      <c r="AF4" s="112">
        <f>VLOOKUP($C$4,Servant!$B$5:$AD$29,18,FALSE)+($F4+($F4*0.5*($D4-1)))*(AF$3-1)</f>
        <v>2221.36</v>
      </c>
      <c r="AG4" s="112">
        <f>VLOOKUP($C$4,Servant!$B$5:$AD$29,18,FALSE)+($F4+($F4*0.5*($D4-1)))*(AG$3-1)</f>
        <v>2307</v>
      </c>
      <c r="AH4" s="112">
        <f>VLOOKUP($C$4,Servant!$B$5:$AD$29,18,FALSE)+($F4+($F4*0.5*($D4-1)))*(AH$3-1)</f>
        <v>2392.64</v>
      </c>
      <c r="AI4" s="112">
        <f>VLOOKUP($C$4,Servant!$B$5:$AD$29,18,FALSE)+($F4+($F4*0.5*($D4-1)))*(AI$3-1)</f>
        <v>2478.2800000000002</v>
      </c>
      <c r="AJ4" s="112">
        <f>VLOOKUP($C$4,Servant!$B$5:$AD$29,18,FALSE)+($F4+($F4*0.5*($D4-1)))*(AJ$3-1)</f>
        <v>2563.92</v>
      </c>
      <c r="AK4" s="112">
        <f>VLOOKUP($C$4,Servant!$B$5:$AD$29,18,FALSE)+($F4+($F4*0.5*($D4-1)))*(AK$3-1)</f>
        <v>2649.56</v>
      </c>
    </row>
    <row r="5" spans="2:37" x14ac:dyDescent="0.3">
      <c r="B5" s="309"/>
      <c r="C5" s="311"/>
      <c r="D5" s="126">
        <v>2</v>
      </c>
      <c r="E5" s="117">
        <f>VLOOKUP($C$4,ServantLevelUPdStatus!$B$5:$AD$29,6,FALSE)+(VLOOKUP($C$4,ServantLevelUPdStatus!$B$5:$AD$29,6,FALSE)*0.5*(Simulator_AttkPow!$D5-1))</f>
        <v>128.46</v>
      </c>
      <c r="F5" s="118">
        <f>F4</f>
        <v>85.64</v>
      </c>
      <c r="H5" s="112">
        <f>VLOOKUP($C$4,Servant!$B$5:$AD$29,18,FALSE)+($F5+($F5*0.5*($D5-1)))*(H$3-1)</f>
        <v>166</v>
      </c>
      <c r="I5" s="112">
        <f>VLOOKUP($C$4,Servant!$B$5:$AD$29,18,FALSE)+($F5+($F5*0.5*($D5-1)))*(I$3-1)</f>
        <v>294.46000000000004</v>
      </c>
      <c r="J5" s="112">
        <f>VLOOKUP($C$4,Servant!$B$5:$AD$29,18,FALSE)+($F5+($F5*0.5*($D5-1)))*(J$3-1)</f>
        <v>422.92</v>
      </c>
      <c r="K5" s="112">
        <f>VLOOKUP($C$4,Servant!$B$5:$AD$29,18,FALSE)+($F5+($F5*0.5*($D5-1)))*(K$3-1)</f>
        <v>551.38</v>
      </c>
      <c r="L5" s="112">
        <f>VLOOKUP($C$4,Servant!$B$5:$AD$29,18,FALSE)+($F5+($F5*0.5*($D5-1)))*(L$3-1)</f>
        <v>679.84</v>
      </c>
      <c r="M5" s="112">
        <f>VLOOKUP($C$4,Servant!$B$5:$AD$29,18,FALSE)+($F5+($F5*0.5*($D5-1)))*(M$3-1)</f>
        <v>808.30000000000007</v>
      </c>
      <c r="N5" s="112">
        <f>VLOOKUP($C$4,Servant!$B$5:$AD$29,18,FALSE)+($F5+($F5*0.5*($D5-1)))*(N$3-1)</f>
        <v>936.76</v>
      </c>
      <c r="O5" s="112">
        <f>VLOOKUP($C$4,Servant!$B$5:$AD$29,18,FALSE)+($F5+($F5*0.5*($D5-1)))*(O$3-1)</f>
        <v>1065.22</v>
      </c>
      <c r="P5" s="112">
        <f>VLOOKUP($C$4,Servant!$B$5:$AD$29,18,FALSE)+($F5+($F5*0.5*($D5-1)))*(P$3-1)</f>
        <v>1193.68</v>
      </c>
      <c r="Q5" s="112">
        <f>VLOOKUP($C$4,Servant!$B$5:$AD$29,18,FALSE)+($F5+($F5*0.5*($D5-1)))*(Q$3-1)</f>
        <v>1322.14</v>
      </c>
      <c r="R5" s="112">
        <f>VLOOKUP($C$4,Servant!$B$5:$AD$29,18,FALSE)+($F5+($F5*0.5*($D5-1)))*(R$3-1)</f>
        <v>1450.6000000000001</v>
      </c>
      <c r="S5" s="112">
        <f>VLOOKUP($C$4,Servant!$B$5:$AD$29,18,FALSE)+($F5+($F5*0.5*($D5-1)))*(S$3-1)</f>
        <v>1579.0600000000002</v>
      </c>
      <c r="T5" s="112">
        <f>VLOOKUP($C$4,Servant!$B$5:$AD$29,18,FALSE)+($F5+($F5*0.5*($D5-1)))*(T$3-1)</f>
        <v>1707.52</v>
      </c>
      <c r="U5" s="112">
        <f>VLOOKUP($C$4,Servant!$B$5:$AD$29,18,FALSE)+($F5+($F5*0.5*($D5-1)))*(U$3-1)</f>
        <v>1835.98</v>
      </c>
      <c r="V5" s="112">
        <f>VLOOKUP($C$4,Servant!$B$5:$AD$29,18,FALSE)+($F5+($F5*0.5*($D5-1)))*(V$3-1)</f>
        <v>1964.44</v>
      </c>
      <c r="W5" s="112">
        <f>VLOOKUP($C$4,Servant!$B$5:$AD$29,18,FALSE)+($F5+($F5*0.5*($D5-1)))*(W$3-1)</f>
        <v>2092.9</v>
      </c>
      <c r="X5" s="112">
        <f>VLOOKUP($C$4,Servant!$B$5:$AD$29,18,FALSE)+($F5+($F5*0.5*($D5-1)))*(X$3-1)</f>
        <v>2221.36</v>
      </c>
      <c r="Y5" s="112">
        <f>VLOOKUP($C$4,Servant!$B$5:$AD$29,18,FALSE)+($F5+($F5*0.5*($D5-1)))*(Y$3-1)</f>
        <v>2349.8200000000002</v>
      </c>
      <c r="Z5" s="112">
        <f>VLOOKUP($C$4,Servant!$B$5:$AD$29,18,FALSE)+($F5+($F5*0.5*($D5-1)))*(Z$3-1)</f>
        <v>2478.2800000000002</v>
      </c>
      <c r="AA5" s="112">
        <f>VLOOKUP($C$4,Servant!$B$5:$AD$29,18,FALSE)+($F5+($F5*0.5*($D5-1)))*(AA$3-1)</f>
        <v>2606.7400000000002</v>
      </c>
      <c r="AB5" s="112">
        <f>VLOOKUP($C$4,Servant!$B$5:$AD$29,18,FALSE)+($F5+($F5*0.5*($D5-1)))*(AB$3-1)</f>
        <v>2735.2000000000003</v>
      </c>
      <c r="AC5" s="112">
        <f>VLOOKUP($C$4,Servant!$B$5:$AD$29,18,FALSE)+($F5+($F5*0.5*($D5-1)))*(AC$3-1)</f>
        <v>2863.6600000000003</v>
      </c>
      <c r="AD5" s="112">
        <f>VLOOKUP($C$4,Servant!$B$5:$AD$29,18,FALSE)+($F5+($F5*0.5*($D5-1)))*(AD$3-1)</f>
        <v>2992.1200000000003</v>
      </c>
      <c r="AE5" s="112">
        <f>VLOOKUP($C$4,Servant!$B$5:$AD$29,18,FALSE)+($F5+($F5*0.5*($D5-1)))*(AE$3-1)</f>
        <v>3120.5800000000004</v>
      </c>
      <c r="AF5" s="112">
        <f>VLOOKUP($C$4,Servant!$B$5:$AD$29,18,FALSE)+($F5+($F5*0.5*($D5-1)))*(AF$3-1)</f>
        <v>3249.04</v>
      </c>
      <c r="AG5" s="112">
        <f>VLOOKUP($C$4,Servant!$B$5:$AD$29,18,FALSE)+($F5+($F5*0.5*($D5-1)))*(AG$3-1)</f>
        <v>3377.5</v>
      </c>
      <c r="AH5" s="112">
        <f>VLOOKUP($C$4,Servant!$B$5:$AD$29,18,FALSE)+($F5+($F5*0.5*($D5-1)))*(AH$3-1)</f>
        <v>3505.96</v>
      </c>
      <c r="AI5" s="112">
        <f>VLOOKUP($C$4,Servant!$B$5:$AD$29,18,FALSE)+($F5+($F5*0.5*($D5-1)))*(AI$3-1)</f>
        <v>3634.42</v>
      </c>
      <c r="AJ5" s="112">
        <f>VLOOKUP($C$4,Servant!$B$5:$AD$29,18,FALSE)+($F5+($F5*0.5*($D5-1)))*(AJ$3-1)</f>
        <v>3762.88</v>
      </c>
      <c r="AK5" s="112">
        <f>VLOOKUP($C$4,Servant!$B$5:$AD$29,18,FALSE)+($F5+($F5*0.5*($D5-1)))*(AK$3-1)</f>
        <v>3891.34</v>
      </c>
    </row>
    <row r="6" spans="2:37" x14ac:dyDescent="0.3">
      <c r="B6" s="309"/>
      <c r="C6" s="312"/>
      <c r="D6" s="126">
        <v>3</v>
      </c>
      <c r="E6" s="117">
        <f>VLOOKUP($C$4,ServantLevelUPdStatus!$B$5:$AD$29,6,FALSE)+(VLOOKUP($C$4,ServantLevelUPdStatus!$B$5:$AD$29,6,FALSE)*0.5*(Simulator_AttkPow!$D6-1))</f>
        <v>171.28</v>
      </c>
      <c r="F6" s="118">
        <f>F5</f>
        <v>85.64</v>
      </c>
      <c r="H6" s="112">
        <f>VLOOKUP($C$4,Servant!$B$5:$AD$29,18,FALSE)+($F6+($F6*0.5*($D6-1)))*(H$3-1)</f>
        <v>166</v>
      </c>
      <c r="I6" s="112">
        <f>VLOOKUP($C$4,Servant!$B$5:$AD$29,18,FALSE)+($F6+($F6*0.5*($D6-1)))*(I$3-1)</f>
        <v>337.28</v>
      </c>
      <c r="J6" s="112">
        <f>VLOOKUP($C$4,Servant!$B$5:$AD$29,18,FALSE)+($F6+($F6*0.5*($D6-1)))*(J$3-1)</f>
        <v>508.56</v>
      </c>
      <c r="K6" s="112">
        <f>VLOOKUP($C$4,Servant!$B$5:$AD$29,18,FALSE)+($F6+($F6*0.5*($D6-1)))*(K$3-1)</f>
        <v>679.84</v>
      </c>
      <c r="L6" s="112">
        <f>VLOOKUP($C$4,Servant!$B$5:$AD$29,18,FALSE)+($F6+($F6*0.5*($D6-1)))*(L$3-1)</f>
        <v>851.12</v>
      </c>
      <c r="M6" s="112">
        <f>VLOOKUP($C$4,Servant!$B$5:$AD$29,18,FALSE)+($F6+($F6*0.5*($D6-1)))*(M$3-1)</f>
        <v>1022.4</v>
      </c>
      <c r="N6" s="112">
        <f>VLOOKUP($C$4,Servant!$B$5:$AD$29,18,FALSE)+($F6+($F6*0.5*($D6-1)))*(N$3-1)</f>
        <v>1193.68</v>
      </c>
      <c r="O6" s="112">
        <f>VLOOKUP($C$4,Servant!$B$5:$AD$29,18,FALSE)+($F6+($F6*0.5*($D6-1)))*(O$3-1)</f>
        <v>1364.96</v>
      </c>
      <c r="P6" s="112">
        <f>VLOOKUP($C$4,Servant!$B$5:$AD$29,18,FALSE)+($F6+($F6*0.5*($D6-1)))*(P$3-1)</f>
        <v>1536.24</v>
      </c>
      <c r="Q6" s="112">
        <f>VLOOKUP($C$4,Servant!$B$5:$AD$29,18,FALSE)+($F6+($F6*0.5*($D6-1)))*(Q$3-1)</f>
        <v>1707.52</v>
      </c>
      <c r="R6" s="112">
        <f>VLOOKUP($C$4,Servant!$B$5:$AD$29,18,FALSE)+($F6+($F6*0.5*($D6-1)))*(R$3-1)</f>
        <v>1878.8</v>
      </c>
      <c r="S6" s="112">
        <f>VLOOKUP($C$4,Servant!$B$5:$AD$29,18,FALSE)+($F6+($F6*0.5*($D6-1)))*(S$3-1)</f>
        <v>2050.08</v>
      </c>
      <c r="T6" s="112">
        <f>VLOOKUP($C$4,Servant!$B$5:$AD$29,18,FALSE)+($F6+($F6*0.5*($D6-1)))*(T$3-1)</f>
        <v>2221.36</v>
      </c>
      <c r="U6" s="112">
        <f>VLOOKUP($C$4,Servant!$B$5:$AD$29,18,FALSE)+($F6+($F6*0.5*($D6-1)))*(U$3-1)</f>
        <v>2392.64</v>
      </c>
      <c r="V6" s="112">
        <f>VLOOKUP($C$4,Servant!$B$5:$AD$29,18,FALSE)+($F6+($F6*0.5*($D6-1)))*(V$3-1)</f>
        <v>2563.92</v>
      </c>
      <c r="W6" s="112">
        <f>VLOOKUP($C$4,Servant!$B$5:$AD$29,18,FALSE)+($F6+($F6*0.5*($D6-1)))*(W$3-1)</f>
        <v>2735.2</v>
      </c>
      <c r="X6" s="112">
        <f>VLOOKUP($C$4,Servant!$B$5:$AD$29,18,FALSE)+($F6+($F6*0.5*($D6-1)))*(X$3-1)</f>
        <v>2906.48</v>
      </c>
      <c r="Y6" s="112">
        <f>VLOOKUP($C$4,Servant!$B$5:$AD$29,18,FALSE)+($F6+($F6*0.5*($D6-1)))*(Y$3-1)</f>
        <v>3077.76</v>
      </c>
      <c r="Z6" s="112">
        <f>VLOOKUP($C$4,Servant!$B$5:$AD$29,18,FALSE)+($F6+($F6*0.5*($D6-1)))*(Z$3-1)</f>
        <v>3249.04</v>
      </c>
      <c r="AA6" s="112">
        <f>VLOOKUP($C$4,Servant!$B$5:$AD$29,18,FALSE)+($F6+($F6*0.5*($D6-1)))*(AA$3-1)</f>
        <v>3420.32</v>
      </c>
      <c r="AB6" s="112">
        <f>VLOOKUP($C$4,Servant!$B$5:$AD$29,18,FALSE)+($F6+($F6*0.5*($D6-1)))*(AB$3-1)</f>
        <v>3591.6</v>
      </c>
      <c r="AC6" s="112">
        <f>VLOOKUP($C$4,Servant!$B$5:$AD$29,18,FALSE)+($F6+($F6*0.5*($D6-1)))*(AC$3-1)</f>
        <v>3762.88</v>
      </c>
      <c r="AD6" s="112">
        <f>VLOOKUP($C$4,Servant!$B$5:$AD$29,18,FALSE)+($F6+($F6*0.5*($D6-1)))*(AD$3-1)</f>
        <v>3934.16</v>
      </c>
      <c r="AE6" s="112">
        <f>VLOOKUP($C$4,Servant!$B$5:$AD$29,18,FALSE)+($F6+($F6*0.5*($D6-1)))*(AE$3-1)</f>
        <v>4105.4400000000005</v>
      </c>
      <c r="AF6" s="112">
        <f>VLOOKUP($C$4,Servant!$B$5:$AD$29,18,FALSE)+($F6+($F6*0.5*($D6-1)))*(AF$3-1)</f>
        <v>4276.72</v>
      </c>
      <c r="AG6" s="112">
        <f>VLOOKUP($C$4,Servant!$B$5:$AD$29,18,FALSE)+($F6+($F6*0.5*($D6-1)))*(AG$3-1)</f>
        <v>4448</v>
      </c>
      <c r="AH6" s="112">
        <f>VLOOKUP($C$4,Servant!$B$5:$AD$29,18,FALSE)+($F6+($F6*0.5*($D6-1)))*(AH$3-1)</f>
        <v>4619.28</v>
      </c>
      <c r="AI6" s="112">
        <f>VLOOKUP($C$4,Servant!$B$5:$AD$29,18,FALSE)+($F6+($F6*0.5*($D6-1)))*(AI$3-1)</f>
        <v>4790.5600000000004</v>
      </c>
      <c r="AJ6" s="112">
        <f>VLOOKUP($C$4,Servant!$B$5:$AD$29,18,FALSE)+($F6+($F6*0.5*($D6-1)))*(AJ$3-1)</f>
        <v>4961.84</v>
      </c>
      <c r="AK6" s="112">
        <f>VLOOKUP($C$4,Servant!$B$5:$AD$29,18,FALSE)+($F6+($F6*0.5*($D6-1)))*(AK$3-1)</f>
        <v>5133.12</v>
      </c>
    </row>
    <row r="7" spans="2:37" x14ac:dyDescent="0.3">
      <c r="B7" s="309"/>
      <c r="C7" s="313" t="s">
        <v>275</v>
      </c>
      <c r="D7" s="131">
        <v>1</v>
      </c>
      <c r="E7" s="132">
        <f>VLOOKUP($C$7,ServantLevelUPdStatus!$B$5:$AD$29,6,FALSE)+(VLOOKUP($C$7,ServantLevelUPdStatus!$B$5:$AD$29,6,FALSE)*0.5*(Simulator_AttkPow!$D7-1))</f>
        <v>97.629599999999996</v>
      </c>
      <c r="F7" s="132">
        <f>VLOOKUP($C$7,ServantLevelUPdStatus!$B$5:$AD$29,6,FALSE)</f>
        <v>97.629599999999996</v>
      </c>
      <c r="H7" s="133">
        <f>VLOOKUP($C$7,Servant!$B$5:$AD$29,18,FALSE)+($F7+($F7*0.5*($D7-1)))*(H$3-1)</f>
        <v>189</v>
      </c>
      <c r="I7" s="133">
        <f>VLOOKUP($C$7,Servant!$B$5:$AD$29,18,FALSE)+($F7+($F7*0.5*($D7-1)))*(I$3-1)</f>
        <v>286.62959999999998</v>
      </c>
      <c r="J7" s="133">
        <f>VLOOKUP($C$7,Servant!$B$5:$AD$29,18,FALSE)+($F7+($F7*0.5*($D7-1)))*(J$3-1)</f>
        <v>384.25919999999996</v>
      </c>
      <c r="K7" s="133">
        <f>VLOOKUP($C$7,Servant!$B$5:$AD$29,18,FALSE)+($F7+($F7*0.5*($D7-1)))*(K$3-1)</f>
        <v>481.8888</v>
      </c>
      <c r="L7" s="133">
        <f>VLOOKUP($C$7,Servant!$B$5:$AD$29,18,FALSE)+($F7+($F7*0.5*($D7-1)))*(L$3-1)</f>
        <v>579.51839999999993</v>
      </c>
      <c r="M7" s="133">
        <f>VLOOKUP($C$7,Servant!$B$5:$AD$29,18,FALSE)+($F7+($F7*0.5*($D7-1)))*(M$3-1)</f>
        <v>677.14799999999991</v>
      </c>
      <c r="N7" s="133">
        <f>VLOOKUP($C$7,Servant!$B$5:$AD$29,18,FALSE)+($F7+($F7*0.5*($D7-1)))*(N$3-1)</f>
        <v>774.77760000000001</v>
      </c>
      <c r="O7" s="133">
        <f>VLOOKUP($C$7,Servant!$B$5:$AD$29,18,FALSE)+($F7+($F7*0.5*($D7-1)))*(O$3-1)</f>
        <v>872.40719999999999</v>
      </c>
      <c r="P7" s="133">
        <f>VLOOKUP($C$7,Servant!$B$5:$AD$29,18,FALSE)+($F7+($F7*0.5*($D7-1)))*(P$3-1)</f>
        <v>970.03679999999997</v>
      </c>
      <c r="Q7" s="133">
        <f>VLOOKUP($C$7,Servant!$B$5:$AD$29,18,FALSE)+($F7+($F7*0.5*($D7-1)))*(Q$3-1)</f>
        <v>1067.6664000000001</v>
      </c>
      <c r="R7" s="133">
        <f>VLOOKUP($C$7,Servant!$B$5:$AD$29,18,FALSE)+($F7+($F7*0.5*($D7-1)))*(R$3-1)</f>
        <v>1165.2959999999998</v>
      </c>
      <c r="S7" s="133">
        <f>VLOOKUP($C$7,Servant!$B$5:$AD$29,18,FALSE)+($F7+($F7*0.5*($D7-1)))*(S$3-1)</f>
        <v>1262.9256</v>
      </c>
      <c r="T7" s="133">
        <f>VLOOKUP($C$7,Servant!$B$5:$AD$29,18,FALSE)+($F7+($F7*0.5*($D7-1)))*(T$3-1)</f>
        <v>1360.5552</v>
      </c>
      <c r="U7" s="133">
        <f>VLOOKUP($C$7,Servant!$B$5:$AD$29,18,FALSE)+($F7+($F7*0.5*($D7-1)))*(U$3-1)</f>
        <v>1458.1848</v>
      </c>
      <c r="V7" s="133">
        <f>VLOOKUP($C$7,Servant!$B$5:$AD$29,18,FALSE)+($F7+($F7*0.5*($D7-1)))*(V$3-1)</f>
        <v>1555.8144</v>
      </c>
      <c r="W7" s="133">
        <f>VLOOKUP($C$7,Servant!$B$5:$AD$29,18,FALSE)+($F7+($F7*0.5*($D7-1)))*(W$3-1)</f>
        <v>1653.444</v>
      </c>
      <c r="X7" s="133">
        <f>VLOOKUP($C$7,Servant!$B$5:$AD$29,18,FALSE)+($F7+($F7*0.5*($D7-1)))*(X$3-1)</f>
        <v>1751.0735999999999</v>
      </c>
      <c r="Y7" s="133">
        <f>VLOOKUP($C$7,Servant!$B$5:$AD$29,18,FALSE)+($F7+($F7*0.5*($D7-1)))*(Y$3-1)</f>
        <v>1848.7031999999999</v>
      </c>
      <c r="Z7" s="133">
        <f>VLOOKUP($C$7,Servant!$B$5:$AD$29,18,FALSE)+($F7+($F7*0.5*($D7-1)))*(Z$3-1)</f>
        <v>1946.3327999999999</v>
      </c>
      <c r="AA7" s="133">
        <f>VLOOKUP($C$7,Servant!$B$5:$AD$29,18,FALSE)+($F7+($F7*0.5*($D7-1)))*(AA$3-1)</f>
        <v>2043.9623999999999</v>
      </c>
      <c r="AB7" s="133">
        <f>VLOOKUP($C$7,Servant!$B$5:$AD$29,18,FALSE)+($F7+($F7*0.5*($D7-1)))*(AB$3-1)</f>
        <v>2141.5919999999996</v>
      </c>
      <c r="AC7" s="133">
        <f>VLOOKUP($C$7,Servant!$B$5:$AD$29,18,FALSE)+($F7+($F7*0.5*($D7-1)))*(AC$3-1)</f>
        <v>2239.2215999999999</v>
      </c>
      <c r="AD7" s="133">
        <f>VLOOKUP($C$7,Servant!$B$5:$AD$29,18,FALSE)+($F7+($F7*0.5*($D7-1)))*(AD$3-1)</f>
        <v>2336.8512000000001</v>
      </c>
      <c r="AE7" s="133">
        <f>VLOOKUP($C$7,Servant!$B$5:$AD$29,18,FALSE)+($F7+($F7*0.5*($D7-1)))*(AE$3-1)</f>
        <v>2434.4807999999998</v>
      </c>
      <c r="AF7" s="133">
        <f>VLOOKUP($C$7,Servant!$B$5:$AD$29,18,FALSE)+($F7+($F7*0.5*($D7-1)))*(AF$3-1)</f>
        <v>2532.1104</v>
      </c>
      <c r="AG7" s="133">
        <f>VLOOKUP($C$7,Servant!$B$5:$AD$29,18,FALSE)+($F7+($F7*0.5*($D7-1)))*(AG$3-1)</f>
        <v>2629.74</v>
      </c>
      <c r="AH7" s="133">
        <f>VLOOKUP($C$7,Servant!$B$5:$AD$29,18,FALSE)+($F7+($F7*0.5*($D7-1)))*(AH$3-1)</f>
        <v>2727.3696</v>
      </c>
      <c r="AI7" s="133">
        <f>VLOOKUP($C$7,Servant!$B$5:$AD$29,18,FALSE)+($F7+($F7*0.5*($D7-1)))*(AI$3-1)</f>
        <v>2824.9991999999997</v>
      </c>
      <c r="AJ7" s="133">
        <f>VLOOKUP($C$7,Servant!$B$5:$AD$29,18,FALSE)+($F7+($F7*0.5*($D7-1)))*(AJ$3-1)</f>
        <v>2922.6288</v>
      </c>
      <c r="AK7" s="133">
        <f>VLOOKUP($C$7,Servant!$B$5:$AD$29,18,FALSE)+($F7+($F7*0.5*($D7-1)))*(AK$3-1)</f>
        <v>3020.2583999999997</v>
      </c>
    </row>
    <row r="8" spans="2:37" x14ac:dyDescent="0.3">
      <c r="B8" s="309"/>
      <c r="C8" s="314"/>
      <c r="D8" s="134">
        <v>2</v>
      </c>
      <c r="E8" s="132">
        <f>VLOOKUP($C$7,ServantLevelUPdStatus!$B$5:$AD$29,6,FALSE)+(VLOOKUP($C$7,ServantLevelUPdStatus!$B$5:$AD$29,6,FALSE)*0.5*(Simulator_AttkPow!$D8-1))</f>
        <v>146.4444</v>
      </c>
      <c r="F8" s="135">
        <f>F7</f>
        <v>97.629599999999996</v>
      </c>
      <c r="H8" s="133">
        <f>VLOOKUP($C$7,Servant!$B$5:$AD$29,18,FALSE)+($F8+($F8*0.5*($D8-1)))*(H$3-1)</f>
        <v>189</v>
      </c>
      <c r="I8" s="133">
        <f>VLOOKUP($C$7,Servant!$B$5:$AD$29,18,FALSE)+($F8+($F8*0.5*($D8-1)))*(I$3-1)</f>
        <v>335.44439999999997</v>
      </c>
      <c r="J8" s="133">
        <f>VLOOKUP($C$7,Servant!$B$5:$AD$29,18,FALSE)+($F8+($F8*0.5*($D8-1)))*(J$3-1)</f>
        <v>481.8888</v>
      </c>
      <c r="K8" s="133">
        <f>VLOOKUP($C$7,Servant!$B$5:$AD$29,18,FALSE)+($F8+($F8*0.5*($D8-1)))*(K$3-1)</f>
        <v>628.33320000000003</v>
      </c>
      <c r="L8" s="133">
        <f>VLOOKUP($C$7,Servant!$B$5:$AD$29,18,FALSE)+($F8+($F8*0.5*($D8-1)))*(L$3-1)</f>
        <v>774.77760000000001</v>
      </c>
      <c r="M8" s="133">
        <f>VLOOKUP($C$7,Servant!$B$5:$AD$29,18,FALSE)+($F8+($F8*0.5*($D8-1)))*(M$3-1)</f>
        <v>921.22199999999998</v>
      </c>
      <c r="N8" s="133">
        <f>VLOOKUP($C$7,Servant!$B$5:$AD$29,18,FALSE)+($F8+($F8*0.5*($D8-1)))*(N$3-1)</f>
        <v>1067.6664000000001</v>
      </c>
      <c r="O8" s="133">
        <f>VLOOKUP($C$7,Servant!$B$5:$AD$29,18,FALSE)+($F8+($F8*0.5*($D8-1)))*(O$3-1)</f>
        <v>1214.1107999999999</v>
      </c>
      <c r="P8" s="133">
        <f>VLOOKUP($C$7,Servant!$B$5:$AD$29,18,FALSE)+($F8+($F8*0.5*($D8-1)))*(P$3-1)</f>
        <v>1360.5552</v>
      </c>
      <c r="Q8" s="133">
        <f>VLOOKUP($C$7,Servant!$B$5:$AD$29,18,FALSE)+($F8+($F8*0.5*($D8-1)))*(Q$3-1)</f>
        <v>1506.9996000000001</v>
      </c>
      <c r="R8" s="133">
        <f>VLOOKUP($C$7,Servant!$B$5:$AD$29,18,FALSE)+($F8+($F8*0.5*($D8-1)))*(R$3-1)</f>
        <v>1653.444</v>
      </c>
      <c r="S8" s="133">
        <f>VLOOKUP($C$7,Servant!$B$5:$AD$29,18,FALSE)+($F8+($F8*0.5*($D8-1)))*(S$3-1)</f>
        <v>1799.8884</v>
      </c>
      <c r="T8" s="133">
        <f>VLOOKUP($C$7,Servant!$B$5:$AD$29,18,FALSE)+($F8+($F8*0.5*($D8-1)))*(T$3-1)</f>
        <v>1946.3328000000001</v>
      </c>
      <c r="U8" s="133">
        <f>VLOOKUP($C$7,Servant!$B$5:$AD$29,18,FALSE)+($F8+($F8*0.5*($D8-1)))*(U$3-1)</f>
        <v>2092.7772</v>
      </c>
      <c r="V8" s="133">
        <f>VLOOKUP($C$7,Servant!$B$5:$AD$29,18,FALSE)+($F8+($F8*0.5*($D8-1)))*(V$3-1)</f>
        <v>2239.2215999999999</v>
      </c>
      <c r="W8" s="133">
        <f>VLOOKUP($C$7,Servant!$B$5:$AD$29,18,FALSE)+($F8+($F8*0.5*($D8-1)))*(W$3-1)</f>
        <v>2385.6660000000002</v>
      </c>
      <c r="X8" s="133">
        <f>VLOOKUP($C$7,Servant!$B$5:$AD$29,18,FALSE)+($F8+($F8*0.5*($D8-1)))*(X$3-1)</f>
        <v>2532.1104</v>
      </c>
      <c r="Y8" s="133">
        <f>VLOOKUP($C$7,Servant!$B$5:$AD$29,18,FALSE)+($F8+($F8*0.5*($D8-1)))*(Y$3-1)</f>
        <v>2678.5547999999999</v>
      </c>
      <c r="Z8" s="133">
        <f>VLOOKUP($C$7,Servant!$B$5:$AD$29,18,FALSE)+($F8+($F8*0.5*($D8-1)))*(Z$3-1)</f>
        <v>2824.9992000000002</v>
      </c>
      <c r="AA8" s="133">
        <f>VLOOKUP($C$7,Servant!$B$5:$AD$29,18,FALSE)+($F8+($F8*0.5*($D8-1)))*(AA$3-1)</f>
        <v>2971.4436000000001</v>
      </c>
      <c r="AB8" s="133">
        <f>VLOOKUP($C$7,Servant!$B$5:$AD$29,18,FALSE)+($F8+($F8*0.5*($D8-1)))*(AB$3-1)</f>
        <v>3117.8879999999999</v>
      </c>
      <c r="AC8" s="133">
        <f>VLOOKUP($C$7,Servant!$B$5:$AD$29,18,FALSE)+($F8+($F8*0.5*($D8-1)))*(AC$3-1)</f>
        <v>3264.3324000000002</v>
      </c>
      <c r="AD8" s="133">
        <f>VLOOKUP($C$7,Servant!$B$5:$AD$29,18,FALSE)+($F8+($F8*0.5*($D8-1)))*(AD$3-1)</f>
        <v>3410.7768000000001</v>
      </c>
      <c r="AE8" s="133">
        <f>VLOOKUP($C$7,Servant!$B$5:$AD$29,18,FALSE)+($F8+($F8*0.5*($D8-1)))*(AE$3-1)</f>
        <v>3557.2212</v>
      </c>
      <c r="AF8" s="133">
        <f>VLOOKUP($C$7,Servant!$B$5:$AD$29,18,FALSE)+($F8+($F8*0.5*($D8-1)))*(AF$3-1)</f>
        <v>3703.6656000000003</v>
      </c>
      <c r="AG8" s="133">
        <f>VLOOKUP($C$7,Servant!$B$5:$AD$29,18,FALSE)+($F8+($F8*0.5*($D8-1)))*(AG$3-1)</f>
        <v>3850.11</v>
      </c>
      <c r="AH8" s="133">
        <f>VLOOKUP($C$7,Servant!$B$5:$AD$29,18,FALSE)+($F8+($F8*0.5*($D8-1)))*(AH$3-1)</f>
        <v>3996.5544</v>
      </c>
      <c r="AI8" s="133">
        <f>VLOOKUP($C$7,Servant!$B$5:$AD$29,18,FALSE)+($F8+($F8*0.5*($D8-1)))*(AI$3-1)</f>
        <v>4142.9987999999994</v>
      </c>
      <c r="AJ8" s="133">
        <f>VLOOKUP($C$7,Servant!$B$5:$AD$29,18,FALSE)+($F8+($F8*0.5*($D8-1)))*(AJ$3-1)</f>
        <v>4289.4431999999997</v>
      </c>
      <c r="AK8" s="133">
        <f>VLOOKUP($C$7,Servant!$B$5:$AD$29,18,FALSE)+($F8+($F8*0.5*($D8-1)))*(AK$3-1)</f>
        <v>4435.8876</v>
      </c>
    </row>
    <row r="9" spans="2:37" x14ac:dyDescent="0.3">
      <c r="B9" s="309"/>
      <c r="C9" s="314"/>
      <c r="D9" s="134">
        <v>3</v>
      </c>
      <c r="E9" s="132">
        <f>VLOOKUP($C$7,ServantLevelUPdStatus!$B$5:$AD$29,6,FALSE)+(VLOOKUP($C$7,ServantLevelUPdStatus!$B$5:$AD$29,6,FALSE)*0.5*(Simulator_AttkPow!$D9-1))</f>
        <v>195.25919999999999</v>
      </c>
      <c r="F9" s="135">
        <f>F8</f>
        <v>97.629599999999996</v>
      </c>
      <c r="H9" s="133">
        <f>VLOOKUP($C$7,Servant!$B$5:$AD$29,18,FALSE)+($F9+($F9*0.5*($D9-1)))*(H$3-1)</f>
        <v>189</v>
      </c>
      <c r="I9" s="133">
        <f>VLOOKUP($C$7,Servant!$B$5:$AD$29,18,FALSE)+($F9+($F9*0.5*($D9-1)))*(I$3-1)</f>
        <v>384.25919999999996</v>
      </c>
      <c r="J9" s="133">
        <f>VLOOKUP($C$7,Servant!$B$5:$AD$29,18,FALSE)+($F9+($F9*0.5*($D9-1)))*(J$3-1)</f>
        <v>579.51839999999993</v>
      </c>
      <c r="K9" s="133">
        <f>VLOOKUP($C$7,Servant!$B$5:$AD$29,18,FALSE)+($F9+($F9*0.5*($D9-1)))*(K$3-1)</f>
        <v>774.77760000000001</v>
      </c>
      <c r="L9" s="133">
        <f>VLOOKUP($C$7,Servant!$B$5:$AD$29,18,FALSE)+($F9+($F9*0.5*($D9-1)))*(L$3-1)</f>
        <v>970.03679999999997</v>
      </c>
      <c r="M9" s="133">
        <f>VLOOKUP($C$7,Servant!$B$5:$AD$29,18,FALSE)+($F9+($F9*0.5*($D9-1)))*(M$3-1)</f>
        <v>1165.2959999999998</v>
      </c>
      <c r="N9" s="133">
        <f>VLOOKUP($C$7,Servant!$B$5:$AD$29,18,FALSE)+($F9+($F9*0.5*($D9-1)))*(N$3-1)</f>
        <v>1360.5552</v>
      </c>
      <c r="O9" s="133">
        <f>VLOOKUP($C$7,Servant!$B$5:$AD$29,18,FALSE)+($F9+($F9*0.5*($D9-1)))*(O$3-1)</f>
        <v>1555.8144</v>
      </c>
      <c r="P9" s="133">
        <f>VLOOKUP($C$7,Servant!$B$5:$AD$29,18,FALSE)+($F9+($F9*0.5*($D9-1)))*(P$3-1)</f>
        <v>1751.0735999999999</v>
      </c>
      <c r="Q9" s="133">
        <f>VLOOKUP($C$7,Servant!$B$5:$AD$29,18,FALSE)+($F9+($F9*0.5*($D9-1)))*(Q$3-1)</f>
        <v>1946.3327999999999</v>
      </c>
      <c r="R9" s="133">
        <f>VLOOKUP($C$7,Servant!$B$5:$AD$29,18,FALSE)+($F9+($F9*0.5*($D9-1)))*(R$3-1)</f>
        <v>2141.5919999999996</v>
      </c>
      <c r="S9" s="133">
        <f>VLOOKUP($C$7,Servant!$B$5:$AD$29,18,FALSE)+($F9+($F9*0.5*($D9-1)))*(S$3-1)</f>
        <v>2336.8512000000001</v>
      </c>
      <c r="T9" s="133">
        <f>VLOOKUP($C$7,Servant!$B$5:$AD$29,18,FALSE)+($F9+($F9*0.5*($D9-1)))*(T$3-1)</f>
        <v>2532.1104</v>
      </c>
      <c r="U9" s="133">
        <f>VLOOKUP($C$7,Servant!$B$5:$AD$29,18,FALSE)+($F9+($F9*0.5*($D9-1)))*(U$3-1)</f>
        <v>2727.3696</v>
      </c>
      <c r="V9" s="133">
        <f>VLOOKUP($C$7,Servant!$B$5:$AD$29,18,FALSE)+($F9+($F9*0.5*($D9-1)))*(V$3-1)</f>
        <v>2922.6288</v>
      </c>
      <c r="W9" s="133">
        <f>VLOOKUP($C$7,Servant!$B$5:$AD$29,18,FALSE)+($F9+($F9*0.5*($D9-1)))*(W$3-1)</f>
        <v>3117.8879999999999</v>
      </c>
      <c r="X9" s="133">
        <f>VLOOKUP($C$7,Servant!$B$5:$AD$29,18,FALSE)+($F9+($F9*0.5*($D9-1)))*(X$3-1)</f>
        <v>3313.1471999999999</v>
      </c>
      <c r="Y9" s="133">
        <f>VLOOKUP($C$7,Servant!$B$5:$AD$29,18,FALSE)+($F9+($F9*0.5*($D9-1)))*(Y$3-1)</f>
        <v>3508.4063999999998</v>
      </c>
      <c r="Z9" s="133">
        <f>VLOOKUP($C$7,Servant!$B$5:$AD$29,18,FALSE)+($F9+($F9*0.5*($D9-1)))*(Z$3-1)</f>
        <v>3703.6655999999998</v>
      </c>
      <c r="AA9" s="133">
        <f>VLOOKUP($C$7,Servant!$B$5:$AD$29,18,FALSE)+($F9+($F9*0.5*($D9-1)))*(AA$3-1)</f>
        <v>3898.9247999999998</v>
      </c>
      <c r="AB9" s="133">
        <f>VLOOKUP($C$7,Servant!$B$5:$AD$29,18,FALSE)+($F9+($F9*0.5*($D9-1)))*(AB$3-1)</f>
        <v>4094.1839999999997</v>
      </c>
      <c r="AC9" s="133">
        <f>VLOOKUP($C$7,Servant!$B$5:$AD$29,18,FALSE)+($F9+($F9*0.5*($D9-1)))*(AC$3-1)</f>
        <v>4289.4431999999997</v>
      </c>
      <c r="AD9" s="133">
        <f>VLOOKUP($C$7,Servant!$B$5:$AD$29,18,FALSE)+($F9+($F9*0.5*($D9-1)))*(AD$3-1)</f>
        <v>4484.7024000000001</v>
      </c>
      <c r="AE9" s="133">
        <f>VLOOKUP($C$7,Servant!$B$5:$AD$29,18,FALSE)+($F9+($F9*0.5*($D9-1)))*(AE$3-1)</f>
        <v>4679.9615999999996</v>
      </c>
      <c r="AF9" s="133">
        <f>VLOOKUP($C$7,Servant!$B$5:$AD$29,18,FALSE)+($F9+($F9*0.5*($D9-1)))*(AF$3-1)</f>
        <v>4875.2208000000001</v>
      </c>
      <c r="AG9" s="133">
        <f>VLOOKUP($C$7,Servant!$B$5:$AD$29,18,FALSE)+($F9+($F9*0.5*($D9-1)))*(AG$3-1)</f>
        <v>5070.4799999999996</v>
      </c>
      <c r="AH9" s="133">
        <f>VLOOKUP($C$7,Servant!$B$5:$AD$29,18,FALSE)+($F9+($F9*0.5*($D9-1)))*(AH$3-1)</f>
        <v>5265.7392</v>
      </c>
      <c r="AI9" s="133">
        <f>VLOOKUP($C$7,Servant!$B$5:$AD$29,18,FALSE)+($F9+($F9*0.5*($D9-1)))*(AI$3-1)</f>
        <v>5460.9983999999995</v>
      </c>
      <c r="AJ9" s="133">
        <f>VLOOKUP($C$7,Servant!$B$5:$AD$29,18,FALSE)+($F9+($F9*0.5*($D9-1)))*(AJ$3-1)</f>
        <v>5656.2575999999999</v>
      </c>
      <c r="AK9" s="133">
        <f>VLOOKUP($C$7,Servant!$B$5:$AD$29,18,FALSE)+($F9+($F9*0.5*($D9-1)))*(AK$3-1)</f>
        <v>5851.5167999999994</v>
      </c>
    </row>
    <row r="10" spans="2:37" x14ac:dyDescent="0.3">
      <c r="B10" s="309"/>
      <c r="C10" s="315" t="s">
        <v>277</v>
      </c>
      <c r="D10" s="125">
        <v>1</v>
      </c>
      <c r="E10" s="117">
        <f>VLOOKUP($C$10,ServantLevelUPdStatus!$B$5:$AD$29,6,FALSE)+(VLOOKUP($C$10,ServantLevelUPdStatus!$B$5:$AD$29,6,FALSE)*0.5*(Simulator_AttkPow!$D10-1))</f>
        <v>94.204000000000008</v>
      </c>
      <c r="F10" s="117">
        <f>VLOOKUP($C$10,ServantLevelUPdStatus!$B$5:$AD$29,6,FALSE)</f>
        <v>94.204000000000008</v>
      </c>
      <c r="H10" s="112">
        <f>VLOOKUP($C$10,Servant!$B$5:$AD$29,18,FALSE)+($F10+($F10*0.5*($D10-1)))*(H$3-1)</f>
        <v>182</v>
      </c>
      <c r="I10" s="112">
        <f>VLOOKUP($C$10,Servant!$B$5:$AD$29,18,FALSE)+($F10+($F10*0.5*($D10-1)))*(I$3-1)</f>
        <v>276.20400000000001</v>
      </c>
      <c r="J10" s="112">
        <f>VLOOKUP($C$10,Servant!$B$5:$AD$29,18,FALSE)+($F10+($F10*0.5*($D10-1)))*(J$3-1)</f>
        <v>370.40800000000002</v>
      </c>
      <c r="K10" s="112">
        <f>VLOOKUP($C$10,Servant!$B$5:$AD$29,18,FALSE)+($F10+($F10*0.5*($D10-1)))*(K$3-1)</f>
        <v>464.61200000000002</v>
      </c>
      <c r="L10" s="112">
        <f>VLOOKUP($C$10,Servant!$B$5:$AD$29,18,FALSE)+($F10+($F10*0.5*($D10-1)))*(L$3-1)</f>
        <v>558.81600000000003</v>
      </c>
      <c r="M10" s="112">
        <f>VLOOKUP($C$10,Servant!$B$5:$AD$29,18,FALSE)+($F10+($F10*0.5*($D10-1)))*(M$3-1)</f>
        <v>653.02</v>
      </c>
      <c r="N10" s="112">
        <f>VLOOKUP($C$10,Servant!$B$5:$AD$29,18,FALSE)+($F10+($F10*0.5*($D10-1)))*(N$3-1)</f>
        <v>747.22400000000005</v>
      </c>
      <c r="O10" s="112">
        <f>VLOOKUP($C$10,Servant!$B$5:$AD$29,18,FALSE)+($F10+($F10*0.5*($D10-1)))*(O$3-1)</f>
        <v>841.42800000000011</v>
      </c>
      <c r="P10" s="112">
        <f>VLOOKUP($C$10,Servant!$B$5:$AD$29,18,FALSE)+($F10+($F10*0.5*($D10-1)))*(P$3-1)</f>
        <v>935.63200000000006</v>
      </c>
      <c r="Q10" s="112">
        <f>VLOOKUP($C$10,Servant!$B$5:$AD$29,18,FALSE)+($F10+($F10*0.5*($D10-1)))*(Q$3-1)</f>
        <v>1029.836</v>
      </c>
      <c r="R10" s="112">
        <f>VLOOKUP($C$10,Servant!$B$5:$AD$29,18,FALSE)+($F10+($F10*0.5*($D10-1)))*(R$3-1)</f>
        <v>1124.04</v>
      </c>
      <c r="S10" s="112">
        <f>VLOOKUP($C$10,Servant!$B$5:$AD$29,18,FALSE)+($F10+($F10*0.5*($D10-1)))*(S$3-1)</f>
        <v>1218.2440000000001</v>
      </c>
      <c r="T10" s="112">
        <f>VLOOKUP($C$10,Servant!$B$5:$AD$29,18,FALSE)+($F10+($F10*0.5*($D10-1)))*(T$3-1)</f>
        <v>1312.4480000000001</v>
      </c>
      <c r="U10" s="112">
        <f>VLOOKUP($C$10,Servant!$B$5:$AD$29,18,FALSE)+($F10+($F10*0.5*($D10-1)))*(U$3-1)</f>
        <v>1406.652</v>
      </c>
      <c r="V10" s="112">
        <f>VLOOKUP($C$10,Servant!$B$5:$AD$29,18,FALSE)+($F10+($F10*0.5*($D10-1)))*(V$3-1)</f>
        <v>1500.8560000000002</v>
      </c>
      <c r="W10" s="112">
        <f>VLOOKUP($C$10,Servant!$B$5:$AD$29,18,FALSE)+($F10+($F10*0.5*($D10-1)))*(W$3-1)</f>
        <v>1595.0600000000002</v>
      </c>
      <c r="X10" s="112">
        <f>VLOOKUP($C$10,Servant!$B$5:$AD$29,18,FALSE)+($F10+($F10*0.5*($D10-1)))*(X$3-1)</f>
        <v>1689.2640000000001</v>
      </c>
      <c r="Y10" s="112">
        <f>VLOOKUP($C$10,Servant!$B$5:$AD$29,18,FALSE)+($F10+($F10*0.5*($D10-1)))*(Y$3-1)</f>
        <v>1783.4680000000001</v>
      </c>
      <c r="Z10" s="112">
        <f>VLOOKUP($C$10,Servant!$B$5:$AD$29,18,FALSE)+($F10+($F10*0.5*($D10-1)))*(Z$3-1)</f>
        <v>1877.672</v>
      </c>
      <c r="AA10" s="112">
        <f>VLOOKUP($C$10,Servant!$B$5:$AD$29,18,FALSE)+($F10+($F10*0.5*($D10-1)))*(AA$3-1)</f>
        <v>1971.8760000000002</v>
      </c>
      <c r="AB10" s="112">
        <f>VLOOKUP($C$10,Servant!$B$5:$AD$29,18,FALSE)+($F10+($F10*0.5*($D10-1)))*(AB$3-1)</f>
        <v>2066.08</v>
      </c>
      <c r="AC10" s="112">
        <f>VLOOKUP($C$10,Servant!$B$5:$AD$29,18,FALSE)+($F10+($F10*0.5*($D10-1)))*(AC$3-1)</f>
        <v>2160.2840000000001</v>
      </c>
      <c r="AD10" s="112">
        <f>VLOOKUP($C$10,Servant!$B$5:$AD$29,18,FALSE)+($F10+($F10*0.5*($D10-1)))*(AD$3-1)</f>
        <v>2254.4880000000003</v>
      </c>
      <c r="AE10" s="112">
        <f>VLOOKUP($C$10,Servant!$B$5:$AD$29,18,FALSE)+($F10+($F10*0.5*($D10-1)))*(AE$3-1)</f>
        <v>2348.692</v>
      </c>
      <c r="AF10" s="112">
        <f>VLOOKUP($C$10,Servant!$B$5:$AD$29,18,FALSE)+($F10+($F10*0.5*($D10-1)))*(AF$3-1)</f>
        <v>2442.8960000000002</v>
      </c>
      <c r="AG10" s="112">
        <f>VLOOKUP($C$10,Servant!$B$5:$AD$29,18,FALSE)+($F10+($F10*0.5*($D10-1)))*(AG$3-1)</f>
        <v>2537.1000000000004</v>
      </c>
      <c r="AH10" s="112">
        <f>VLOOKUP($C$10,Servant!$B$5:$AD$29,18,FALSE)+($F10+($F10*0.5*($D10-1)))*(AH$3-1)</f>
        <v>2631.3040000000001</v>
      </c>
      <c r="AI10" s="112">
        <f>VLOOKUP($C$10,Servant!$B$5:$AD$29,18,FALSE)+($F10+($F10*0.5*($D10-1)))*(AI$3-1)</f>
        <v>2725.5080000000003</v>
      </c>
      <c r="AJ10" s="112">
        <f>VLOOKUP($C$10,Servant!$B$5:$AD$29,18,FALSE)+($F10+($F10*0.5*($D10-1)))*(AJ$3-1)</f>
        <v>2819.7120000000004</v>
      </c>
      <c r="AK10" s="112">
        <f>VLOOKUP($C$10,Servant!$B$5:$AD$29,18,FALSE)+($F10+($F10*0.5*($D10-1)))*(AK$3-1)</f>
        <v>2913.9160000000002</v>
      </c>
    </row>
    <row r="11" spans="2:37" x14ac:dyDescent="0.3">
      <c r="B11" s="309"/>
      <c r="C11" s="316"/>
      <c r="D11" s="126">
        <v>2</v>
      </c>
      <c r="E11" s="117">
        <f>VLOOKUP($C$10,ServantLevelUPdStatus!$B$5:$AD$29,6,FALSE)+(VLOOKUP($C$10,ServantLevelUPdStatus!$B$5:$AD$29,6,FALSE)*0.5*(Simulator_AttkPow!$D11-1))</f>
        <v>141.30600000000001</v>
      </c>
      <c r="F11" s="118">
        <f>F10</f>
        <v>94.204000000000008</v>
      </c>
      <c r="H11" s="112">
        <f>VLOOKUP($C$10,Servant!$B$5:$AD$29,18,FALSE)+($F11+($F11*0.5*($D11-1)))*(H$3-1)</f>
        <v>182</v>
      </c>
      <c r="I11" s="112">
        <f>VLOOKUP($C$10,Servant!$B$5:$AD$29,18,FALSE)+($F11+($F11*0.5*($D11-1)))*(I$3-1)</f>
        <v>323.30600000000004</v>
      </c>
      <c r="J11" s="112">
        <f>VLOOKUP($C$10,Servant!$B$5:$AD$29,18,FALSE)+($F11+($F11*0.5*($D11-1)))*(J$3-1)</f>
        <v>464.61200000000002</v>
      </c>
      <c r="K11" s="112">
        <f>VLOOKUP($C$10,Servant!$B$5:$AD$29,18,FALSE)+($F11+($F11*0.5*($D11-1)))*(K$3-1)</f>
        <v>605.91800000000001</v>
      </c>
      <c r="L11" s="112">
        <f>VLOOKUP($C$10,Servant!$B$5:$AD$29,18,FALSE)+($F11+($F11*0.5*($D11-1)))*(L$3-1)</f>
        <v>747.22400000000005</v>
      </c>
      <c r="M11" s="112">
        <f>VLOOKUP($C$10,Servant!$B$5:$AD$29,18,FALSE)+($F11+($F11*0.5*($D11-1)))*(M$3-1)</f>
        <v>888.53000000000009</v>
      </c>
      <c r="N11" s="112">
        <f>VLOOKUP($C$10,Servant!$B$5:$AD$29,18,FALSE)+($F11+($F11*0.5*($D11-1)))*(N$3-1)</f>
        <v>1029.836</v>
      </c>
      <c r="O11" s="112">
        <f>VLOOKUP($C$10,Servant!$B$5:$AD$29,18,FALSE)+($F11+($F11*0.5*($D11-1)))*(O$3-1)</f>
        <v>1171.1420000000001</v>
      </c>
      <c r="P11" s="112">
        <f>VLOOKUP($C$10,Servant!$B$5:$AD$29,18,FALSE)+($F11+($F11*0.5*($D11-1)))*(P$3-1)</f>
        <v>1312.4480000000001</v>
      </c>
      <c r="Q11" s="112">
        <f>VLOOKUP($C$10,Servant!$B$5:$AD$29,18,FALSE)+($F11+($F11*0.5*($D11-1)))*(Q$3-1)</f>
        <v>1453.7540000000001</v>
      </c>
      <c r="R11" s="112">
        <f>VLOOKUP($C$10,Servant!$B$5:$AD$29,18,FALSE)+($F11+($F11*0.5*($D11-1)))*(R$3-1)</f>
        <v>1595.0600000000002</v>
      </c>
      <c r="S11" s="112">
        <f>VLOOKUP($C$10,Servant!$B$5:$AD$29,18,FALSE)+($F11+($F11*0.5*($D11-1)))*(S$3-1)</f>
        <v>1736.3660000000002</v>
      </c>
      <c r="T11" s="112">
        <f>VLOOKUP($C$10,Servant!$B$5:$AD$29,18,FALSE)+($F11+($F11*0.5*($D11-1)))*(T$3-1)</f>
        <v>1877.672</v>
      </c>
      <c r="U11" s="112">
        <f>VLOOKUP($C$10,Servant!$B$5:$AD$29,18,FALSE)+($F11+($F11*0.5*($D11-1)))*(U$3-1)</f>
        <v>2018.9780000000001</v>
      </c>
      <c r="V11" s="112">
        <f>VLOOKUP($C$10,Servant!$B$5:$AD$29,18,FALSE)+($F11+($F11*0.5*($D11-1)))*(V$3-1)</f>
        <v>2160.2840000000001</v>
      </c>
      <c r="W11" s="112">
        <f>VLOOKUP($C$10,Servant!$B$5:$AD$29,18,FALSE)+($F11+($F11*0.5*($D11-1)))*(W$3-1)</f>
        <v>2301.59</v>
      </c>
      <c r="X11" s="112">
        <f>VLOOKUP($C$10,Servant!$B$5:$AD$29,18,FALSE)+($F11+($F11*0.5*($D11-1)))*(X$3-1)</f>
        <v>2442.8960000000002</v>
      </c>
      <c r="Y11" s="112">
        <f>VLOOKUP($C$10,Servant!$B$5:$AD$29,18,FALSE)+($F11+($F11*0.5*($D11-1)))*(Y$3-1)</f>
        <v>2584.2020000000002</v>
      </c>
      <c r="Z11" s="112">
        <f>VLOOKUP($C$10,Servant!$B$5:$AD$29,18,FALSE)+($F11+($F11*0.5*($D11-1)))*(Z$3-1)</f>
        <v>2725.5080000000003</v>
      </c>
      <c r="AA11" s="112">
        <f>VLOOKUP($C$10,Servant!$B$5:$AD$29,18,FALSE)+($F11+($F11*0.5*($D11-1)))*(AA$3-1)</f>
        <v>2866.8140000000003</v>
      </c>
      <c r="AB11" s="112">
        <f>VLOOKUP($C$10,Servant!$B$5:$AD$29,18,FALSE)+($F11+($F11*0.5*($D11-1)))*(AB$3-1)</f>
        <v>3008.1200000000003</v>
      </c>
      <c r="AC11" s="112">
        <f>VLOOKUP($C$10,Servant!$B$5:$AD$29,18,FALSE)+($F11+($F11*0.5*($D11-1)))*(AC$3-1)</f>
        <v>3149.4260000000004</v>
      </c>
      <c r="AD11" s="112">
        <f>VLOOKUP($C$10,Servant!$B$5:$AD$29,18,FALSE)+($F11+($F11*0.5*($D11-1)))*(AD$3-1)</f>
        <v>3290.7320000000004</v>
      </c>
      <c r="AE11" s="112">
        <f>VLOOKUP($C$10,Servant!$B$5:$AD$29,18,FALSE)+($F11+($F11*0.5*($D11-1)))*(AE$3-1)</f>
        <v>3432.0380000000005</v>
      </c>
      <c r="AF11" s="112">
        <f>VLOOKUP($C$10,Servant!$B$5:$AD$29,18,FALSE)+($F11+($F11*0.5*($D11-1)))*(AF$3-1)</f>
        <v>3573.3440000000001</v>
      </c>
      <c r="AG11" s="112">
        <f>VLOOKUP($C$10,Servant!$B$5:$AD$29,18,FALSE)+($F11+($F11*0.5*($D11-1)))*(AG$3-1)</f>
        <v>3714.65</v>
      </c>
      <c r="AH11" s="112">
        <f>VLOOKUP($C$10,Servant!$B$5:$AD$29,18,FALSE)+($F11+($F11*0.5*($D11-1)))*(AH$3-1)</f>
        <v>3855.9560000000001</v>
      </c>
      <c r="AI11" s="112">
        <f>VLOOKUP($C$10,Servant!$B$5:$AD$29,18,FALSE)+($F11+($F11*0.5*($D11-1)))*(AI$3-1)</f>
        <v>3997.2620000000002</v>
      </c>
      <c r="AJ11" s="112">
        <f>VLOOKUP($C$10,Servant!$B$5:$AD$29,18,FALSE)+($F11+($F11*0.5*($D11-1)))*(AJ$3-1)</f>
        <v>4138.5680000000002</v>
      </c>
      <c r="AK11" s="112">
        <f>VLOOKUP($C$10,Servant!$B$5:$AD$29,18,FALSE)+($F11+($F11*0.5*($D11-1)))*(AK$3-1)</f>
        <v>4279.8740000000007</v>
      </c>
    </row>
    <row r="12" spans="2:37" x14ac:dyDescent="0.3">
      <c r="B12" s="309"/>
      <c r="C12" s="316"/>
      <c r="D12" s="126">
        <v>3</v>
      </c>
      <c r="E12" s="117">
        <f>VLOOKUP($C$10,ServantLevelUPdStatus!$B$5:$AD$29,6,FALSE)+(VLOOKUP($C$10,ServantLevelUPdStatus!$B$5:$AD$29,6,FALSE)*0.5*(Simulator_AttkPow!$D12-1))</f>
        <v>188.40800000000002</v>
      </c>
      <c r="F12" s="118">
        <f>F11</f>
        <v>94.204000000000008</v>
      </c>
      <c r="H12" s="112">
        <f>VLOOKUP($C$10,Servant!$B$5:$AD$29,18,FALSE)+($F12+($F12*0.5*($D12-1)))*(H$3-1)</f>
        <v>182</v>
      </c>
      <c r="I12" s="112">
        <f>VLOOKUP($C$10,Servant!$B$5:$AD$29,18,FALSE)+($F12+($F12*0.5*($D12-1)))*(I$3-1)</f>
        <v>370.40800000000002</v>
      </c>
      <c r="J12" s="112">
        <f>VLOOKUP($C$10,Servant!$B$5:$AD$29,18,FALSE)+($F12+($F12*0.5*($D12-1)))*(J$3-1)</f>
        <v>558.81600000000003</v>
      </c>
      <c r="K12" s="112">
        <f>VLOOKUP($C$10,Servant!$B$5:$AD$29,18,FALSE)+($F12+($F12*0.5*($D12-1)))*(K$3-1)</f>
        <v>747.22400000000005</v>
      </c>
      <c r="L12" s="112">
        <f>VLOOKUP($C$10,Servant!$B$5:$AD$29,18,FALSE)+($F12+($F12*0.5*($D12-1)))*(L$3-1)</f>
        <v>935.63200000000006</v>
      </c>
      <c r="M12" s="112">
        <f>VLOOKUP($C$10,Servant!$B$5:$AD$29,18,FALSE)+($F12+($F12*0.5*($D12-1)))*(M$3-1)</f>
        <v>1124.04</v>
      </c>
      <c r="N12" s="112">
        <f>VLOOKUP($C$10,Servant!$B$5:$AD$29,18,FALSE)+($F12+($F12*0.5*($D12-1)))*(N$3-1)</f>
        <v>1312.4480000000001</v>
      </c>
      <c r="O12" s="112">
        <f>VLOOKUP($C$10,Servant!$B$5:$AD$29,18,FALSE)+($F12+($F12*0.5*($D12-1)))*(O$3-1)</f>
        <v>1500.8560000000002</v>
      </c>
      <c r="P12" s="112">
        <f>VLOOKUP($C$10,Servant!$B$5:$AD$29,18,FALSE)+($F12+($F12*0.5*($D12-1)))*(P$3-1)</f>
        <v>1689.2640000000001</v>
      </c>
      <c r="Q12" s="112">
        <f>VLOOKUP($C$10,Servant!$B$5:$AD$29,18,FALSE)+($F12+($F12*0.5*($D12-1)))*(Q$3-1)</f>
        <v>1877.672</v>
      </c>
      <c r="R12" s="112">
        <f>VLOOKUP($C$10,Servant!$B$5:$AD$29,18,FALSE)+($F12+($F12*0.5*($D12-1)))*(R$3-1)</f>
        <v>2066.08</v>
      </c>
      <c r="S12" s="112">
        <f>VLOOKUP($C$10,Servant!$B$5:$AD$29,18,FALSE)+($F12+($F12*0.5*($D12-1)))*(S$3-1)</f>
        <v>2254.4880000000003</v>
      </c>
      <c r="T12" s="112">
        <f>VLOOKUP($C$10,Servant!$B$5:$AD$29,18,FALSE)+($F12+($F12*0.5*($D12-1)))*(T$3-1)</f>
        <v>2442.8960000000002</v>
      </c>
      <c r="U12" s="112">
        <f>VLOOKUP($C$10,Servant!$B$5:$AD$29,18,FALSE)+($F12+($F12*0.5*($D12-1)))*(U$3-1)</f>
        <v>2631.3040000000001</v>
      </c>
      <c r="V12" s="112">
        <f>VLOOKUP($C$10,Servant!$B$5:$AD$29,18,FALSE)+($F12+($F12*0.5*($D12-1)))*(V$3-1)</f>
        <v>2819.7120000000004</v>
      </c>
      <c r="W12" s="112">
        <f>VLOOKUP($C$10,Servant!$B$5:$AD$29,18,FALSE)+($F12+($F12*0.5*($D12-1)))*(W$3-1)</f>
        <v>3008.1200000000003</v>
      </c>
      <c r="X12" s="112">
        <f>VLOOKUP($C$10,Servant!$B$5:$AD$29,18,FALSE)+($F12+($F12*0.5*($D12-1)))*(X$3-1)</f>
        <v>3196.5280000000002</v>
      </c>
      <c r="Y12" s="112">
        <f>VLOOKUP($C$10,Servant!$B$5:$AD$29,18,FALSE)+($F12+($F12*0.5*($D12-1)))*(Y$3-1)</f>
        <v>3384.9360000000001</v>
      </c>
      <c r="Z12" s="112">
        <f>VLOOKUP($C$10,Servant!$B$5:$AD$29,18,FALSE)+($F12+($F12*0.5*($D12-1)))*(Z$3-1)</f>
        <v>3573.3440000000001</v>
      </c>
      <c r="AA12" s="112">
        <f>VLOOKUP($C$10,Servant!$B$5:$AD$29,18,FALSE)+($F12+($F12*0.5*($D12-1)))*(AA$3-1)</f>
        <v>3761.7520000000004</v>
      </c>
      <c r="AB12" s="112">
        <f>VLOOKUP($C$10,Servant!$B$5:$AD$29,18,FALSE)+($F12+($F12*0.5*($D12-1)))*(AB$3-1)</f>
        <v>3950.1600000000003</v>
      </c>
      <c r="AC12" s="112">
        <f>VLOOKUP($C$10,Servant!$B$5:$AD$29,18,FALSE)+($F12+($F12*0.5*($D12-1)))*(AC$3-1)</f>
        <v>4138.5680000000002</v>
      </c>
      <c r="AD12" s="112">
        <f>VLOOKUP($C$10,Servant!$B$5:$AD$29,18,FALSE)+($F12+($F12*0.5*($D12-1)))*(AD$3-1)</f>
        <v>4326.9760000000006</v>
      </c>
      <c r="AE12" s="112">
        <f>VLOOKUP($C$10,Servant!$B$5:$AD$29,18,FALSE)+($F12+($F12*0.5*($D12-1)))*(AE$3-1)</f>
        <v>4515.384</v>
      </c>
      <c r="AF12" s="112">
        <f>VLOOKUP($C$10,Servant!$B$5:$AD$29,18,FALSE)+($F12+($F12*0.5*($D12-1)))*(AF$3-1)</f>
        <v>4703.7920000000004</v>
      </c>
      <c r="AG12" s="112">
        <f>VLOOKUP($C$10,Servant!$B$5:$AD$29,18,FALSE)+($F12+($F12*0.5*($D12-1)))*(AG$3-1)</f>
        <v>4892.2000000000007</v>
      </c>
      <c r="AH12" s="112">
        <f>VLOOKUP($C$10,Servant!$B$5:$AD$29,18,FALSE)+($F12+($F12*0.5*($D12-1)))*(AH$3-1)</f>
        <v>5080.6080000000002</v>
      </c>
      <c r="AI12" s="112">
        <f>VLOOKUP($C$10,Servant!$B$5:$AD$29,18,FALSE)+($F12+($F12*0.5*($D12-1)))*(AI$3-1)</f>
        <v>5269.0160000000005</v>
      </c>
      <c r="AJ12" s="112">
        <f>VLOOKUP($C$10,Servant!$B$5:$AD$29,18,FALSE)+($F12+($F12*0.5*($D12-1)))*(AJ$3-1)</f>
        <v>5457.4240000000009</v>
      </c>
      <c r="AK12" s="112">
        <f>VLOOKUP($C$10,Servant!$B$5:$AD$29,18,FALSE)+($F12+($F12*0.5*($D12-1)))*(AK$3-1)</f>
        <v>5645.8320000000003</v>
      </c>
    </row>
    <row r="13" spans="2:37" x14ac:dyDescent="0.3">
      <c r="B13" s="309"/>
      <c r="C13" s="313" t="s">
        <v>299</v>
      </c>
      <c r="D13" s="131">
        <v>1</v>
      </c>
      <c r="E13" s="132">
        <f>VLOOKUP($C$13,ServantLevelUPdStatus!$B$5:$AD$29,6,FALSE)+(VLOOKUP($C$13,ServantLevelUPdStatus!$B$5:$AD$29,6,FALSE)*0.5*(Simulator_AttkPow!$D13-1))</f>
        <v>89.065600000000003</v>
      </c>
      <c r="F13" s="132">
        <f>VLOOKUP($C$13,ServantLevelUPdStatus!$B$5:$AD$29,6,FALSE)</f>
        <v>89.065600000000003</v>
      </c>
      <c r="H13" s="133">
        <f>VLOOKUP($C$13,Servant!$B$5:$AD$29,18,FALSE)+($F13+($F13*0.5*($D13-1)))*(H$3-1)</f>
        <v>172</v>
      </c>
      <c r="I13" s="133">
        <f>VLOOKUP($C$13,Servant!$B$5:$AD$29,18,FALSE)+($F13+($F13*0.5*($D13-1)))*(I$3-1)</f>
        <v>261.06560000000002</v>
      </c>
      <c r="J13" s="133">
        <f>VLOOKUP($C$13,Servant!$B$5:$AD$29,18,FALSE)+($F13+($F13*0.5*($D13-1)))*(J$3-1)</f>
        <v>350.13120000000004</v>
      </c>
      <c r="K13" s="133">
        <f>VLOOKUP($C$13,Servant!$B$5:$AD$29,18,FALSE)+($F13+($F13*0.5*($D13-1)))*(K$3-1)</f>
        <v>439.1968</v>
      </c>
      <c r="L13" s="133">
        <f>VLOOKUP($C$13,Servant!$B$5:$AD$29,18,FALSE)+($F13+($F13*0.5*($D13-1)))*(L$3-1)</f>
        <v>528.26240000000007</v>
      </c>
      <c r="M13" s="133">
        <f>VLOOKUP($C$13,Servant!$B$5:$AD$29,18,FALSE)+($F13+($F13*0.5*($D13-1)))*(M$3-1)</f>
        <v>617.32799999999997</v>
      </c>
      <c r="N13" s="133">
        <f>VLOOKUP($C$13,Servant!$B$5:$AD$29,18,FALSE)+($F13+($F13*0.5*($D13-1)))*(N$3-1)</f>
        <v>706.39359999999999</v>
      </c>
      <c r="O13" s="133">
        <f>VLOOKUP($C$13,Servant!$B$5:$AD$29,18,FALSE)+($F13+($F13*0.5*($D13-1)))*(O$3-1)</f>
        <v>795.45920000000001</v>
      </c>
      <c r="P13" s="133">
        <f>VLOOKUP($C$13,Servant!$B$5:$AD$29,18,FALSE)+($F13+($F13*0.5*($D13-1)))*(P$3-1)</f>
        <v>884.52480000000003</v>
      </c>
      <c r="Q13" s="133">
        <f>VLOOKUP($C$13,Servant!$B$5:$AD$29,18,FALSE)+($F13+($F13*0.5*($D13-1)))*(Q$3-1)</f>
        <v>973.59040000000005</v>
      </c>
      <c r="R13" s="133">
        <f>VLOOKUP($C$13,Servant!$B$5:$AD$29,18,FALSE)+($F13+($F13*0.5*($D13-1)))*(R$3-1)</f>
        <v>1062.6559999999999</v>
      </c>
      <c r="S13" s="133">
        <f>VLOOKUP($C$13,Servant!$B$5:$AD$29,18,FALSE)+($F13+($F13*0.5*($D13-1)))*(S$3-1)</f>
        <v>1151.7216000000001</v>
      </c>
      <c r="T13" s="133">
        <f>VLOOKUP($C$13,Servant!$B$5:$AD$29,18,FALSE)+($F13+($F13*0.5*($D13-1)))*(T$3-1)</f>
        <v>1240.7872</v>
      </c>
      <c r="U13" s="133">
        <f>VLOOKUP($C$13,Servant!$B$5:$AD$29,18,FALSE)+($F13+($F13*0.5*($D13-1)))*(U$3-1)</f>
        <v>1329.8528000000001</v>
      </c>
      <c r="V13" s="133">
        <f>VLOOKUP($C$13,Servant!$B$5:$AD$29,18,FALSE)+($F13+($F13*0.5*($D13-1)))*(V$3-1)</f>
        <v>1418.9184</v>
      </c>
      <c r="W13" s="133">
        <f>VLOOKUP($C$13,Servant!$B$5:$AD$29,18,FALSE)+($F13+($F13*0.5*($D13-1)))*(W$3-1)</f>
        <v>1507.9840000000002</v>
      </c>
      <c r="X13" s="133">
        <f>VLOOKUP($C$13,Servant!$B$5:$AD$29,18,FALSE)+($F13+($F13*0.5*($D13-1)))*(X$3-1)</f>
        <v>1597.0496000000001</v>
      </c>
      <c r="Y13" s="133">
        <f>VLOOKUP($C$13,Servant!$B$5:$AD$29,18,FALSE)+($F13+($F13*0.5*($D13-1)))*(Y$3-1)</f>
        <v>1686.1152</v>
      </c>
      <c r="Z13" s="133">
        <f>VLOOKUP($C$13,Servant!$B$5:$AD$29,18,FALSE)+($F13+($F13*0.5*($D13-1)))*(Z$3-1)</f>
        <v>1775.1808000000001</v>
      </c>
      <c r="AA13" s="133">
        <f>VLOOKUP($C$13,Servant!$B$5:$AD$29,18,FALSE)+($F13+($F13*0.5*($D13-1)))*(AA$3-1)</f>
        <v>1864.2464</v>
      </c>
      <c r="AB13" s="133">
        <f>VLOOKUP($C$13,Servant!$B$5:$AD$29,18,FALSE)+($F13+($F13*0.5*($D13-1)))*(AB$3-1)</f>
        <v>1953.3120000000001</v>
      </c>
      <c r="AC13" s="133">
        <f>VLOOKUP($C$13,Servant!$B$5:$AD$29,18,FALSE)+($F13+($F13*0.5*($D13-1)))*(AC$3-1)</f>
        <v>2042.3776</v>
      </c>
      <c r="AD13" s="133">
        <f>VLOOKUP($C$13,Servant!$B$5:$AD$29,18,FALSE)+($F13+($F13*0.5*($D13-1)))*(AD$3-1)</f>
        <v>2131.4432000000002</v>
      </c>
      <c r="AE13" s="133">
        <f>VLOOKUP($C$13,Servant!$B$5:$AD$29,18,FALSE)+($F13+($F13*0.5*($D13-1)))*(AE$3-1)</f>
        <v>2220.5088000000001</v>
      </c>
      <c r="AF13" s="133">
        <f>VLOOKUP($C$13,Servant!$B$5:$AD$29,18,FALSE)+($F13+($F13*0.5*($D13-1)))*(AF$3-1)</f>
        <v>2309.5744</v>
      </c>
      <c r="AG13" s="133">
        <f>VLOOKUP($C$13,Servant!$B$5:$AD$29,18,FALSE)+($F13+($F13*0.5*($D13-1)))*(AG$3-1)</f>
        <v>2398.64</v>
      </c>
      <c r="AH13" s="133">
        <f>VLOOKUP($C$13,Servant!$B$5:$AD$29,18,FALSE)+($F13+($F13*0.5*($D13-1)))*(AH$3-1)</f>
        <v>2487.7056000000002</v>
      </c>
      <c r="AI13" s="133">
        <f>VLOOKUP($C$13,Servant!$B$5:$AD$29,18,FALSE)+($F13+($F13*0.5*($D13-1)))*(AI$3-1)</f>
        <v>2576.7712000000001</v>
      </c>
      <c r="AJ13" s="133">
        <f>VLOOKUP($C$13,Servant!$B$5:$AD$29,18,FALSE)+($F13+($F13*0.5*($D13-1)))*(AJ$3-1)</f>
        <v>2665.8368</v>
      </c>
      <c r="AK13" s="133">
        <f>VLOOKUP($C$13,Servant!$B$5:$AD$29,18,FALSE)+($F13+($F13*0.5*($D13-1)))*(AK$3-1)</f>
        <v>2754.9023999999999</v>
      </c>
    </row>
    <row r="14" spans="2:37" x14ac:dyDescent="0.3">
      <c r="B14" s="309"/>
      <c r="C14" s="314"/>
      <c r="D14" s="134">
        <v>2</v>
      </c>
      <c r="E14" s="132">
        <f>VLOOKUP($C$13,ServantLevelUPdStatus!$B$5:$AD$29,6,FALSE)+(VLOOKUP($C$13,ServantLevelUPdStatus!$B$5:$AD$29,6,FALSE)*0.5*(Simulator_AttkPow!$D14-1))</f>
        <v>133.5984</v>
      </c>
      <c r="F14" s="135">
        <f>F13</f>
        <v>89.065600000000003</v>
      </c>
      <c r="H14" s="133">
        <f>VLOOKUP($C$13,Servant!$B$5:$AD$29,18,FALSE)+($F14+($F14*0.5*($D14-1)))*(H$3-1)</f>
        <v>172</v>
      </c>
      <c r="I14" s="133">
        <f>VLOOKUP($C$13,Servant!$B$5:$AD$29,18,FALSE)+($F14+($F14*0.5*($D14-1)))*(I$3-1)</f>
        <v>305.59839999999997</v>
      </c>
      <c r="J14" s="133">
        <f>VLOOKUP($C$13,Servant!$B$5:$AD$29,18,FALSE)+($F14+($F14*0.5*($D14-1)))*(J$3-1)</f>
        <v>439.1968</v>
      </c>
      <c r="K14" s="133">
        <f>VLOOKUP($C$13,Servant!$B$5:$AD$29,18,FALSE)+($F14+($F14*0.5*($D14-1)))*(K$3-1)</f>
        <v>572.79520000000002</v>
      </c>
      <c r="L14" s="133">
        <f>VLOOKUP($C$13,Servant!$B$5:$AD$29,18,FALSE)+($F14+($F14*0.5*($D14-1)))*(L$3-1)</f>
        <v>706.39359999999999</v>
      </c>
      <c r="M14" s="133">
        <f>VLOOKUP($C$13,Servant!$B$5:$AD$29,18,FALSE)+($F14+($F14*0.5*($D14-1)))*(M$3-1)</f>
        <v>839.99199999999996</v>
      </c>
      <c r="N14" s="133">
        <f>VLOOKUP($C$13,Servant!$B$5:$AD$29,18,FALSE)+($F14+($F14*0.5*($D14-1)))*(N$3-1)</f>
        <v>973.59040000000005</v>
      </c>
      <c r="O14" s="133">
        <f>VLOOKUP($C$13,Servant!$B$5:$AD$29,18,FALSE)+($F14+($F14*0.5*($D14-1)))*(O$3-1)</f>
        <v>1107.1887999999999</v>
      </c>
      <c r="P14" s="133">
        <f>VLOOKUP($C$13,Servant!$B$5:$AD$29,18,FALSE)+($F14+($F14*0.5*($D14-1)))*(P$3-1)</f>
        <v>1240.7872</v>
      </c>
      <c r="Q14" s="133">
        <f>VLOOKUP($C$13,Servant!$B$5:$AD$29,18,FALSE)+($F14+($F14*0.5*($D14-1)))*(Q$3-1)</f>
        <v>1374.3856000000001</v>
      </c>
      <c r="R14" s="133">
        <f>VLOOKUP($C$13,Servant!$B$5:$AD$29,18,FALSE)+($F14+($F14*0.5*($D14-1)))*(R$3-1)</f>
        <v>1507.9839999999999</v>
      </c>
      <c r="S14" s="133">
        <f>VLOOKUP($C$13,Servant!$B$5:$AD$29,18,FALSE)+($F14+($F14*0.5*($D14-1)))*(S$3-1)</f>
        <v>1641.5824</v>
      </c>
      <c r="T14" s="133">
        <f>VLOOKUP($C$13,Servant!$B$5:$AD$29,18,FALSE)+($F14+($F14*0.5*($D14-1)))*(T$3-1)</f>
        <v>1775.1808000000001</v>
      </c>
      <c r="U14" s="133">
        <f>VLOOKUP($C$13,Servant!$B$5:$AD$29,18,FALSE)+($F14+($F14*0.5*($D14-1)))*(U$3-1)</f>
        <v>1908.7791999999999</v>
      </c>
      <c r="V14" s="133">
        <f>VLOOKUP($C$13,Servant!$B$5:$AD$29,18,FALSE)+($F14+($F14*0.5*($D14-1)))*(V$3-1)</f>
        <v>2042.3776</v>
      </c>
      <c r="W14" s="133">
        <f>VLOOKUP($C$13,Servant!$B$5:$AD$29,18,FALSE)+($F14+($F14*0.5*($D14-1)))*(W$3-1)</f>
        <v>2175.9759999999997</v>
      </c>
      <c r="X14" s="133">
        <f>VLOOKUP($C$13,Servant!$B$5:$AD$29,18,FALSE)+($F14+($F14*0.5*($D14-1)))*(X$3-1)</f>
        <v>2309.5744</v>
      </c>
      <c r="Y14" s="133">
        <f>VLOOKUP($C$13,Servant!$B$5:$AD$29,18,FALSE)+($F14+($F14*0.5*($D14-1)))*(Y$3-1)</f>
        <v>2443.1727999999998</v>
      </c>
      <c r="Z14" s="133">
        <f>VLOOKUP($C$13,Servant!$B$5:$AD$29,18,FALSE)+($F14+($F14*0.5*($D14-1)))*(Z$3-1)</f>
        <v>2576.7712000000001</v>
      </c>
      <c r="AA14" s="133">
        <f>VLOOKUP($C$13,Servant!$B$5:$AD$29,18,FALSE)+($F14+($F14*0.5*($D14-1)))*(AA$3-1)</f>
        <v>2710.3696</v>
      </c>
      <c r="AB14" s="133">
        <f>VLOOKUP($C$13,Servant!$B$5:$AD$29,18,FALSE)+($F14+($F14*0.5*($D14-1)))*(AB$3-1)</f>
        <v>2843.9679999999998</v>
      </c>
      <c r="AC14" s="133">
        <f>VLOOKUP($C$13,Servant!$B$5:$AD$29,18,FALSE)+($F14+($F14*0.5*($D14-1)))*(AC$3-1)</f>
        <v>2977.5664000000002</v>
      </c>
      <c r="AD14" s="133">
        <f>VLOOKUP($C$13,Servant!$B$5:$AD$29,18,FALSE)+($F14+($F14*0.5*($D14-1)))*(AD$3-1)</f>
        <v>3111.1648</v>
      </c>
      <c r="AE14" s="133">
        <f>VLOOKUP($C$13,Servant!$B$5:$AD$29,18,FALSE)+($F14+($F14*0.5*($D14-1)))*(AE$3-1)</f>
        <v>3244.7631999999999</v>
      </c>
      <c r="AF14" s="133">
        <f>VLOOKUP($C$13,Servant!$B$5:$AD$29,18,FALSE)+($F14+($F14*0.5*($D14-1)))*(AF$3-1)</f>
        <v>3378.3616000000002</v>
      </c>
      <c r="AG14" s="133">
        <f>VLOOKUP($C$13,Servant!$B$5:$AD$29,18,FALSE)+($F14+($F14*0.5*($D14-1)))*(AG$3-1)</f>
        <v>3511.96</v>
      </c>
      <c r="AH14" s="133">
        <f>VLOOKUP($C$13,Servant!$B$5:$AD$29,18,FALSE)+($F14+($F14*0.5*($D14-1)))*(AH$3-1)</f>
        <v>3645.5583999999999</v>
      </c>
      <c r="AI14" s="133">
        <f>VLOOKUP($C$13,Servant!$B$5:$AD$29,18,FALSE)+($F14+($F14*0.5*($D14-1)))*(AI$3-1)</f>
        <v>3779.1567999999997</v>
      </c>
      <c r="AJ14" s="133">
        <f>VLOOKUP($C$13,Servant!$B$5:$AD$29,18,FALSE)+($F14+($F14*0.5*($D14-1)))*(AJ$3-1)</f>
        <v>3912.7552000000001</v>
      </c>
      <c r="AK14" s="133">
        <f>VLOOKUP($C$13,Servant!$B$5:$AD$29,18,FALSE)+($F14+($F14*0.5*($D14-1)))*(AK$3-1)</f>
        <v>4046.3535999999999</v>
      </c>
    </row>
    <row r="15" spans="2:37" x14ac:dyDescent="0.3">
      <c r="B15" s="309"/>
      <c r="C15" s="314"/>
      <c r="D15" s="134">
        <v>3</v>
      </c>
      <c r="E15" s="132">
        <f>VLOOKUP($C$13,ServantLevelUPdStatus!$B$5:$AD$29,6,FALSE)+(VLOOKUP($C$13,ServantLevelUPdStatus!$B$5:$AD$29,6,FALSE)*0.5*(Simulator_AttkPow!$D15-1))</f>
        <v>178.13120000000001</v>
      </c>
      <c r="F15" s="135">
        <f>F14</f>
        <v>89.065600000000003</v>
      </c>
      <c r="H15" s="133">
        <f>VLOOKUP($C$13,Servant!$B$5:$AD$29,18,FALSE)+($F15+($F15*0.5*($D15-1)))*(H$3-1)</f>
        <v>172</v>
      </c>
      <c r="I15" s="133">
        <f>VLOOKUP($C$13,Servant!$B$5:$AD$29,18,FALSE)+($F15+($F15*0.5*($D15-1)))*(I$3-1)</f>
        <v>350.13120000000004</v>
      </c>
      <c r="J15" s="133">
        <f>VLOOKUP($C$13,Servant!$B$5:$AD$29,18,FALSE)+($F15+($F15*0.5*($D15-1)))*(J$3-1)</f>
        <v>528.26240000000007</v>
      </c>
      <c r="K15" s="133">
        <f>VLOOKUP($C$13,Servant!$B$5:$AD$29,18,FALSE)+($F15+($F15*0.5*($D15-1)))*(K$3-1)</f>
        <v>706.39359999999999</v>
      </c>
      <c r="L15" s="133">
        <f>VLOOKUP($C$13,Servant!$B$5:$AD$29,18,FALSE)+($F15+($F15*0.5*($D15-1)))*(L$3-1)</f>
        <v>884.52480000000003</v>
      </c>
      <c r="M15" s="133">
        <f>VLOOKUP($C$13,Servant!$B$5:$AD$29,18,FALSE)+($F15+($F15*0.5*($D15-1)))*(M$3-1)</f>
        <v>1062.6559999999999</v>
      </c>
      <c r="N15" s="133">
        <f>VLOOKUP($C$13,Servant!$B$5:$AD$29,18,FALSE)+($F15+($F15*0.5*($D15-1)))*(N$3-1)</f>
        <v>1240.7872</v>
      </c>
      <c r="O15" s="133">
        <f>VLOOKUP($C$13,Servant!$B$5:$AD$29,18,FALSE)+($F15+($F15*0.5*($D15-1)))*(O$3-1)</f>
        <v>1418.9184</v>
      </c>
      <c r="P15" s="133">
        <f>VLOOKUP($C$13,Servant!$B$5:$AD$29,18,FALSE)+($F15+($F15*0.5*($D15-1)))*(P$3-1)</f>
        <v>1597.0496000000001</v>
      </c>
      <c r="Q15" s="133">
        <f>VLOOKUP($C$13,Servant!$B$5:$AD$29,18,FALSE)+($F15+($F15*0.5*($D15-1)))*(Q$3-1)</f>
        <v>1775.1808000000001</v>
      </c>
      <c r="R15" s="133">
        <f>VLOOKUP($C$13,Servant!$B$5:$AD$29,18,FALSE)+($F15+($F15*0.5*($D15-1)))*(R$3-1)</f>
        <v>1953.3120000000001</v>
      </c>
      <c r="S15" s="133">
        <f>VLOOKUP($C$13,Servant!$B$5:$AD$29,18,FALSE)+($F15+($F15*0.5*($D15-1)))*(S$3-1)</f>
        <v>2131.4432000000002</v>
      </c>
      <c r="T15" s="133">
        <f>VLOOKUP($C$13,Servant!$B$5:$AD$29,18,FALSE)+($F15+($F15*0.5*($D15-1)))*(T$3-1)</f>
        <v>2309.5744</v>
      </c>
      <c r="U15" s="133">
        <f>VLOOKUP($C$13,Servant!$B$5:$AD$29,18,FALSE)+($F15+($F15*0.5*($D15-1)))*(U$3-1)</f>
        <v>2487.7056000000002</v>
      </c>
      <c r="V15" s="133">
        <f>VLOOKUP($C$13,Servant!$B$5:$AD$29,18,FALSE)+($F15+($F15*0.5*($D15-1)))*(V$3-1)</f>
        <v>2665.8368</v>
      </c>
      <c r="W15" s="133">
        <f>VLOOKUP($C$13,Servant!$B$5:$AD$29,18,FALSE)+($F15+($F15*0.5*($D15-1)))*(W$3-1)</f>
        <v>2843.9680000000003</v>
      </c>
      <c r="X15" s="133">
        <f>VLOOKUP($C$13,Servant!$B$5:$AD$29,18,FALSE)+($F15+($F15*0.5*($D15-1)))*(X$3-1)</f>
        <v>3022.0992000000001</v>
      </c>
      <c r="Y15" s="133">
        <f>VLOOKUP($C$13,Servant!$B$5:$AD$29,18,FALSE)+($F15+($F15*0.5*($D15-1)))*(Y$3-1)</f>
        <v>3200.2303999999999</v>
      </c>
      <c r="Z15" s="133">
        <f>VLOOKUP($C$13,Servant!$B$5:$AD$29,18,FALSE)+($F15+($F15*0.5*($D15-1)))*(Z$3-1)</f>
        <v>3378.3616000000002</v>
      </c>
      <c r="AA15" s="133">
        <f>VLOOKUP($C$13,Servant!$B$5:$AD$29,18,FALSE)+($F15+($F15*0.5*($D15-1)))*(AA$3-1)</f>
        <v>3556.4928</v>
      </c>
      <c r="AB15" s="133">
        <f>VLOOKUP($C$13,Servant!$B$5:$AD$29,18,FALSE)+($F15+($F15*0.5*($D15-1)))*(AB$3-1)</f>
        <v>3734.6240000000003</v>
      </c>
      <c r="AC15" s="133">
        <f>VLOOKUP($C$13,Servant!$B$5:$AD$29,18,FALSE)+($F15+($F15*0.5*($D15-1)))*(AC$3-1)</f>
        <v>3912.7552000000001</v>
      </c>
      <c r="AD15" s="133">
        <f>VLOOKUP($C$13,Servant!$B$5:$AD$29,18,FALSE)+($F15+($F15*0.5*($D15-1)))*(AD$3-1)</f>
        <v>4090.8864000000003</v>
      </c>
      <c r="AE15" s="133">
        <f>VLOOKUP($C$13,Servant!$B$5:$AD$29,18,FALSE)+($F15+($F15*0.5*($D15-1)))*(AE$3-1)</f>
        <v>4269.0176000000001</v>
      </c>
      <c r="AF15" s="133">
        <f>VLOOKUP($C$13,Servant!$B$5:$AD$29,18,FALSE)+($F15+($F15*0.5*($D15-1)))*(AF$3-1)</f>
        <v>4447.1487999999999</v>
      </c>
      <c r="AG15" s="133">
        <f>VLOOKUP($C$13,Servant!$B$5:$AD$29,18,FALSE)+($F15+($F15*0.5*($D15-1)))*(AG$3-1)</f>
        <v>4625.28</v>
      </c>
      <c r="AH15" s="133">
        <f>VLOOKUP($C$13,Servant!$B$5:$AD$29,18,FALSE)+($F15+($F15*0.5*($D15-1)))*(AH$3-1)</f>
        <v>4803.4112000000005</v>
      </c>
      <c r="AI15" s="133">
        <f>VLOOKUP($C$13,Servant!$B$5:$AD$29,18,FALSE)+($F15+($F15*0.5*($D15-1)))*(AI$3-1)</f>
        <v>4981.5424000000003</v>
      </c>
      <c r="AJ15" s="133">
        <f>VLOOKUP($C$13,Servant!$B$5:$AD$29,18,FALSE)+($F15+($F15*0.5*($D15-1)))*(AJ$3-1)</f>
        <v>5159.6736000000001</v>
      </c>
      <c r="AK15" s="133">
        <f>VLOOKUP($C$13,Servant!$B$5:$AD$29,18,FALSE)+($F15+($F15*0.5*($D15-1)))*(AK$3-1)</f>
        <v>5337.8047999999999</v>
      </c>
    </row>
    <row r="16" spans="2:37" x14ac:dyDescent="0.3">
      <c r="B16" s="309"/>
      <c r="C16" s="315" t="s">
        <v>280</v>
      </c>
      <c r="D16" s="125">
        <v>1</v>
      </c>
      <c r="E16" s="117">
        <f>VLOOKUP($C$16,ServantLevelUPdStatus!$B$5:$AD$29,6,FALSE)+(VLOOKUP($C$16,ServantLevelUPdStatus!$B$5:$AD$29,6,FALSE)*0.5*(Simulator_AttkPow!$D16-1))</f>
        <v>100.19879999999999</v>
      </c>
      <c r="F16" s="117">
        <f>VLOOKUP($C$16,ServantLevelUPdStatus!$B$5:$AD$29,6,FALSE)</f>
        <v>100.19879999999999</v>
      </c>
      <c r="H16" s="112">
        <f>VLOOKUP($C$16,Servant!$B$5:$AD$29,18,FALSE)+($F16+($F16*0.5*($D16-1)))*(H$3-1)</f>
        <v>194</v>
      </c>
      <c r="I16" s="112">
        <f>VLOOKUP($C$16,Servant!$B$5:$AD$29,18,FALSE)+($F16+($F16*0.5*($D16-1)))*(I$3-1)</f>
        <v>294.19880000000001</v>
      </c>
      <c r="J16" s="112">
        <f>VLOOKUP($C$16,Servant!$B$5:$AD$29,18,FALSE)+($F16+($F16*0.5*($D16-1)))*(J$3-1)</f>
        <v>394.39760000000001</v>
      </c>
      <c r="K16" s="112">
        <f>VLOOKUP($C$16,Servant!$B$5:$AD$29,18,FALSE)+($F16+($F16*0.5*($D16-1)))*(K$3-1)</f>
        <v>494.59639999999996</v>
      </c>
      <c r="L16" s="112">
        <f>VLOOKUP($C$16,Servant!$B$5:$AD$29,18,FALSE)+($F16+($F16*0.5*($D16-1)))*(L$3-1)</f>
        <v>594.79520000000002</v>
      </c>
      <c r="M16" s="112">
        <f>VLOOKUP($C$16,Servant!$B$5:$AD$29,18,FALSE)+($F16+($F16*0.5*($D16-1)))*(M$3-1)</f>
        <v>694.99399999999991</v>
      </c>
      <c r="N16" s="112">
        <f>VLOOKUP($C$16,Servant!$B$5:$AD$29,18,FALSE)+($F16+($F16*0.5*($D16-1)))*(N$3-1)</f>
        <v>795.19279999999992</v>
      </c>
      <c r="O16" s="112">
        <f>VLOOKUP($C$16,Servant!$B$5:$AD$29,18,FALSE)+($F16+($F16*0.5*($D16-1)))*(O$3-1)</f>
        <v>895.39159999999993</v>
      </c>
      <c r="P16" s="112">
        <f>VLOOKUP($C$16,Servant!$B$5:$AD$29,18,FALSE)+($F16+($F16*0.5*($D16-1)))*(P$3-1)</f>
        <v>995.59039999999993</v>
      </c>
      <c r="Q16" s="112">
        <f>VLOOKUP($C$16,Servant!$B$5:$AD$29,18,FALSE)+($F16+($F16*0.5*($D16-1)))*(Q$3-1)</f>
        <v>1095.7891999999999</v>
      </c>
      <c r="R16" s="112">
        <f>VLOOKUP($C$16,Servant!$B$5:$AD$29,18,FALSE)+($F16+($F16*0.5*($D16-1)))*(R$3-1)</f>
        <v>1195.9879999999998</v>
      </c>
      <c r="S16" s="112">
        <f>VLOOKUP($C$16,Servant!$B$5:$AD$29,18,FALSE)+($F16+($F16*0.5*($D16-1)))*(S$3-1)</f>
        <v>1296.1867999999999</v>
      </c>
      <c r="T16" s="112">
        <f>VLOOKUP($C$16,Servant!$B$5:$AD$29,18,FALSE)+($F16+($F16*0.5*($D16-1)))*(T$3-1)</f>
        <v>1396.3855999999998</v>
      </c>
      <c r="U16" s="112">
        <f>VLOOKUP($C$16,Servant!$B$5:$AD$29,18,FALSE)+($F16+($F16*0.5*($D16-1)))*(U$3-1)</f>
        <v>1496.5844</v>
      </c>
      <c r="V16" s="112">
        <f>VLOOKUP($C$16,Servant!$B$5:$AD$29,18,FALSE)+($F16+($F16*0.5*($D16-1)))*(V$3-1)</f>
        <v>1596.7831999999999</v>
      </c>
      <c r="W16" s="112">
        <f>VLOOKUP($C$16,Servant!$B$5:$AD$29,18,FALSE)+($F16+($F16*0.5*($D16-1)))*(W$3-1)</f>
        <v>1696.982</v>
      </c>
      <c r="X16" s="112">
        <f>VLOOKUP($C$16,Servant!$B$5:$AD$29,18,FALSE)+($F16+($F16*0.5*($D16-1)))*(X$3-1)</f>
        <v>1797.1807999999999</v>
      </c>
      <c r="Y16" s="112">
        <f>VLOOKUP($C$16,Servant!$B$5:$AD$29,18,FALSE)+($F16+($F16*0.5*($D16-1)))*(Y$3-1)</f>
        <v>1897.3795999999998</v>
      </c>
      <c r="Z16" s="112">
        <f>VLOOKUP($C$16,Servant!$B$5:$AD$29,18,FALSE)+($F16+($F16*0.5*($D16-1)))*(Z$3-1)</f>
        <v>1997.5783999999999</v>
      </c>
      <c r="AA16" s="112">
        <f>VLOOKUP($C$16,Servant!$B$5:$AD$29,18,FALSE)+($F16+($F16*0.5*($D16-1)))*(AA$3-1)</f>
        <v>2097.7771999999995</v>
      </c>
      <c r="AB16" s="112">
        <f>VLOOKUP($C$16,Servant!$B$5:$AD$29,18,FALSE)+($F16+($F16*0.5*($D16-1)))*(AB$3-1)</f>
        <v>2197.9759999999997</v>
      </c>
      <c r="AC16" s="112">
        <f>VLOOKUP($C$16,Servant!$B$5:$AD$29,18,FALSE)+($F16+($F16*0.5*($D16-1)))*(AC$3-1)</f>
        <v>2298.1747999999998</v>
      </c>
      <c r="AD16" s="112">
        <f>VLOOKUP($C$16,Servant!$B$5:$AD$29,18,FALSE)+($F16+($F16*0.5*($D16-1)))*(AD$3-1)</f>
        <v>2398.3735999999999</v>
      </c>
      <c r="AE16" s="112">
        <f>VLOOKUP($C$16,Servant!$B$5:$AD$29,18,FALSE)+($F16+($F16*0.5*($D16-1)))*(AE$3-1)</f>
        <v>2498.5724</v>
      </c>
      <c r="AF16" s="112">
        <f>VLOOKUP($C$16,Servant!$B$5:$AD$29,18,FALSE)+($F16+($F16*0.5*($D16-1)))*(AF$3-1)</f>
        <v>2598.7711999999997</v>
      </c>
      <c r="AG16" s="112">
        <f>VLOOKUP($C$16,Servant!$B$5:$AD$29,18,FALSE)+($F16+($F16*0.5*($D16-1)))*(AG$3-1)</f>
        <v>2698.97</v>
      </c>
      <c r="AH16" s="112">
        <f>VLOOKUP($C$16,Servant!$B$5:$AD$29,18,FALSE)+($F16+($F16*0.5*($D16-1)))*(AH$3-1)</f>
        <v>2799.1687999999999</v>
      </c>
      <c r="AI16" s="112">
        <f>VLOOKUP($C$16,Servant!$B$5:$AD$29,18,FALSE)+($F16+($F16*0.5*($D16-1)))*(AI$3-1)</f>
        <v>2899.3675999999996</v>
      </c>
      <c r="AJ16" s="112">
        <f>VLOOKUP($C$16,Servant!$B$5:$AD$29,18,FALSE)+($F16+($F16*0.5*($D16-1)))*(AJ$3-1)</f>
        <v>2999.5663999999997</v>
      </c>
      <c r="AK16" s="112">
        <f>VLOOKUP($C$16,Servant!$B$5:$AD$29,18,FALSE)+($F16+($F16*0.5*($D16-1)))*(AK$3-1)</f>
        <v>3099.7651999999998</v>
      </c>
    </row>
    <row r="17" spans="2:37" x14ac:dyDescent="0.3">
      <c r="B17" s="309"/>
      <c r="C17" s="316"/>
      <c r="D17" s="126">
        <v>2</v>
      </c>
      <c r="E17" s="117">
        <f>VLOOKUP($C$16,ServantLevelUPdStatus!$B$5:$AD$29,6,FALSE)+(VLOOKUP($C$16,ServantLevelUPdStatus!$B$5:$AD$29,6,FALSE)*0.5*(Simulator_AttkPow!$D17-1))</f>
        <v>150.29819999999998</v>
      </c>
      <c r="F17" s="118">
        <f>F16</f>
        <v>100.19879999999999</v>
      </c>
      <c r="H17" s="112">
        <f>VLOOKUP($C$16,Servant!$B$5:$AD$29,18,FALSE)+($F17+($F17*0.5*($D17-1)))*(H$3-1)</f>
        <v>194</v>
      </c>
      <c r="I17" s="112">
        <f>VLOOKUP($C$16,Servant!$B$5:$AD$29,18,FALSE)+($F17+($F17*0.5*($D17-1)))*(I$3-1)</f>
        <v>344.29819999999995</v>
      </c>
      <c r="J17" s="112">
        <f>VLOOKUP($C$16,Servant!$B$5:$AD$29,18,FALSE)+($F17+($F17*0.5*($D17-1)))*(J$3-1)</f>
        <v>494.59639999999996</v>
      </c>
      <c r="K17" s="112">
        <f>VLOOKUP($C$16,Servant!$B$5:$AD$29,18,FALSE)+($F17+($F17*0.5*($D17-1)))*(K$3-1)</f>
        <v>644.89459999999997</v>
      </c>
      <c r="L17" s="112">
        <f>VLOOKUP($C$16,Servant!$B$5:$AD$29,18,FALSE)+($F17+($F17*0.5*($D17-1)))*(L$3-1)</f>
        <v>795.19279999999992</v>
      </c>
      <c r="M17" s="112">
        <f>VLOOKUP($C$16,Servant!$B$5:$AD$29,18,FALSE)+($F17+($F17*0.5*($D17-1)))*(M$3-1)</f>
        <v>945.49099999999987</v>
      </c>
      <c r="N17" s="112">
        <f>VLOOKUP($C$16,Servant!$B$5:$AD$29,18,FALSE)+($F17+($F17*0.5*($D17-1)))*(N$3-1)</f>
        <v>1095.7891999999999</v>
      </c>
      <c r="O17" s="112">
        <f>VLOOKUP($C$16,Servant!$B$5:$AD$29,18,FALSE)+($F17+($F17*0.5*($D17-1)))*(O$3-1)</f>
        <v>1246.0873999999999</v>
      </c>
      <c r="P17" s="112">
        <f>VLOOKUP($C$16,Servant!$B$5:$AD$29,18,FALSE)+($F17+($F17*0.5*($D17-1)))*(P$3-1)</f>
        <v>1396.3855999999998</v>
      </c>
      <c r="Q17" s="112">
        <f>VLOOKUP($C$16,Servant!$B$5:$AD$29,18,FALSE)+($F17+($F17*0.5*($D17-1)))*(Q$3-1)</f>
        <v>1546.6837999999998</v>
      </c>
      <c r="R17" s="112">
        <f>VLOOKUP($C$16,Servant!$B$5:$AD$29,18,FALSE)+($F17+($F17*0.5*($D17-1)))*(R$3-1)</f>
        <v>1696.9819999999997</v>
      </c>
      <c r="S17" s="112">
        <f>VLOOKUP($C$16,Servant!$B$5:$AD$29,18,FALSE)+($F17+($F17*0.5*($D17-1)))*(S$3-1)</f>
        <v>1847.2801999999997</v>
      </c>
      <c r="T17" s="112">
        <f>VLOOKUP($C$16,Servant!$B$5:$AD$29,18,FALSE)+($F17+($F17*0.5*($D17-1)))*(T$3-1)</f>
        <v>1997.5783999999999</v>
      </c>
      <c r="U17" s="112">
        <f>VLOOKUP($C$16,Servant!$B$5:$AD$29,18,FALSE)+($F17+($F17*0.5*($D17-1)))*(U$3-1)</f>
        <v>2147.8765999999996</v>
      </c>
      <c r="V17" s="112">
        <f>VLOOKUP($C$16,Servant!$B$5:$AD$29,18,FALSE)+($F17+($F17*0.5*($D17-1)))*(V$3-1)</f>
        <v>2298.1747999999998</v>
      </c>
      <c r="W17" s="112">
        <f>VLOOKUP($C$16,Servant!$B$5:$AD$29,18,FALSE)+($F17+($F17*0.5*($D17-1)))*(W$3-1)</f>
        <v>2448.4729999999995</v>
      </c>
      <c r="X17" s="112">
        <f>VLOOKUP($C$16,Servant!$B$5:$AD$29,18,FALSE)+($F17+($F17*0.5*($D17-1)))*(X$3-1)</f>
        <v>2598.7711999999997</v>
      </c>
      <c r="Y17" s="112">
        <f>VLOOKUP($C$16,Servant!$B$5:$AD$29,18,FALSE)+($F17+($F17*0.5*($D17-1)))*(Y$3-1)</f>
        <v>2749.0693999999999</v>
      </c>
      <c r="Z17" s="112">
        <f>VLOOKUP($C$16,Servant!$B$5:$AD$29,18,FALSE)+($F17+($F17*0.5*($D17-1)))*(Z$3-1)</f>
        <v>2899.3675999999996</v>
      </c>
      <c r="AA17" s="112">
        <f>VLOOKUP($C$16,Servant!$B$5:$AD$29,18,FALSE)+($F17+($F17*0.5*($D17-1)))*(AA$3-1)</f>
        <v>3049.6657999999998</v>
      </c>
      <c r="AB17" s="112">
        <f>VLOOKUP($C$16,Servant!$B$5:$AD$29,18,FALSE)+($F17+($F17*0.5*($D17-1)))*(AB$3-1)</f>
        <v>3199.9639999999995</v>
      </c>
      <c r="AC17" s="112">
        <f>VLOOKUP($C$16,Servant!$B$5:$AD$29,18,FALSE)+($F17+($F17*0.5*($D17-1)))*(AC$3-1)</f>
        <v>3350.2621999999997</v>
      </c>
      <c r="AD17" s="112">
        <f>VLOOKUP($C$16,Servant!$B$5:$AD$29,18,FALSE)+($F17+($F17*0.5*($D17-1)))*(AD$3-1)</f>
        <v>3500.5603999999994</v>
      </c>
      <c r="AE17" s="112">
        <f>VLOOKUP($C$16,Servant!$B$5:$AD$29,18,FALSE)+($F17+($F17*0.5*($D17-1)))*(AE$3-1)</f>
        <v>3650.8585999999996</v>
      </c>
      <c r="AF17" s="112">
        <f>VLOOKUP($C$16,Servant!$B$5:$AD$29,18,FALSE)+($F17+($F17*0.5*($D17-1)))*(AF$3-1)</f>
        <v>3801.1567999999997</v>
      </c>
      <c r="AG17" s="112">
        <f>VLOOKUP($C$16,Servant!$B$5:$AD$29,18,FALSE)+($F17+($F17*0.5*($D17-1)))*(AG$3-1)</f>
        <v>3951.4549999999995</v>
      </c>
      <c r="AH17" s="112">
        <f>VLOOKUP($C$16,Servant!$B$5:$AD$29,18,FALSE)+($F17+($F17*0.5*($D17-1)))*(AH$3-1)</f>
        <v>4101.7531999999992</v>
      </c>
      <c r="AI17" s="112">
        <f>VLOOKUP($C$16,Servant!$B$5:$AD$29,18,FALSE)+($F17+($F17*0.5*($D17-1)))*(AI$3-1)</f>
        <v>4252.0513999999994</v>
      </c>
      <c r="AJ17" s="112">
        <f>VLOOKUP($C$16,Servant!$B$5:$AD$29,18,FALSE)+($F17+($F17*0.5*($D17-1)))*(AJ$3-1)</f>
        <v>4402.3495999999996</v>
      </c>
      <c r="AK17" s="112">
        <f>VLOOKUP($C$16,Servant!$B$5:$AD$29,18,FALSE)+($F17+($F17*0.5*($D17-1)))*(AK$3-1)</f>
        <v>4552.6477999999997</v>
      </c>
    </row>
    <row r="18" spans="2:37" x14ac:dyDescent="0.3">
      <c r="B18" s="309"/>
      <c r="C18" s="316"/>
      <c r="D18" s="126">
        <v>3</v>
      </c>
      <c r="E18" s="117">
        <f>VLOOKUP($C$16,ServantLevelUPdStatus!$B$5:$AD$29,6,FALSE)+(VLOOKUP($C$16,ServantLevelUPdStatus!$B$5:$AD$29,6,FALSE)*0.5*(Simulator_AttkPow!$D18-1))</f>
        <v>200.39759999999998</v>
      </c>
      <c r="F18" s="118">
        <f>F17</f>
        <v>100.19879999999999</v>
      </c>
      <c r="H18" s="112">
        <f>VLOOKUP($C$16,Servant!$B$5:$AD$29,18,FALSE)+($F18+($F18*0.5*($D18-1)))*(H$3-1)</f>
        <v>194</v>
      </c>
      <c r="I18" s="112">
        <f>VLOOKUP($C$16,Servant!$B$5:$AD$29,18,FALSE)+($F18+($F18*0.5*($D18-1)))*(I$3-1)</f>
        <v>394.39760000000001</v>
      </c>
      <c r="J18" s="112">
        <f>VLOOKUP($C$16,Servant!$B$5:$AD$29,18,FALSE)+($F18+($F18*0.5*($D18-1)))*(J$3-1)</f>
        <v>594.79520000000002</v>
      </c>
      <c r="K18" s="112">
        <f>VLOOKUP($C$16,Servant!$B$5:$AD$29,18,FALSE)+($F18+($F18*0.5*($D18-1)))*(K$3-1)</f>
        <v>795.19279999999992</v>
      </c>
      <c r="L18" s="112">
        <f>VLOOKUP($C$16,Servant!$B$5:$AD$29,18,FALSE)+($F18+($F18*0.5*($D18-1)))*(L$3-1)</f>
        <v>995.59039999999993</v>
      </c>
      <c r="M18" s="112">
        <f>VLOOKUP($C$16,Servant!$B$5:$AD$29,18,FALSE)+($F18+($F18*0.5*($D18-1)))*(M$3-1)</f>
        <v>1195.9879999999998</v>
      </c>
      <c r="N18" s="112">
        <f>VLOOKUP($C$16,Servant!$B$5:$AD$29,18,FALSE)+($F18+($F18*0.5*($D18-1)))*(N$3-1)</f>
        <v>1396.3855999999998</v>
      </c>
      <c r="O18" s="112">
        <f>VLOOKUP($C$16,Servant!$B$5:$AD$29,18,FALSE)+($F18+($F18*0.5*($D18-1)))*(O$3-1)</f>
        <v>1596.7831999999999</v>
      </c>
      <c r="P18" s="112">
        <f>VLOOKUP($C$16,Servant!$B$5:$AD$29,18,FALSE)+($F18+($F18*0.5*($D18-1)))*(P$3-1)</f>
        <v>1797.1807999999999</v>
      </c>
      <c r="Q18" s="112">
        <f>VLOOKUP($C$16,Servant!$B$5:$AD$29,18,FALSE)+($F18+($F18*0.5*($D18-1)))*(Q$3-1)</f>
        <v>1997.5783999999999</v>
      </c>
      <c r="R18" s="112">
        <f>VLOOKUP($C$16,Servant!$B$5:$AD$29,18,FALSE)+($F18+($F18*0.5*($D18-1)))*(R$3-1)</f>
        <v>2197.9759999999997</v>
      </c>
      <c r="S18" s="112">
        <f>VLOOKUP($C$16,Servant!$B$5:$AD$29,18,FALSE)+($F18+($F18*0.5*($D18-1)))*(S$3-1)</f>
        <v>2398.3735999999999</v>
      </c>
      <c r="T18" s="112">
        <f>VLOOKUP($C$16,Servant!$B$5:$AD$29,18,FALSE)+($F18+($F18*0.5*($D18-1)))*(T$3-1)</f>
        <v>2598.7711999999997</v>
      </c>
      <c r="U18" s="112">
        <f>VLOOKUP($C$16,Servant!$B$5:$AD$29,18,FALSE)+($F18+($F18*0.5*($D18-1)))*(U$3-1)</f>
        <v>2799.1687999999999</v>
      </c>
      <c r="V18" s="112">
        <f>VLOOKUP($C$16,Servant!$B$5:$AD$29,18,FALSE)+($F18+($F18*0.5*($D18-1)))*(V$3-1)</f>
        <v>2999.5663999999997</v>
      </c>
      <c r="W18" s="112">
        <f>VLOOKUP($C$16,Servant!$B$5:$AD$29,18,FALSE)+($F18+($F18*0.5*($D18-1)))*(W$3-1)</f>
        <v>3199.9639999999999</v>
      </c>
      <c r="X18" s="112">
        <f>VLOOKUP($C$16,Servant!$B$5:$AD$29,18,FALSE)+($F18+($F18*0.5*($D18-1)))*(X$3-1)</f>
        <v>3400.3615999999997</v>
      </c>
      <c r="Y18" s="112">
        <f>VLOOKUP($C$16,Servant!$B$5:$AD$29,18,FALSE)+($F18+($F18*0.5*($D18-1)))*(Y$3-1)</f>
        <v>3600.7591999999995</v>
      </c>
      <c r="Z18" s="112">
        <f>VLOOKUP($C$16,Servant!$B$5:$AD$29,18,FALSE)+($F18+($F18*0.5*($D18-1)))*(Z$3-1)</f>
        <v>3801.1567999999997</v>
      </c>
      <c r="AA18" s="112">
        <f>VLOOKUP($C$16,Servant!$B$5:$AD$29,18,FALSE)+($F18+($F18*0.5*($D18-1)))*(AA$3-1)</f>
        <v>4001.5543999999995</v>
      </c>
      <c r="AB18" s="112">
        <f>VLOOKUP($C$16,Servant!$B$5:$AD$29,18,FALSE)+($F18+($F18*0.5*($D18-1)))*(AB$3-1)</f>
        <v>4201.9519999999993</v>
      </c>
      <c r="AC18" s="112">
        <f>VLOOKUP($C$16,Servant!$B$5:$AD$29,18,FALSE)+($F18+($F18*0.5*($D18-1)))*(AC$3-1)</f>
        <v>4402.3495999999996</v>
      </c>
      <c r="AD18" s="112">
        <f>VLOOKUP($C$16,Servant!$B$5:$AD$29,18,FALSE)+($F18+($F18*0.5*($D18-1)))*(AD$3-1)</f>
        <v>4602.7471999999998</v>
      </c>
      <c r="AE18" s="112">
        <f>VLOOKUP($C$16,Servant!$B$5:$AD$29,18,FALSE)+($F18+($F18*0.5*($D18-1)))*(AE$3-1)</f>
        <v>4803.1448</v>
      </c>
      <c r="AF18" s="112">
        <f>VLOOKUP($C$16,Servant!$B$5:$AD$29,18,FALSE)+($F18+($F18*0.5*($D18-1)))*(AF$3-1)</f>
        <v>5003.5423999999994</v>
      </c>
      <c r="AG18" s="112">
        <f>VLOOKUP($C$16,Servant!$B$5:$AD$29,18,FALSE)+($F18+($F18*0.5*($D18-1)))*(AG$3-1)</f>
        <v>5203.9399999999996</v>
      </c>
      <c r="AH18" s="112">
        <f>VLOOKUP($C$16,Servant!$B$5:$AD$29,18,FALSE)+($F18+($F18*0.5*($D18-1)))*(AH$3-1)</f>
        <v>5404.3375999999998</v>
      </c>
      <c r="AI18" s="112">
        <f>VLOOKUP($C$16,Servant!$B$5:$AD$29,18,FALSE)+($F18+($F18*0.5*($D18-1)))*(AI$3-1)</f>
        <v>5604.7351999999992</v>
      </c>
      <c r="AJ18" s="112">
        <f>VLOOKUP($C$16,Servant!$B$5:$AD$29,18,FALSE)+($F18+($F18*0.5*($D18-1)))*(AJ$3-1)</f>
        <v>5805.1327999999994</v>
      </c>
      <c r="AK18" s="112">
        <f>VLOOKUP($C$16,Servant!$B$5:$AD$29,18,FALSE)+($F18+($F18*0.5*($D18-1)))*(AK$3-1)</f>
        <v>6005.5303999999996</v>
      </c>
    </row>
    <row r="19" spans="2:37" x14ac:dyDescent="0.3">
      <c r="B19" s="309"/>
      <c r="C19" s="313" t="s">
        <v>300</v>
      </c>
      <c r="D19" s="131">
        <v>1</v>
      </c>
      <c r="E19" s="132">
        <f>VLOOKUP($C$19,ServantLevelUPdStatus!$B$5:$AD$29,6,FALSE)+(VLOOKUP($C$19,ServantLevelUPdStatus!$B$5:$AD$29,6,FALSE)*0.5*(Simulator_AttkPow!$D19-1))</f>
        <v>89.065600000000003</v>
      </c>
      <c r="F19" s="132">
        <f>VLOOKUP($C$19,ServantLevelUPdStatus!$B$5:$AD$29,6,FALSE)</f>
        <v>89.065600000000003</v>
      </c>
      <c r="H19" s="133">
        <f>VLOOKUP($C$19,Servant!$B$5:$AD$29,18,FALSE)+($F19+($F19*0.5*($D19-1)))*(H$3-1)</f>
        <v>172</v>
      </c>
      <c r="I19" s="133">
        <f>VLOOKUP($C$19,Servant!$B$5:$AD$29,18,FALSE)+($F19+($F19*0.5*($D19-1)))*(I$3-1)</f>
        <v>261.06560000000002</v>
      </c>
      <c r="J19" s="133">
        <f>VLOOKUP($C$19,Servant!$B$5:$AD$29,18,FALSE)+($F19+($F19*0.5*($D19-1)))*(J$3-1)</f>
        <v>350.13120000000004</v>
      </c>
      <c r="K19" s="133">
        <f>VLOOKUP($C$19,Servant!$B$5:$AD$29,18,FALSE)+($F19+($F19*0.5*($D19-1)))*(K$3-1)</f>
        <v>439.1968</v>
      </c>
      <c r="L19" s="133">
        <f>VLOOKUP($C$19,Servant!$B$5:$AD$29,18,FALSE)+($F19+($F19*0.5*($D19-1)))*(L$3-1)</f>
        <v>528.26240000000007</v>
      </c>
      <c r="M19" s="133">
        <f>VLOOKUP($C$19,Servant!$B$5:$AD$29,18,FALSE)+($F19+($F19*0.5*($D19-1)))*(M$3-1)</f>
        <v>617.32799999999997</v>
      </c>
      <c r="N19" s="133">
        <f>VLOOKUP($C$19,Servant!$B$5:$AD$29,18,FALSE)+($F19+($F19*0.5*($D19-1)))*(N$3-1)</f>
        <v>706.39359999999999</v>
      </c>
      <c r="O19" s="133">
        <f>VLOOKUP($C$19,Servant!$B$5:$AD$29,18,FALSE)+($F19+($F19*0.5*($D19-1)))*(O$3-1)</f>
        <v>795.45920000000001</v>
      </c>
      <c r="P19" s="133">
        <f>VLOOKUP($C$19,Servant!$B$5:$AD$29,18,FALSE)+($F19+($F19*0.5*($D19-1)))*(P$3-1)</f>
        <v>884.52480000000003</v>
      </c>
      <c r="Q19" s="133">
        <f>VLOOKUP($C$19,Servant!$B$5:$AD$29,18,FALSE)+($F19+($F19*0.5*($D19-1)))*(Q$3-1)</f>
        <v>973.59040000000005</v>
      </c>
      <c r="R19" s="133">
        <f>VLOOKUP($C$19,Servant!$B$5:$AD$29,18,FALSE)+($F19+($F19*0.5*($D19-1)))*(R$3-1)</f>
        <v>1062.6559999999999</v>
      </c>
      <c r="S19" s="133">
        <f>VLOOKUP($C$19,Servant!$B$5:$AD$29,18,FALSE)+($F19+($F19*0.5*($D19-1)))*(S$3-1)</f>
        <v>1151.7216000000001</v>
      </c>
      <c r="T19" s="133">
        <f>VLOOKUP($C$19,Servant!$B$5:$AD$29,18,FALSE)+($F19+($F19*0.5*($D19-1)))*(T$3-1)</f>
        <v>1240.7872</v>
      </c>
      <c r="U19" s="133">
        <f>VLOOKUP($C$19,Servant!$B$5:$AD$29,18,FALSE)+($F19+($F19*0.5*($D19-1)))*(U$3-1)</f>
        <v>1329.8528000000001</v>
      </c>
      <c r="V19" s="133">
        <f>VLOOKUP($C$19,Servant!$B$5:$AD$29,18,FALSE)+($F19+($F19*0.5*($D19-1)))*(V$3-1)</f>
        <v>1418.9184</v>
      </c>
      <c r="W19" s="133">
        <f>VLOOKUP($C$19,Servant!$B$5:$AD$29,18,FALSE)+($F19+($F19*0.5*($D19-1)))*(W$3-1)</f>
        <v>1507.9840000000002</v>
      </c>
      <c r="X19" s="133">
        <f>VLOOKUP($C$19,Servant!$B$5:$AD$29,18,FALSE)+($F19+($F19*0.5*($D19-1)))*(X$3-1)</f>
        <v>1597.0496000000001</v>
      </c>
      <c r="Y19" s="133">
        <f>VLOOKUP($C$19,Servant!$B$5:$AD$29,18,FALSE)+($F19+($F19*0.5*($D19-1)))*(Y$3-1)</f>
        <v>1686.1152</v>
      </c>
      <c r="Z19" s="133">
        <f>VLOOKUP($C$19,Servant!$B$5:$AD$29,18,FALSE)+($F19+($F19*0.5*($D19-1)))*(Z$3-1)</f>
        <v>1775.1808000000001</v>
      </c>
      <c r="AA19" s="133">
        <f>VLOOKUP($C$19,Servant!$B$5:$AD$29,18,FALSE)+($F19+($F19*0.5*($D19-1)))*(AA$3-1)</f>
        <v>1864.2464</v>
      </c>
      <c r="AB19" s="133">
        <f>VLOOKUP($C$19,Servant!$B$5:$AD$29,18,FALSE)+($F19+($F19*0.5*($D19-1)))*(AB$3-1)</f>
        <v>1953.3120000000001</v>
      </c>
      <c r="AC19" s="133">
        <f>VLOOKUP($C$19,Servant!$B$5:$AD$29,18,FALSE)+($F19+($F19*0.5*($D19-1)))*(AC$3-1)</f>
        <v>2042.3776</v>
      </c>
      <c r="AD19" s="133">
        <f>VLOOKUP($C$19,Servant!$B$5:$AD$29,18,FALSE)+($F19+($F19*0.5*($D19-1)))*(AD$3-1)</f>
        <v>2131.4432000000002</v>
      </c>
      <c r="AE19" s="133">
        <f>VLOOKUP($C$19,Servant!$B$5:$AD$29,18,FALSE)+($F19+($F19*0.5*($D19-1)))*(AE$3-1)</f>
        <v>2220.5088000000001</v>
      </c>
      <c r="AF19" s="133">
        <f>VLOOKUP($C$19,Servant!$B$5:$AD$29,18,FALSE)+($F19+($F19*0.5*($D19-1)))*(AF$3-1)</f>
        <v>2309.5744</v>
      </c>
      <c r="AG19" s="133">
        <f>VLOOKUP($C$19,Servant!$B$5:$AD$29,18,FALSE)+($F19+($F19*0.5*($D19-1)))*(AG$3-1)</f>
        <v>2398.64</v>
      </c>
      <c r="AH19" s="133">
        <f>VLOOKUP($C$19,Servant!$B$5:$AD$29,18,FALSE)+($F19+($F19*0.5*($D19-1)))*(AH$3-1)</f>
        <v>2487.7056000000002</v>
      </c>
      <c r="AI19" s="133">
        <f>VLOOKUP($C$19,Servant!$B$5:$AD$29,18,FALSE)+($F19+($F19*0.5*($D19-1)))*(AI$3-1)</f>
        <v>2576.7712000000001</v>
      </c>
      <c r="AJ19" s="133">
        <f>VLOOKUP($C$19,Servant!$B$5:$AD$29,18,FALSE)+($F19+($F19*0.5*($D19-1)))*(AJ$3-1)</f>
        <v>2665.8368</v>
      </c>
      <c r="AK19" s="133">
        <f>VLOOKUP($C$19,Servant!$B$5:$AD$29,18,FALSE)+($F19+($F19*0.5*($D19-1)))*(AK$3-1)</f>
        <v>2754.9023999999999</v>
      </c>
    </row>
    <row r="20" spans="2:37" x14ac:dyDescent="0.3">
      <c r="B20" s="309"/>
      <c r="C20" s="314"/>
      <c r="D20" s="134">
        <v>2</v>
      </c>
      <c r="E20" s="132">
        <f>VLOOKUP($C$19,ServantLevelUPdStatus!$B$5:$AD$29,6,FALSE)+(VLOOKUP($C$19,ServantLevelUPdStatus!$B$5:$AD$29,6,FALSE)*0.5*(Simulator_AttkPow!$D20-1))</f>
        <v>133.5984</v>
      </c>
      <c r="F20" s="135">
        <f>F19</f>
        <v>89.065600000000003</v>
      </c>
      <c r="H20" s="133">
        <f>VLOOKUP($C$19,Servant!$B$5:$AD$29,18,FALSE)+($F20+($F20*0.5*($D20-1)))*(H$3-1)</f>
        <v>172</v>
      </c>
      <c r="I20" s="133">
        <f>VLOOKUP($C$19,Servant!$B$5:$AD$29,18,FALSE)+($F20+($F20*0.5*($D20-1)))*(I$3-1)</f>
        <v>305.59839999999997</v>
      </c>
      <c r="J20" s="133">
        <f>VLOOKUP($C$19,Servant!$B$5:$AD$29,18,FALSE)+($F20+($F20*0.5*($D20-1)))*(J$3-1)</f>
        <v>439.1968</v>
      </c>
      <c r="K20" s="133">
        <f>VLOOKUP($C$19,Servant!$B$5:$AD$29,18,FALSE)+($F20+($F20*0.5*($D20-1)))*(K$3-1)</f>
        <v>572.79520000000002</v>
      </c>
      <c r="L20" s="133">
        <f>VLOOKUP($C$19,Servant!$B$5:$AD$29,18,FALSE)+($F20+($F20*0.5*($D20-1)))*(L$3-1)</f>
        <v>706.39359999999999</v>
      </c>
      <c r="M20" s="133">
        <f>VLOOKUP($C$19,Servant!$B$5:$AD$29,18,FALSE)+($F20+($F20*0.5*($D20-1)))*(M$3-1)</f>
        <v>839.99199999999996</v>
      </c>
      <c r="N20" s="133">
        <f>VLOOKUP($C$19,Servant!$B$5:$AD$29,18,FALSE)+($F20+($F20*0.5*($D20-1)))*(N$3-1)</f>
        <v>973.59040000000005</v>
      </c>
      <c r="O20" s="133">
        <f>VLOOKUP($C$19,Servant!$B$5:$AD$29,18,FALSE)+($F20+($F20*0.5*($D20-1)))*(O$3-1)</f>
        <v>1107.1887999999999</v>
      </c>
      <c r="P20" s="133">
        <f>VLOOKUP($C$19,Servant!$B$5:$AD$29,18,FALSE)+($F20+($F20*0.5*($D20-1)))*(P$3-1)</f>
        <v>1240.7872</v>
      </c>
      <c r="Q20" s="133">
        <f>VLOOKUP($C$19,Servant!$B$5:$AD$29,18,FALSE)+($F20+($F20*0.5*($D20-1)))*(Q$3-1)</f>
        <v>1374.3856000000001</v>
      </c>
      <c r="R20" s="133">
        <f>VLOOKUP($C$19,Servant!$B$5:$AD$29,18,FALSE)+($F20+($F20*0.5*($D20-1)))*(R$3-1)</f>
        <v>1507.9839999999999</v>
      </c>
      <c r="S20" s="133">
        <f>VLOOKUP($C$19,Servant!$B$5:$AD$29,18,FALSE)+($F20+($F20*0.5*($D20-1)))*(S$3-1)</f>
        <v>1641.5824</v>
      </c>
      <c r="T20" s="133">
        <f>VLOOKUP($C$19,Servant!$B$5:$AD$29,18,FALSE)+($F20+($F20*0.5*($D20-1)))*(T$3-1)</f>
        <v>1775.1808000000001</v>
      </c>
      <c r="U20" s="133">
        <f>VLOOKUP($C$19,Servant!$B$5:$AD$29,18,FALSE)+($F20+($F20*0.5*($D20-1)))*(U$3-1)</f>
        <v>1908.7791999999999</v>
      </c>
      <c r="V20" s="133">
        <f>VLOOKUP($C$19,Servant!$B$5:$AD$29,18,FALSE)+($F20+($F20*0.5*($D20-1)))*(V$3-1)</f>
        <v>2042.3776</v>
      </c>
      <c r="W20" s="133">
        <f>VLOOKUP($C$19,Servant!$B$5:$AD$29,18,FALSE)+($F20+($F20*0.5*($D20-1)))*(W$3-1)</f>
        <v>2175.9759999999997</v>
      </c>
      <c r="X20" s="133">
        <f>VLOOKUP($C$19,Servant!$B$5:$AD$29,18,FALSE)+($F20+($F20*0.5*($D20-1)))*(X$3-1)</f>
        <v>2309.5744</v>
      </c>
      <c r="Y20" s="133">
        <f>VLOOKUP($C$19,Servant!$B$5:$AD$29,18,FALSE)+($F20+($F20*0.5*($D20-1)))*(Y$3-1)</f>
        <v>2443.1727999999998</v>
      </c>
      <c r="Z20" s="133">
        <f>VLOOKUP($C$19,Servant!$B$5:$AD$29,18,FALSE)+($F20+($F20*0.5*($D20-1)))*(Z$3-1)</f>
        <v>2576.7712000000001</v>
      </c>
      <c r="AA20" s="133">
        <f>VLOOKUP($C$19,Servant!$B$5:$AD$29,18,FALSE)+($F20+($F20*0.5*($D20-1)))*(AA$3-1)</f>
        <v>2710.3696</v>
      </c>
      <c r="AB20" s="133">
        <f>VLOOKUP($C$19,Servant!$B$5:$AD$29,18,FALSE)+($F20+($F20*0.5*($D20-1)))*(AB$3-1)</f>
        <v>2843.9679999999998</v>
      </c>
      <c r="AC20" s="133">
        <f>VLOOKUP($C$19,Servant!$B$5:$AD$29,18,FALSE)+($F20+($F20*0.5*($D20-1)))*(AC$3-1)</f>
        <v>2977.5664000000002</v>
      </c>
      <c r="AD20" s="133">
        <f>VLOOKUP($C$19,Servant!$B$5:$AD$29,18,FALSE)+($F20+($F20*0.5*($D20-1)))*(AD$3-1)</f>
        <v>3111.1648</v>
      </c>
      <c r="AE20" s="133">
        <f>VLOOKUP($C$19,Servant!$B$5:$AD$29,18,FALSE)+($F20+($F20*0.5*($D20-1)))*(AE$3-1)</f>
        <v>3244.7631999999999</v>
      </c>
      <c r="AF20" s="133">
        <f>VLOOKUP($C$19,Servant!$B$5:$AD$29,18,FALSE)+($F20+($F20*0.5*($D20-1)))*(AF$3-1)</f>
        <v>3378.3616000000002</v>
      </c>
      <c r="AG20" s="133">
        <f>VLOOKUP($C$19,Servant!$B$5:$AD$29,18,FALSE)+($F20+($F20*0.5*($D20-1)))*(AG$3-1)</f>
        <v>3511.96</v>
      </c>
      <c r="AH20" s="133">
        <f>VLOOKUP($C$19,Servant!$B$5:$AD$29,18,FALSE)+($F20+($F20*0.5*($D20-1)))*(AH$3-1)</f>
        <v>3645.5583999999999</v>
      </c>
      <c r="AI20" s="133">
        <f>VLOOKUP($C$19,Servant!$B$5:$AD$29,18,FALSE)+($F20+($F20*0.5*($D20-1)))*(AI$3-1)</f>
        <v>3779.1567999999997</v>
      </c>
      <c r="AJ20" s="133">
        <f>VLOOKUP($C$19,Servant!$B$5:$AD$29,18,FALSE)+($F20+($F20*0.5*($D20-1)))*(AJ$3-1)</f>
        <v>3912.7552000000001</v>
      </c>
      <c r="AK20" s="133">
        <f>VLOOKUP($C$19,Servant!$B$5:$AD$29,18,FALSE)+($F20+($F20*0.5*($D20-1)))*(AK$3-1)</f>
        <v>4046.3535999999999</v>
      </c>
    </row>
    <row r="21" spans="2:37" x14ac:dyDescent="0.3">
      <c r="B21" s="309"/>
      <c r="C21" s="314"/>
      <c r="D21" s="134">
        <v>3</v>
      </c>
      <c r="E21" s="132">
        <f>VLOOKUP($C$19,ServantLevelUPdStatus!$B$5:$AD$29,6,FALSE)+(VLOOKUP($C$19,ServantLevelUPdStatus!$B$5:$AD$29,6,FALSE)*0.5*(Simulator_AttkPow!$D21-1))</f>
        <v>178.13120000000001</v>
      </c>
      <c r="F21" s="135">
        <f>F20</f>
        <v>89.065600000000003</v>
      </c>
      <c r="H21" s="133">
        <f>VLOOKUP($C$19,Servant!$B$5:$AD$29,18,FALSE)+($F21+($F21*0.5*($D21-1)))*(H$3-1)</f>
        <v>172</v>
      </c>
      <c r="I21" s="133">
        <f>VLOOKUP($C$19,Servant!$B$5:$AD$29,18,FALSE)+($F21+($F21*0.5*($D21-1)))*(I$3-1)</f>
        <v>350.13120000000004</v>
      </c>
      <c r="J21" s="133">
        <f>VLOOKUP($C$19,Servant!$B$5:$AD$29,18,FALSE)+($F21+($F21*0.5*($D21-1)))*(J$3-1)</f>
        <v>528.26240000000007</v>
      </c>
      <c r="K21" s="133">
        <f>VLOOKUP($C$19,Servant!$B$5:$AD$29,18,FALSE)+($F21+($F21*0.5*($D21-1)))*(K$3-1)</f>
        <v>706.39359999999999</v>
      </c>
      <c r="L21" s="133">
        <f>VLOOKUP($C$19,Servant!$B$5:$AD$29,18,FALSE)+($F21+($F21*0.5*($D21-1)))*(L$3-1)</f>
        <v>884.52480000000003</v>
      </c>
      <c r="M21" s="133">
        <f>VLOOKUP($C$19,Servant!$B$5:$AD$29,18,FALSE)+($F21+($F21*0.5*($D21-1)))*(M$3-1)</f>
        <v>1062.6559999999999</v>
      </c>
      <c r="N21" s="133">
        <f>VLOOKUP($C$19,Servant!$B$5:$AD$29,18,FALSE)+($F21+($F21*0.5*($D21-1)))*(N$3-1)</f>
        <v>1240.7872</v>
      </c>
      <c r="O21" s="133">
        <f>VLOOKUP($C$19,Servant!$B$5:$AD$29,18,FALSE)+($F21+($F21*0.5*($D21-1)))*(O$3-1)</f>
        <v>1418.9184</v>
      </c>
      <c r="P21" s="133">
        <f>VLOOKUP($C$19,Servant!$B$5:$AD$29,18,FALSE)+($F21+($F21*0.5*($D21-1)))*(P$3-1)</f>
        <v>1597.0496000000001</v>
      </c>
      <c r="Q21" s="133">
        <f>VLOOKUP($C$19,Servant!$B$5:$AD$29,18,FALSE)+($F21+($F21*0.5*($D21-1)))*(Q$3-1)</f>
        <v>1775.1808000000001</v>
      </c>
      <c r="R21" s="133">
        <f>VLOOKUP($C$19,Servant!$B$5:$AD$29,18,FALSE)+($F21+($F21*0.5*($D21-1)))*(R$3-1)</f>
        <v>1953.3120000000001</v>
      </c>
      <c r="S21" s="133">
        <f>VLOOKUP($C$19,Servant!$B$5:$AD$29,18,FALSE)+($F21+($F21*0.5*($D21-1)))*(S$3-1)</f>
        <v>2131.4432000000002</v>
      </c>
      <c r="T21" s="133">
        <f>VLOOKUP($C$19,Servant!$B$5:$AD$29,18,FALSE)+($F21+($F21*0.5*($D21-1)))*(T$3-1)</f>
        <v>2309.5744</v>
      </c>
      <c r="U21" s="133">
        <f>VLOOKUP($C$19,Servant!$B$5:$AD$29,18,FALSE)+($F21+($F21*0.5*($D21-1)))*(U$3-1)</f>
        <v>2487.7056000000002</v>
      </c>
      <c r="V21" s="133">
        <f>VLOOKUP($C$19,Servant!$B$5:$AD$29,18,FALSE)+($F21+($F21*0.5*($D21-1)))*(V$3-1)</f>
        <v>2665.8368</v>
      </c>
      <c r="W21" s="133">
        <f>VLOOKUP($C$19,Servant!$B$5:$AD$29,18,FALSE)+($F21+($F21*0.5*($D21-1)))*(W$3-1)</f>
        <v>2843.9680000000003</v>
      </c>
      <c r="X21" s="133">
        <f>VLOOKUP($C$19,Servant!$B$5:$AD$29,18,FALSE)+($F21+($F21*0.5*($D21-1)))*(X$3-1)</f>
        <v>3022.0992000000001</v>
      </c>
      <c r="Y21" s="133">
        <f>VLOOKUP($C$19,Servant!$B$5:$AD$29,18,FALSE)+($F21+($F21*0.5*($D21-1)))*(Y$3-1)</f>
        <v>3200.2303999999999</v>
      </c>
      <c r="Z21" s="133">
        <f>VLOOKUP($C$19,Servant!$B$5:$AD$29,18,FALSE)+($F21+($F21*0.5*($D21-1)))*(Z$3-1)</f>
        <v>3378.3616000000002</v>
      </c>
      <c r="AA21" s="133">
        <f>VLOOKUP($C$19,Servant!$B$5:$AD$29,18,FALSE)+($F21+($F21*0.5*($D21-1)))*(AA$3-1)</f>
        <v>3556.4928</v>
      </c>
      <c r="AB21" s="133">
        <f>VLOOKUP($C$19,Servant!$B$5:$AD$29,18,FALSE)+($F21+($F21*0.5*($D21-1)))*(AB$3-1)</f>
        <v>3734.6240000000003</v>
      </c>
      <c r="AC21" s="133">
        <f>VLOOKUP($C$19,Servant!$B$5:$AD$29,18,FALSE)+($F21+($F21*0.5*($D21-1)))*(AC$3-1)</f>
        <v>3912.7552000000001</v>
      </c>
      <c r="AD21" s="133">
        <f>VLOOKUP($C$19,Servant!$B$5:$AD$29,18,FALSE)+($F21+($F21*0.5*($D21-1)))*(AD$3-1)</f>
        <v>4090.8864000000003</v>
      </c>
      <c r="AE21" s="133">
        <f>VLOOKUP($C$19,Servant!$B$5:$AD$29,18,FALSE)+($F21+($F21*0.5*($D21-1)))*(AE$3-1)</f>
        <v>4269.0176000000001</v>
      </c>
      <c r="AF21" s="133">
        <f>VLOOKUP($C$19,Servant!$B$5:$AD$29,18,FALSE)+($F21+($F21*0.5*($D21-1)))*(AF$3-1)</f>
        <v>4447.1487999999999</v>
      </c>
      <c r="AG21" s="133">
        <f>VLOOKUP($C$19,Servant!$B$5:$AD$29,18,FALSE)+($F21+($F21*0.5*($D21-1)))*(AG$3-1)</f>
        <v>4625.28</v>
      </c>
      <c r="AH21" s="133">
        <f>VLOOKUP($C$19,Servant!$B$5:$AD$29,18,FALSE)+($F21+($F21*0.5*($D21-1)))*(AH$3-1)</f>
        <v>4803.4112000000005</v>
      </c>
      <c r="AI21" s="133">
        <f>VLOOKUP($C$19,Servant!$B$5:$AD$29,18,FALSE)+($F21+($F21*0.5*($D21-1)))*(AI$3-1)</f>
        <v>4981.5424000000003</v>
      </c>
      <c r="AJ21" s="133">
        <f>VLOOKUP($C$19,Servant!$B$5:$AD$29,18,FALSE)+($F21+($F21*0.5*($D21-1)))*(AJ$3-1)</f>
        <v>5159.6736000000001</v>
      </c>
      <c r="AK21" s="133">
        <f>VLOOKUP($C$19,Servant!$B$5:$AD$29,18,FALSE)+($F21+($F21*0.5*($D21-1)))*(AK$3-1)</f>
        <v>5337.8047999999999</v>
      </c>
    </row>
    <row r="22" spans="2:37" x14ac:dyDescent="0.3">
      <c r="B22" s="309"/>
      <c r="C22" s="318" t="s">
        <v>237</v>
      </c>
      <c r="D22" s="127">
        <v>2</v>
      </c>
      <c r="E22" s="120">
        <f>VLOOKUP($C$22,ServantLevelUPdStatus!$B$5:$AD$29,6,FALSE)+(VLOOKUP($C$22,ServantLevelUPdStatus!$B$5:$AD$29,6,FALSE)*0.5*(Simulator_AttkPow!$D22-1))</f>
        <v>197.12549999999999</v>
      </c>
      <c r="F22" s="120">
        <f>VLOOKUP($C$22,ServantLevelUPdStatus!$B$5:$AD$29,6,FALSE)</f>
        <v>131.417</v>
      </c>
      <c r="H22" s="113">
        <f>VLOOKUP($C$22,Servant!$B$5:$AD$29,18,FALSE)+($F22+($F22*0.5*($D22-1)))*(H$3-1)</f>
        <v>328</v>
      </c>
      <c r="I22" s="113">
        <f>VLOOKUP($C$22,Servant!$B$5:$AD$29,18,FALSE)+($F22+($F22*0.5*($D22-1)))*(I$3-1)</f>
        <v>525.12549999999999</v>
      </c>
      <c r="J22" s="113">
        <f>VLOOKUP($C$22,Servant!$B$5:$AD$29,18,FALSE)+($F22+($F22*0.5*($D22-1)))*(J$3-1)</f>
        <v>722.25099999999998</v>
      </c>
      <c r="K22" s="113">
        <f>VLOOKUP($C$22,Servant!$B$5:$AD$29,18,FALSE)+($F22+($F22*0.5*($D22-1)))*(K$3-1)</f>
        <v>919.37649999999996</v>
      </c>
      <c r="L22" s="113">
        <f>VLOOKUP($C$22,Servant!$B$5:$AD$29,18,FALSE)+($F22+($F22*0.5*($D22-1)))*(L$3-1)</f>
        <v>1116.502</v>
      </c>
      <c r="M22" s="113">
        <f>VLOOKUP($C$22,Servant!$B$5:$AD$29,18,FALSE)+($F22+($F22*0.5*($D22-1)))*(M$3-1)</f>
        <v>1313.6275000000001</v>
      </c>
      <c r="N22" s="113">
        <f>VLOOKUP($C$22,Servant!$B$5:$AD$29,18,FALSE)+($F22+($F22*0.5*($D22-1)))*(N$3-1)</f>
        <v>1510.7529999999999</v>
      </c>
      <c r="O22" s="113">
        <f>VLOOKUP($C$22,Servant!$B$5:$AD$29,18,FALSE)+($F22+($F22*0.5*($D22-1)))*(O$3-1)</f>
        <v>1707.8784999999998</v>
      </c>
      <c r="P22" s="113">
        <f>VLOOKUP($C$22,Servant!$B$5:$AD$29,18,FALSE)+($F22+($F22*0.5*($D22-1)))*(P$3-1)</f>
        <v>1905.0039999999999</v>
      </c>
      <c r="Q22" s="113">
        <f>VLOOKUP($C$22,Servant!$B$5:$AD$29,18,FALSE)+($F22+($F22*0.5*($D22-1)))*(Q$3-1)</f>
        <v>2102.1295</v>
      </c>
      <c r="R22" s="113">
        <f>VLOOKUP($C$22,Servant!$B$5:$AD$29,18,FALSE)+($F22+($F22*0.5*($D22-1)))*(R$3-1)</f>
        <v>2299.2550000000001</v>
      </c>
      <c r="S22" s="113">
        <f>VLOOKUP($C$22,Servant!$B$5:$AD$29,18,FALSE)+($F22+($F22*0.5*($D22-1)))*(S$3-1)</f>
        <v>2496.3804999999998</v>
      </c>
      <c r="T22" s="113">
        <f>VLOOKUP($C$22,Servant!$B$5:$AD$29,18,FALSE)+($F22+($F22*0.5*($D22-1)))*(T$3-1)</f>
        <v>2693.5059999999999</v>
      </c>
      <c r="U22" s="113">
        <f>VLOOKUP($C$22,Servant!$B$5:$AD$29,18,FALSE)+($F22+($F22*0.5*($D22-1)))*(U$3-1)</f>
        <v>2890.6315</v>
      </c>
      <c r="V22" s="113">
        <f>VLOOKUP($C$22,Servant!$B$5:$AD$29,18,FALSE)+($F22+($F22*0.5*($D22-1)))*(V$3-1)</f>
        <v>3087.7569999999996</v>
      </c>
      <c r="W22" s="113">
        <f>VLOOKUP($C$22,Servant!$B$5:$AD$29,18,FALSE)+($F22+($F22*0.5*($D22-1)))*(W$3-1)</f>
        <v>3284.8824999999997</v>
      </c>
      <c r="X22" s="113">
        <f>VLOOKUP($C$22,Servant!$B$5:$AD$29,18,FALSE)+($F22+($F22*0.5*($D22-1)))*(X$3-1)</f>
        <v>3482.0079999999998</v>
      </c>
      <c r="Y22" s="113">
        <f>VLOOKUP($C$22,Servant!$B$5:$AD$29,18,FALSE)+($F22+($F22*0.5*($D22-1)))*(Y$3-1)</f>
        <v>3679.1334999999999</v>
      </c>
      <c r="Z22" s="113">
        <f>VLOOKUP($C$22,Servant!$B$5:$AD$29,18,FALSE)+($F22+($F22*0.5*($D22-1)))*(Z$3-1)</f>
        <v>3876.259</v>
      </c>
      <c r="AA22" s="113">
        <f>VLOOKUP($C$22,Servant!$B$5:$AD$29,18,FALSE)+($F22+($F22*0.5*($D22-1)))*(AA$3-1)</f>
        <v>4073.3844999999997</v>
      </c>
      <c r="AB22" s="113">
        <f>VLOOKUP($C$22,Servant!$B$5:$AD$29,18,FALSE)+($F22+($F22*0.5*($D22-1)))*(AB$3-1)</f>
        <v>4270.51</v>
      </c>
      <c r="AC22" s="113">
        <f>VLOOKUP($C$22,Servant!$B$5:$AD$29,18,FALSE)+($F22+($F22*0.5*($D22-1)))*(AC$3-1)</f>
        <v>4467.6354999999994</v>
      </c>
      <c r="AD22" s="113">
        <f>VLOOKUP($C$22,Servant!$B$5:$AD$29,18,FALSE)+($F22+($F22*0.5*($D22-1)))*(AD$3-1)</f>
        <v>4664.7609999999995</v>
      </c>
      <c r="AE22" s="113">
        <f>VLOOKUP($C$22,Servant!$B$5:$AD$29,18,FALSE)+($F22+($F22*0.5*($D22-1)))*(AE$3-1)</f>
        <v>4861.8864999999996</v>
      </c>
      <c r="AF22" s="113">
        <f>VLOOKUP($C$22,Servant!$B$5:$AD$29,18,FALSE)+($F22+($F22*0.5*($D22-1)))*(AF$3-1)</f>
        <v>5059.0119999999997</v>
      </c>
      <c r="AG22" s="113">
        <f>VLOOKUP($C$22,Servant!$B$5:$AD$29,18,FALSE)+($F22+($F22*0.5*($D22-1)))*(AG$3-1)</f>
        <v>5256.1374999999998</v>
      </c>
      <c r="AH22" s="113">
        <f>VLOOKUP($C$22,Servant!$B$5:$AD$29,18,FALSE)+($F22+($F22*0.5*($D22-1)))*(AH$3-1)</f>
        <v>5453.2629999999999</v>
      </c>
      <c r="AI22" s="113">
        <f>VLOOKUP($C$22,Servant!$B$5:$AD$29,18,FALSE)+($F22+($F22*0.5*($D22-1)))*(AI$3-1)</f>
        <v>5650.3885</v>
      </c>
      <c r="AJ22" s="113">
        <f>VLOOKUP($C$22,Servant!$B$5:$AD$29,18,FALSE)+($F22+($F22*0.5*($D22-1)))*(AJ$3-1)</f>
        <v>5847.5139999999992</v>
      </c>
      <c r="AK22" s="113">
        <f>VLOOKUP($C$22,Servant!$B$5:$AD$29,18,FALSE)+($F22+($F22*0.5*($D22-1)))*(AK$3-1)</f>
        <v>6044.6394999999993</v>
      </c>
    </row>
    <row r="23" spans="2:37" x14ac:dyDescent="0.3">
      <c r="B23" s="309"/>
      <c r="C23" s="318"/>
      <c r="D23" s="127">
        <v>3</v>
      </c>
      <c r="E23" s="120">
        <f>VLOOKUP($C$22,ServantLevelUPdStatus!$B$5:$AD$29,6,FALSE)+(VLOOKUP($C$22,ServantLevelUPdStatus!$B$5:$AD$29,6,FALSE)*0.5*(Simulator_AttkPow!$D23-1))</f>
        <v>262.834</v>
      </c>
      <c r="F23" s="119">
        <f>F22</f>
        <v>131.417</v>
      </c>
      <c r="H23" s="113">
        <f>VLOOKUP($C$22,Servant!$B$5:$AD$29,18,FALSE)+($F23+($F23*0.5*($D23-1)))*(H$3-1)</f>
        <v>328</v>
      </c>
      <c r="I23" s="113">
        <f>VLOOKUP($C$22,Servant!$B$5:$AD$29,18,FALSE)+($F23+($F23*0.5*($D23-1)))*(I$3-1)</f>
        <v>590.83400000000006</v>
      </c>
      <c r="J23" s="113">
        <f>VLOOKUP($C$22,Servant!$B$5:$AD$29,18,FALSE)+($F23+($F23*0.5*($D23-1)))*(J$3-1)</f>
        <v>853.66800000000001</v>
      </c>
      <c r="K23" s="113">
        <f>VLOOKUP($C$22,Servant!$B$5:$AD$29,18,FALSE)+($F23+($F23*0.5*($D23-1)))*(K$3-1)</f>
        <v>1116.502</v>
      </c>
      <c r="L23" s="113">
        <f>VLOOKUP($C$22,Servant!$B$5:$AD$29,18,FALSE)+($F23+($F23*0.5*($D23-1)))*(L$3-1)</f>
        <v>1379.336</v>
      </c>
      <c r="M23" s="113">
        <f>VLOOKUP($C$22,Servant!$B$5:$AD$29,18,FALSE)+($F23+($F23*0.5*($D23-1)))*(M$3-1)</f>
        <v>1642.17</v>
      </c>
      <c r="N23" s="113">
        <f>VLOOKUP($C$22,Servant!$B$5:$AD$29,18,FALSE)+($F23+($F23*0.5*($D23-1)))*(N$3-1)</f>
        <v>1905.0039999999999</v>
      </c>
      <c r="O23" s="113">
        <f>VLOOKUP($C$22,Servant!$B$5:$AD$29,18,FALSE)+($F23+($F23*0.5*($D23-1)))*(O$3-1)</f>
        <v>2167.8379999999997</v>
      </c>
      <c r="P23" s="113">
        <f>VLOOKUP($C$22,Servant!$B$5:$AD$29,18,FALSE)+($F23+($F23*0.5*($D23-1)))*(P$3-1)</f>
        <v>2430.672</v>
      </c>
      <c r="Q23" s="113">
        <f>VLOOKUP($C$22,Servant!$B$5:$AD$29,18,FALSE)+($F23+($F23*0.5*($D23-1)))*(Q$3-1)</f>
        <v>2693.5059999999999</v>
      </c>
      <c r="R23" s="113">
        <f>VLOOKUP($C$22,Servant!$B$5:$AD$29,18,FALSE)+($F23+($F23*0.5*($D23-1)))*(R$3-1)</f>
        <v>2956.34</v>
      </c>
      <c r="S23" s="113">
        <f>VLOOKUP($C$22,Servant!$B$5:$AD$29,18,FALSE)+($F23+($F23*0.5*($D23-1)))*(S$3-1)</f>
        <v>3219.174</v>
      </c>
      <c r="T23" s="113">
        <f>VLOOKUP($C$22,Servant!$B$5:$AD$29,18,FALSE)+($F23+($F23*0.5*($D23-1)))*(T$3-1)</f>
        <v>3482.0079999999998</v>
      </c>
      <c r="U23" s="113">
        <f>VLOOKUP($C$22,Servant!$B$5:$AD$29,18,FALSE)+($F23+($F23*0.5*($D23-1)))*(U$3-1)</f>
        <v>3744.8420000000001</v>
      </c>
      <c r="V23" s="113">
        <f>VLOOKUP($C$22,Servant!$B$5:$AD$29,18,FALSE)+($F23+($F23*0.5*($D23-1)))*(V$3-1)</f>
        <v>4007.6759999999999</v>
      </c>
      <c r="W23" s="113">
        <f>VLOOKUP($C$22,Servant!$B$5:$AD$29,18,FALSE)+($F23+($F23*0.5*($D23-1)))*(W$3-1)</f>
        <v>4270.51</v>
      </c>
      <c r="X23" s="113">
        <f>VLOOKUP($C$22,Servant!$B$5:$AD$29,18,FALSE)+($F23+($F23*0.5*($D23-1)))*(X$3-1)</f>
        <v>4533.3440000000001</v>
      </c>
      <c r="Y23" s="113">
        <f>VLOOKUP($C$22,Servant!$B$5:$AD$29,18,FALSE)+($F23+($F23*0.5*($D23-1)))*(Y$3-1)</f>
        <v>4796.1779999999999</v>
      </c>
      <c r="Z23" s="113">
        <f>VLOOKUP($C$22,Servant!$B$5:$AD$29,18,FALSE)+($F23+($F23*0.5*($D23-1)))*(Z$3-1)</f>
        <v>5059.0119999999997</v>
      </c>
      <c r="AA23" s="113">
        <f>VLOOKUP($C$22,Servant!$B$5:$AD$29,18,FALSE)+($F23+($F23*0.5*($D23-1)))*(AA$3-1)</f>
        <v>5321.8460000000005</v>
      </c>
      <c r="AB23" s="113">
        <f>VLOOKUP($C$22,Servant!$B$5:$AD$29,18,FALSE)+($F23+($F23*0.5*($D23-1)))*(AB$3-1)</f>
        <v>5584.68</v>
      </c>
      <c r="AC23" s="113">
        <f>VLOOKUP($C$22,Servant!$B$5:$AD$29,18,FALSE)+($F23+($F23*0.5*($D23-1)))*(AC$3-1)</f>
        <v>5847.5140000000001</v>
      </c>
      <c r="AD23" s="113">
        <f>VLOOKUP($C$22,Servant!$B$5:$AD$29,18,FALSE)+($F23+($F23*0.5*($D23-1)))*(AD$3-1)</f>
        <v>6110.348</v>
      </c>
      <c r="AE23" s="113">
        <f>VLOOKUP($C$22,Servant!$B$5:$AD$29,18,FALSE)+($F23+($F23*0.5*($D23-1)))*(AE$3-1)</f>
        <v>6373.1819999999998</v>
      </c>
      <c r="AF23" s="113">
        <f>VLOOKUP($C$22,Servant!$B$5:$AD$29,18,FALSE)+($F23+($F23*0.5*($D23-1)))*(AF$3-1)</f>
        <v>6636.0159999999996</v>
      </c>
      <c r="AG23" s="113">
        <f>VLOOKUP($C$22,Servant!$B$5:$AD$29,18,FALSE)+($F23+($F23*0.5*($D23-1)))*(AG$3-1)</f>
        <v>6898.85</v>
      </c>
      <c r="AH23" s="113">
        <f>VLOOKUP($C$22,Servant!$B$5:$AD$29,18,FALSE)+($F23+($F23*0.5*($D23-1)))*(AH$3-1)</f>
        <v>7161.6840000000002</v>
      </c>
      <c r="AI23" s="113">
        <f>VLOOKUP($C$22,Servant!$B$5:$AD$29,18,FALSE)+($F23+($F23*0.5*($D23-1)))*(AI$3-1)</f>
        <v>7424.518</v>
      </c>
      <c r="AJ23" s="113">
        <f>VLOOKUP($C$22,Servant!$B$5:$AD$29,18,FALSE)+($F23+($F23*0.5*($D23-1)))*(AJ$3-1)</f>
        <v>7687.3519999999999</v>
      </c>
      <c r="AK23" s="113">
        <f>VLOOKUP($C$22,Servant!$B$5:$AD$29,18,FALSE)+($F23+($F23*0.5*($D23-1)))*(AK$3-1)</f>
        <v>7950.1859999999997</v>
      </c>
    </row>
    <row r="24" spans="2:37" x14ac:dyDescent="0.3">
      <c r="B24" s="309"/>
      <c r="C24" s="318"/>
      <c r="D24" s="127">
        <v>4</v>
      </c>
      <c r="E24" s="120">
        <f>VLOOKUP($C$22,ServantLevelUPdStatus!$B$5:$AD$29,6,FALSE)+(VLOOKUP($C$22,ServantLevelUPdStatus!$B$5:$AD$29,6,FALSE)*0.5*(Simulator_AttkPow!$D24-1))</f>
        <v>328.54250000000002</v>
      </c>
      <c r="F24" s="119">
        <f>F23</f>
        <v>131.417</v>
      </c>
      <c r="H24" s="113">
        <f>VLOOKUP($C$22,Servant!$B$5:$AD$29,18,FALSE)+($F24+($F24*0.5*($D24-1)))*(H$3-1)</f>
        <v>328</v>
      </c>
      <c r="I24" s="113">
        <f>VLOOKUP($C$22,Servant!$B$5:$AD$29,18,FALSE)+($F24+($F24*0.5*($D24-1)))*(I$3-1)</f>
        <v>656.54250000000002</v>
      </c>
      <c r="J24" s="113">
        <f>VLOOKUP($C$22,Servant!$B$5:$AD$29,18,FALSE)+($F24+($F24*0.5*($D24-1)))*(J$3-1)</f>
        <v>985.08500000000004</v>
      </c>
      <c r="K24" s="113">
        <f>VLOOKUP($C$22,Servant!$B$5:$AD$29,18,FALSE)+($F24+($F24*0.5*($D24-1)))*(K$3-1)</f>
        <v>1313.6275000000001</v>
      </c>
      <c r="L24" s="113">
        <f>VLOOKUP($C$22,Servant!$B$5:$AD$29,18,FALSE)+($F24+($F24*0.5*($D24-1)))*(L$3-1)</f>
        <v>1642.17</v>
      </c>
      <c r="M24" s="113">
        <f>VLOOKUP($C$22,Servant!$B$5:$AD$29,18,FALSE)+($F24+($F24*0.5*($D24-1)))*(M$3-1)</f>
        <v>1970.7125000000001</v>
      </c>
      <c r="N24" s="113">
        <f>VLOOKUP($C$22,Servant!$B$5:$AD$29,18,FALSE)+($F24+($F24*0.5*($D24-1)))*(N$3-1)</f>
        <v>2299.2550000000001</v>
      </c>
      <c r="O24" s="113">
        <f>VLOOKUP($C$22,Servant!$B$5:$AD$29,18,FALSE)+($F24+($F24*0.5*($D24-1)))*(O$3-1)</f>
        <v>2627.7975000000001</v>
      </c>
      <c r="P24" s="113">
        <f>VLOOKUP($C$22,Servant!$B$5:$AD$29,18,FALSE)+($F24+($F24*0.5*($D24-1)))*(P$3-1)</f>
        <v>2956.34</v>
      </c>
      <c r="Q24" s="113">
        <f>VLOOKUP($C$22,Servant!$B$5:$AD$29,18,FALSE)+($F24+($F24*0.5*($D24-1)))*(Q$3-1)</f>
        <v>3284.8825000000002</v>
      </c>
      <c r="R24" s="113">
        <f>VLOOKUP($C$22,Servant!$B$5:$AD$29,18,FALSE)+($F24+($F24*0.5*($D24-1)))*(R$3-1)</f>
        <v>3613.4250000000002</v>
      </c>
      <c r="S24" s="113">
        <f>VLOOKUP($C$22,Servant!$B$5:$AD$29,18,FALSE)+($F24+($F24*0.5*($D24-1)))*(S$3-1)</f>
        <v>3941.9675000000002</v>
      </c>
      <c r="T24" s="113">
        <f>VLOOKUP($C$22,Servant!$B$5:$AD$29,18,FALSE)+($F24+($F24*0.5*($D24-1)))*(T$3-1)</f>
        <v>4270.51</v>
      </c>
      <c r="U24" s="113">
        <f>VLOOKUP($C$22,Servant!$B$5:$AD$29,18,FALSE)+($F24+($F24*0.5*($D24-1)))*(U$3-1)</f>
        <v>4599.0524999999998</v>
      </c>
      <c r="V24" s="113">
        <f>VLOOKUP($C$22,Servant!$B$5:$AD$29,18,FALSE)+($F24+($F24*0.5*($D24-1)))*(V$3-1)</f>
        <v>4927.5950000000003</v>
      </c>
      <c r="W24" s="113">
        <f>VLOOKUP($C$22,Servant!$B$5:$AD$29,18,FALSE)+($F24+($F24*0.5*($D24-1)))*(W$3-1)</f>
        <v>5256.1375000000007</v>
      </c>
      <c r="X24" s="113">
        <f>VLOOKUP($C$22,Servant!$B$5:$AD$29,18,FALSE)+($F24+($F24*0.5*($D24-1)))*(X$3-1)</f>
        <v>5584.68</v>
      </c>
      <c r="Y24" s="113">
        <f>VLOOKUP($C$22,Servant!$B$5:$AD$29,18,FALSE)+($F24+($F24*0.5*($D24-1)))*(Y$3-1)</f>
        <v>5913.2224999999999</v>
      </c>
      <c r="Z24" s="113">
        <f>VLOOKUP($C$22,Servant!$B$5:$AD$29,18,FALSE)+($F24+($F24*0.5*($D24-1)))*(Z$3-1)</f>
        <v>6241.7650000000003</v>
      </c>
      <c r="AA24" s="113">
        <f>VLOOKUP($C$22,Servant!$B$5:$AD$29,18,FALSE)+($F24+($F24*0.5*($D24-1)))*(AA$3-1)</f>
        <v>6570.3075000000008</v>
      </c>
      <c r="AB24" s="113">
        <f>VLOOKUP($C$22,Servant!$B$5:$AD$29,18,FALSE)+($F24+($F24*0.5*($D24-1)))*(AB$3-1)</f>
        <v>6898.85</v>
      </c>
      <c r="AC24" s="113">
        <f>VLOOKUP($C$22,Servant!$B$5:$AD$29,18,FALSE)+($F24+($F24*0.5*($D24-1)))*(AC$3-1)</f>
        <v>7227.3924999999999</v>
      </c>
      <c r="AD24" s="113">
        <f>VLOOKUP($C$22,Servant!$B$5:$AD$29,18,FALSE)+($F24+($F24*0.5*($D24-1)))*(AD$3-1)</f>
        <v>7555.9350000000004</v>
      </c>
      <c r="AE24" s="113">
        <f>VLOOKUP($C$22,Servant!$B$5:$AD$29,18,FALSE)+($F24+($F24*0.5*($D24-1)))*(AE$3-1)</f>
        <v>7884.4775000000009</v>
      </c>
      <c r="AF24" s="113">
        <f>VLOOKUP($C$22,Servant!$B$5:$AD$29,18,FALSE)+($F24+($F24*0.5*($D24-1)))*(AF$3-1)</f>
        <v>8213.02</v>
      </c>
      <c r="AG24" s="113">
        <f>VLOOKUP($C$22,Servant!$B$5:$AD$29,18,FALSE)+($F24+($F24*0.5*($D24-1)))*(AG$3-1)</f>
        <v>8541.5625</v>
      </c>
      <c r="AH24" s="113">
        <f>VLOOKUP($C$22,Servant!$B$5:$AD$29,18,FALSE)+($F24+($F24*0.5*($D24-1)))*(AH$3-1)</f>
        <v>8870.1049999999996</v>
      </c>
      <c r="AI24" s="113">
        <f>VLOOKUP($C$22,Servant!$B$5:$AD$29,18,FALSE)+($F24+($F24*0.5*($D24-1)))*(AI$3-1)</f>
        <v>9198.6475000000009</v>
      </c>
      <c r="AJ24" s="113">
        <f>VLOOKUP($C$22,Servant!$B$5:$AD$29,18,FALSE)+($F24+($F24*0.5*($D24-1)))*(AJ$3-1)</f>
        <v>9527.19</v>
      </c>
      <c r="AK24" s="113">
        <f>VLOOKUP($C$22,Servant!$B$5:$AD$29,18,FALSE)+($F24+($F24*0.5*($D24-1)))*(AK$3-1)</f>
        <v>9855.7325000000001</v>
      </c>
    </row>
    <row r="25" spans="2:37" x14ac:dyDescent="0.3">
      <c r="B25" s="309"/>
      <c r="C25" s="319" t="s">
        <v>282</v>
      </c>
      <c r="D25" s="140">
        <v>2</v>
      </c>
      <c r="E25" s="141">
        <f>VLOOKUP($C$25,ServantLevelUPdStatus!$B$5:$AD$29,6,FALSE)+(VLOOKUP($C$25,ServantLevelUPdStatus!$B$5:$AD$29,6,FALSE)*0.5*(Simulator_AttkPow!$D25-1))</f>
        <v>216.83805000000001</v>
      </c>
      <c r="F25" s="141">
        <f>VLOOKUP($C$25,ServantLevelUPdStatus!$B$5:$AD$29,6,FALSE)</f>
        <v>144.55870000000002</v>
      </c>
      <c r="H25" s="142">
        <f>VLOOKUP($C$25,Servant!$B$5:$AD$29,18,FALSE)+($F25+($F25*0.5*($D25-1)))*(H$3-1)</f>
        <v>360</v>
      </c>
      <c r="I25" s="142">
        <f>VLOOKUP($C$25,Servant!$B$5:$AD$29,18,FALSE)+($F25+($F25*0.5*($D25-1)))*(I$3-1)</f>
        <v>576.83805000000007</v>
      </c>
      <c r="J25" s="142">
        <f>VLOOKUP($C$25,Servant!$B$5:$AD$29,18,FALSE)+($F25+($F25*0.5*($D25-1)))*(J$3-1)</f>
        <v>793.67610000000002</v>
      </c>
      <c r="K25" s="142">
        <f>VLOOKUP($C$25,Servant!$B$5:$AD$29,18,FALSE)+($F25+($F25*0.5*($D25-1)))*(K$3-1)</f>
        <v>1010.51415</v>
      </c>
      <c r="L25" s="142">
        <f>VLOOKUP($C$25,Servant!$B$5:$AD$29,18,FALSE)+($F25+($F25*0.5*($D25-1)))*(L$3-1)</f>
        <v>1227.3522</v>
      </c>
      <c r="M25" s="142">
        <f>VLOOKUP($C$25,Servant!$B$5:$AD$29,18,FALSE)+($F25+($F25*0.5*($D25-1)))*(M$3-1)</f>
        <v>1444.1902500000001</v>
      </c>
      <c r="N25" s="142">
        <f>VLOOKUP($C$25,Servant!$B$5:$AD$29,18,FALSE)+($F25+($F25*0.5*($D25-1)))*(N$3-1)</f>
        <v>1661.0282999999999</v>
      </c>
      <c r="O25" s="142">
        <f>VLOOKUP($C$25,Servant!$B$5:$AD$29,18,FALSE)+($F25+($F25*0.5*($D25-1)))*(O$3-1)</f>
        <v>1877.86635</v>
      </c>
      <c r="P25" s="142">
        <f>VLOOKUP($C$25,Servant!$B$5:$AD$29,18,FALSE)+($F25+($F25*0.5*($D25-1)))*(P$3-1)</f>
        <v>2094.7044000000001</v>
      </c>
      <c r="Q25" s="142">
        <f>VLOOKUP($C$25,Servant!$B$5:$AD$29,18,FALSE)+($F25+($F25*0.5*($D25-1)))*(Q$3-1)</f>
        <v>2311.5424499999999</v>
      </c>
      <c r="R25" s="142">
        <f>VLOOKUP($C$25,Servant!$B$5:$AD$29,18,FALSE)+($F25+($F25*0.5*($D25-1)))*(R$3-1)</f>
        <v>2528.3805000000002</v>
      </c>
      <c r="S25" s="142">
        <f>VLOOKUP($C$25,Servant!$B$5:$AD$29,18,FALSE)+($F25+($F25*0.5*($D25-1)))*(S$3-1)</f>
        <v>2745.2185500000001</v>
      </c>
      <c r="T25" s="142">
        <f>VLOOKUP($C$25,Servant!$B$5:$AD$29,18,FALSE)+($F25+($F25*0.5*($D25-1)))*(T$3-1)</f>
        <v>2962.0565999999999</v>
      </c>
      <c r="U25" s="142">
        <f>VLOOKUP($C$25,Servant!$B$5:$AD$29,18,FALSE)+($F25+($F25*0.5*($D25-1)))*(U$3-1)</f>
        <v>3178.8946500000002</v>
      </c>
      <c r="V25" s="142">
        <f>VLOOKUP($C$25,Servant!$B$5:$AD$29,18,FALSE)+($F25+($F25*0.5*($D25-1)))*(V$3-1)</f>
        <v>3395.7327</v>
      </c>
      <c r="W25" s="142">
        <f>VLOOKUP($C$25,Servant!$B$5:$AD$29,18,FALSE)+($F25+($F25*0.5*($D25-1)))*(W$3-1)</f>
        <v>3612.5707500000003</v>
      </c>
      <c r="X25" s="142">
        <f>VLOOKUP($C$25,Servant!$B$5:$AD$29,18,FALSE)+($F25+($F25*0.5*($D25-1)))*(X$3-1)</f>
        <v>3829.4088000000002</v>
      </c>
      <c r="Y25" s="142">
        <f>VLOOKUP($C$25,Servant!$B$5:$AD$29,18,FALSE)+($F25+($F25*0.5*($D25-1)))*(Y$3-1)</f>
        <v>4046.24685</v>
      </c>
      <c r="Z25" s="142">
        <f>VLOOKUP($C$25,Servant!$B$5:$AD$29,18,FALSE)+($F25+($F25*0.5*($D25-1)))*(Z$3-1)</f>
        <v>4263.0848999999998</v>
      </c>
      <c r="AA25" s="142">
        <f>VLOOKUP($C$25,Servant!$B$5:$AD$29,18,FALSE)+($F25+($F25*0.5*($D25-1)))*(AA$3-1)</f>
        <v>4479.9229500000001</v>
      </c>
      <c r="AB25" s="142">
        <f>VLOOKUP($C$25,Servant!$B$5:$AD$29,18,FALSE)+($F25+($F25*0.5*($D25-1)))*(AB$3-1)</f>
        <v>4696.7610000000004</v>
      </c>
      <c r="AC25" s="142">
        <f>VLOOKUP($C$25,Servant!$B$5:$AD$29,18,FALSE)+($F25+($F25*0.5*($D25-1)))*(AC$3-1)</f>
        <v>4913.5990499999998</v>
      </c>
      <c r="AD25" s="142">
        <f>VLOOKUP($C$25,Servant!$B$5:$AD$29,18,FALSE)+($F25+($F25*0.5*($D25-1)))*(AD$3-1)</f>
        <v>5130.4371000000001</v>
      </c>
      <c r="AE25" s="142">
        <f>VLOOKUP($C$25,Servant!$B$5:$AD$29,18,FALSE)+($F25+($F25*0.5*($D25-1)))*(AE$3-1)</f>
        <v>5347.2751500000004</v>
      </c>
      <c r="AF25" s="142">
        <f>VLOOKUP($C$25,Servant!$B$5:$AD$29,18,FALSE)+($F25+($F25*0.5*($D25-1)))*(AF$3-1)</f>
        <v>5564.1131999999998</v>
      </c>
      <c r="AG25" s="142">
        <f>VLOOKUP($C$25,Servant!$B$5:$AD$29,18,FALSE)+($F25+($F25*0.5*($D25-1)))*(AG$3-1)</f>
        <v>5780.9512500000001</v>
      </c>
      <c r="AH25" s="142">
        <f>VLOOKUP($C$25,Servant!$B$5:$AD$29,18,FALSE)+($F25+($F25*0.5*($D25-1)))*(AH$3-1)</f>
        <v>5997.7893000000004</v>
      </c>
      <c r="AI25" s="142">
        <f>VLOOKUP($C$25,Servant!$B$5:$AD$29,18,FALSE)+($F25+($F25*0.5*($D25-1)))*(AI$3-1)</f>
        <v>6214.6273500000007</v>
      </c>
      <c r="AJ25" s="142">
        <f>VLOOKUP($C$25,Servant!$B$5:$AD$29,18,FALSE)+($F25+($F25*0.5*($D25-1)))*(AJ$3-1)</f>
        <v>6431.4654</v>
      </c>
      <c r="AK25" s="142">
        <f>VLOOKUP($C$25,Servant!$B$5:$AD$29,18,FALSE)+($F25+($F25*0.5*($D25-1)))*(AK$3-1)</f>
        <v>6648.3034500000003</v>
      </c>
    </row>
    <row r="26" spans="2:37" x14ac:dyDescent="0.3">
      <c r="B26" s="309"/>
      <c r="C26" s="319"/>
      <c r="D26" s="140">
        <v>3</v>
      </c>
      <c r="E26" s="141">
        <f>VLOOKUP($C$25,ServantLevelUPdStatus!$B$5:$AD$29,6,FALSE)+(VLOOKUP($C$25,ServantLevelUPdStatus!$B$5:$AD$29,6,FALSE)*0.5*(Simulator_AttkPow!$D26-1))</f>
        <v>289.11740000000003</v>
      </c>
      <c r="F26" s="143">
        <f>F25</f>
        <v>144.55870000000002</v>
      </c>
      <c r="H26" s="142">
        <f>VLOOKUP($C$25,Servant!$B$5:$AD$29,18,FALSE)+($F26+($F26*0.5*($D26-1)))*(H$3-1)</f>
        <v>360</v>
      </c>
      <c r="I26" s="142">
        <f>VLOOKUP($C$25,Servant!$B$5:$AD$29,18,FALSE)+($F26+($F26*0.5*($D26-1)))*(I$3-1)</f>
        <v>649.11740000000009</v>
      </c>
      <c r="J26" s="142">
        <f>VLOOKUP($C$25,Servant!$B$5:$AD$29,18,FALSE)+($F26+($F26*0.5*($D26-1)))*(J$3-1)</f>
        <v>938.23480000000006</v>
      </c>
      <c r="K26" s="142">
        <f>VLOOKUP($C$25,Servant!$B$5:$AD$29,18,FALSE)+($F26+($F26*0.5*($D26-1)))*(K$3-1)</f>
        <v>1227.3522</v>
      </c>
      <c r="L26" s="142">
        <f>VLOOKUP($C$25,Servant!$B$5:$AD$29,18,FALSE)+($F26+($F26*0.5*($D26-1)))*(L$3-1)</f>
        <v>1516.4696000000001</v>
      </c>
      <c r="M26" s="142">
        <f>VLOOKUP($C$25,Servant!$B$5:$AD$29,18,FALSE)+($F26+($F26*0.5*($D26-1)))*(M$3-1)</f>
        <v>1805.5870000000002</v>
      </c>
      <c r="N26" s="142">
        <f>VLOOKUP($C$25,Servant!$B$5:$AD$29,18,FALSE)+($F26+($F26*0.5*($D26-1)))*(N$3-1)</f>
        <v>2094.7044000000001</v>
      </c>
      <c r="O26" s="142">
        <f>VLOOKUP($C$25,Servant!$B$5:$AD$29,18,FALSE)+($F26+($F26*0.5*($D26-1)))*(O$3-1)</f>
        <v>2383.8218000000002</v>
      </c>
      <c r="P26" s="142">
        <f>VLOOKUP($C$25,Servant!$B$5:$AD$29,18,FALSE)+($F26+($F26*0.5*($D26-1)))*(P$3-1)</f>
        <v>2672.9392000000003</v>
      </c>
      <c r="Q26" s="142">
        <f>VLOOKUP($C$25,Servant!$B$5:$AD$29,18,FALSE)+($F26+($F26*0.5*($D26-1)))*(Q$3-1)</f>
        <v>2962.0566000000003</v>
      </c>
      <c r="R26" s="142">
        <f>VLOOKUP($C$25,Servant!$B$5:$AD$29,18,FALSE)+($F26+($F26*0.5*($D26-1)))*(R$3-1)</f>
        <v>3251.1740000000004</v>
      </c>
      <c r="S26" s="142">
        <f>VLOOKUP($C$25,Servant!$B$5:$AD$29,18,FALSE)+($F26+($F26*0.5*($D26-1)))*(S$3-1)</f>
        <v>3540.2914000000005</v>
      </c>
      <c r="T26" s="142">
        <f>VLOOKUP($C$25,Servant!$B$5:$AD$29,18,FALSE)+($F26+($F26*0.5*($D26-1)))*(T$3-1)</f>
        <v>3829.4088000000002</v>
      </c>
      <c r="U26" s="142">
        <f>VLOOKUP($C$25,Servant!$B$5:$AD$29,18,FALSE)+($F26+($F26*0.5*($D26-1)))*(U$3-1)</f>
        <v>4118.5262000000002</v>
      </c>
      <c r="V26" s="142">
        <f>VLOOKUP($C$25,Servant!$B$5:$AD$29,18,FALSE)+($F26+($F26*0.5*($D26-1)))*(V$3-1)</f>
        <v>4407.6436000000003</v>
      </c>
      <c r="W26" s="142">
        <f>VLOOKUP($C$25,Servant!$B$5:$AD$29,18,FALSE)+($F26+($F26*0.5*($D26-1)))*(W$3-1)</f>
        <v>4696.7610000000004</v>
      </c>
      <c r="X26" s="142">
        <f>VLOOKUP($C$25,Servant!$B$5:$AD$29,18,FALSE)+($F26+($F26*0.5*($D26-1)))*(X$3-1)</f>
        <v>4985.8784000000005</v>
      </c>
      <c r="Y26" s="142">
        <f>VLOOKUP($C$25,Servant!$B$5:$AD$29,18,FALSE)+($F26+($F26*0.5*($D26-1)))*(Y$3-1)</f>
        <v>5274.9958000000006</v>
      </c>
      <c r="Z26" s="142">
        <f>VLOOKUP($C$25,Servant!$B$5:$AD$29,18,FALSE)+($F26+($F26*0.5*($D26-1)))*(Z$3-1)</f>
        <v>5564.1132000000007</v>
      </c>
      <c r="AA26" s="142">
        <f>VLOOKUP($C$25,Servant!$B$5:$AD$29,18,FALSE)+($F26+($F26*0.5*($D26-1)))*(AA$3-1)</f>
        <v>5853.2306000000008</v>
      </c>
      <c r="AB26" s="142">
        <f>VLOOKUP($C$25,Servant!$B$5:$AD$29,18,FALSE)+($F26+($F26*0.5*($D26-1)))*(AB$3-1)</f>
        <v>6142.3480000000009</v>
      </c>
      <c r="AC26" s="142">
        <f>VLOOKUP($C$25,Servant!$B$5:$AD$29,18,FALSE)+($F26+($F26*0.5*($D26-1)))*(AC$3-1)</f>
        <v>6431.465400000001</v>
      </c>
      <c r="AD26" s="142">
        <f>VLOOKUP($C$25,Servant!$B$5:$AD$29,18,FALSE)+($F26+($F26*0.5*($D26-1)))*(AD$3-1)</f>
        <v>6720.582800000001</v>
      </c>
      <c r="AE26" s="142">
        <f>VLOOKUP($C$25,Servant!$B$5:$AD$29,18,FALSE)+($F26+($F26*0.5*($D26-1)))*(AE$3-1)</f>
        <v>7009.7002000000011</v>
      </c>
      <c r="AF26" s="142">
        <f>VLOOKUP($C$25,Servant!$B$5:$AD$29,18,FALSE)+($F26+($F26*0.5*($D26-1)))*(AF$3-1)</f>
        <v>7298.8176000000003</v>
      </c>
      <c r="AG26" s="142">
        <f>VLOOKUP($C$25,Servant!$B$5:$AD$29,18,FALSE)+($F26+($F26*0.5*($D26-1)))*(AG$3-1)</f>
        <v>7587.9350000000004</v>
      </c>
      <c r="AH26" s="142">
        <f>VLOOKUP($C$25,Servant!$B$5:$AD$29,18,FALSE)+($F26+($F26*0.5*($D26-1)))*(AH$3-1)</f>
        <v>7877.0524000000005</v>
      </c>
      <c r="AI26" s="142">
        <f>VLOOKUP($C$25,Servant!$B$5:$AD$29,18,FALSE)+($F26+($F26*0.5*($D26-1)))*(AI$3-1)</f>
        <v>8166.1698000000006</v>
      </c>
      <c r="AJ26" s="142">
        <f>VLOOKUP($C$25,Servant!$B$5:$AD$29,18,FALSE)+($F26+($F26*0.5*($D26-1)))*(AJ$3-1)</f>
        <v>8455.2872000000007</v>
      </c>
      <c r="AK26" s="142">
        <f>VLOOKUP($C$25,Servant!$B$5:$AD$29,18,FALSE)+($F26+($F26*0.5*($D26-1)))*(AK$3-1)</f>
        <v>8744.4046000000017</v>
      </c>
    </row>
    <row r="27" spans="2:37" x14ac:dyDescent="0.3">
      <c r="B27" s="309"/>
      <c r="C27" s="319"/>
      <c r="D27" s="140">
        <v>4</v>
      </c>
      <c r="E27" s="141">
        <f>VLOOKUP($C$25,ServantLevelUPdStatus!$B$5:$AD$29,6,FALSE)+(VLOOKUP($C$25,ServantLevelUPdStatus!$B$5:$AD$29,6,FALSE)*0.5*(Simulator_AttkPow!$D27-1))</f>
        <v>361.39675</v>
      </c>
      <c r="F27" s="143">
        <f>F26</f>
        <v>144.55870000000002</v>
      </c>
      <c r="H27" s="142">
        <f>VLOOKUP($C$25,Servant!$B$5:$AD$29,18,FALSE)+($F27+($F27*0.5*($D27-1)))*(H$3-1)</f>
        <v>360</v>
      </c>
      <c r="I27" s="142">
        <f>VLOOKUP($C$25,Servant!$B$5:$AD$29,18,FALSE)+($F27+($F27*0.5*($D27-1)))*(I$3-1)</f>
        <v>721.39675</v>
      </c>
      <c r="J27" s="142">
        <f>VLOOKUP($C$25,Servant!$B$5:$AD$29,18,FALSE)+($F27+($F27*0.5*($D27-1)))*(J$3-1)</f>
        <v>1082.7935</v>
      </c>
      <c r="K27" s="142">
        <f>VLOOKUP($C$25,Servant!$B$5:$AD$29,18,FALSE)+($F27+($F27*0.5*($D27-1)))*(K$3-1)</f>
        <v>1444.1902500000001</v>
      </c>
      <c r="L27" s="142">
        <f>VLOOKUP($C$25,Servant!$B$5:$AD$29,18,FALSE)+($F27+($F27*0.5*($D27-1)))*(L$3-1)</f>
        <v>1805.587</v>
      </c>
      <c r="M27" s="142">
        <f>VLOOKUP($C$25,Servant!$B$5:$AD$29,18,FALSE)+($F27+($F27*0.5*($D27-1)))*(M$3-1)</f>
        <v>2166.9837499999999</v>
      </c>
      <c r="N27" s="142">
        <f>VLOOKUP($C$25,Servant!$B$5:$AD$29,18,FALSE)+($F27+($F27*0.5*($D27-1)))*(N$3-1)</f>
        <v>2528.3805000000002</v>
      </c>
      <c r="O27" s="142">
        <f>VLOOKUP($C$25,Servant!$B$5:$AD$29,18,FALSE)+($F27+($F27*0.5*($D27-1)))*(O$3-1)</f>
        <v>2889.7772500000001</v>
      </c>
      <c r="P27" s="142">
        <f>VLOOKUP($C$25,Servant!$B$5:$AD$29,18,FALSE)+($F27+($F27*0.5*($D27-1)))*(P$3-1)</f>
        <v>3251.174</v>
      </c>
      <c r="Q27" s="142">
        <f>VLOOKUP($C$25,Servant!$B$5:$AD$29,18,FALSE)+($F27+($F27*0.5*($D27-1)))*(Q$3-1)</f>
        <v>3612.5707499999999</v>
      </c>
      <c r="R27" s="142">
        <f>VLOOKUP($C$25,Servant!$B$5:$AD$29,18,FALSE)+($F27+($F27*0.5*($D27-1)))*(R$3-1)</f>
        <v>3973.9674999999997</v>
      </c>
      <c r="S27" s="142">
        <f>VLOOKUP($C$25,Servant!$B$5:$AD$29,18,FALSE)+($F27+($F27*0.5*($D27-1)))*(S$3-1)</f>
        <v>4335.3642500000005</v>
      </c>
      <c r="T27" s="142">
        <f>VLOOKUP($C$25,Servant!$B$5:$AD$29,18,FALSE)+($F27+($F27*0.5*($D27-1)))*(T$3-1)</f>
        <v>4696.7610000000004</v>
      </c>
      <c r="U27" s="142">
        <f>VLOOKUP($C$25,Servant!$B$5:$AD$29,18,FALSE)+($F27+($F27*0.5*($D27-1)))*(U$3-1)</f>
        <v>5058.1577500000003</v>
      </c>
      <c r="V27" s="142">
        <f>VLOOKUP($C$25,Servant!$B$5:$AD$29,18,FALSE)+($F27+($F27*0.5*($D27-1)))*(V$3-1)</f>
        <v>5419.5545000000002</v>
      </c>
      <c r="W27" s="142">
        <f>VLOOKUP($C$25,Servant!$B$5:$AD$29,18,FALSE)+($F27+($F27*0.5*($D27-1)))*(W$3-1)</f>
        <v>5780.9512500000001</v>
      </c>
      <c r="X27" s="142">
        <f>VLOOKUP($C$25,Servant!$B$5:$AD$29,18,FALSE)+($F27+($F27*0.5*($D27-1)))*(X$3-1)</f>
        <v>6142.348</v>
      </c>
      <c r="Y27" s="142">
        <f>VLOOKUP($C$25,Servant!$B$5:$AD$29,18,FALSE)+($F27+($F27*0.5*($D27-1)))*(Y$3-1)</f>
        <v>6503.7447499999998</v>
      </c>
      <c r="Z27" s="142">
        <f>VLOOKUP($C$25,Servant!$B$5:$AD$29,18,FALSE)+($F27+($F27*0.5*($D27-1)))*(Z$3-1)</f>
        <v>6865.1414999999997</v>
      </c>
      <c r="AA27" s="142">
        <f>VLOOKUP($C$25,Servant!$B$5:$AD$29,18,FALSE)+($F27+($F27*0.5*($D27-1)))*(AA$3-1)</f>
        <v>7226.5382499999996</v>
      </c>
      <c r="AB27" s="142">
        <f>VLOOKUP($C$25,Servant!$B$5:$AD$29,18,FALSE)+($F27+($F27*0.5*($D27-1)))*(AB$3-1)</f>
        <v>7587.9349999999995</v>
      </c>
      <c r="AC27" s="142">
        <f>VLOOKUP($C$25,Servant!$B$5:$AD$29,18,FALSE)+($F27+($F27*0.5*($D27-1)))*(AC$3-1)</f>
        <v>7949.3317500000003</v>
      </c>
      <c r="AD27" s="142">
        <f>VLOOKUP($C$25,Servant!$B$5:$AD$29,18,FALSE)+($F27+($F27*0.5*($D27-1)))*(AD$3-1)</f>
        <v>8310.7285000000011</v>
      </c>
      <c r="AE27" s="142">
        <f>VLOOKUP($C$25,Servant!$B$5:$AD$29,18,FALSE)+($F27+($F27*0.5*($D27-1)))*(AE$3-1)</f>
        <v>8672.1252499999991</v>
      </c>
      <c r="AF27" s="142">
        <f>VLOOKUP($C$25,Servant!$B$5:$AD$29,18,FALSE)+($F27+($F27*0.5*($D27-1)))*(AF$3-1)</f>
        <v>9033.5220000000008</v>
      </c>
      <c r="AG27" s="142">
        <f>VLOOKUP($C$25,Servant!$B$5:$AD$29,18,FALSE)+($F27+($F27*0.5*($D27-1)))*(AG$3-1)</f>
        <v>9394.9187500000007</v>
      </c>
      <c r="AH27" s="142">
        <f>VLOOKUP($C$25,Servant!$B$5:$AD$29,18,FALSE)+($F27+($F27*0.5*($D27-1)))*(AH$3-1)</f>
        <v>9756.3155000000006</v>
      </c>
      <c r="AI27" s="142">
        <f>VLOOKUP($C$25,Servant!$B$5:$AD$29,18,FALSE)+($F27+($F27*0.5*($D27-1)))*(AI$3-1)</f>
        <v>10117.71225</v>
      </c>
      <c r="AJ27" s="142">
        <f>VLOOKUP($C$25,Servant!$B$5:$AD$29,18,FALSE)+($F27+($F27*0.5*($D27-1)))*(AJ$3-1)</f>
        <v>10479.109</v>
      </c>
      <c r="AK27" s="142">
        <f>VLOOKUP($C$25,Servant!$B$5:$AD$29,18,FALSE)+($F27+($F27*0.5*($D27-1)))*(AK$3-1)</f>
        <v>10840.50575</v>
      </c>
    </row>
    <row r="28" spans="2:37" x14ac:dyDescent="0.3">
      <c r="B28" s="309"/>
      <c r="C28" s="318" t="s">
        <v>283</v>
      </c>
      <c r="D28" s="127">
        <v>2</v>
      </c>
      <c r="E28" s="120">
        <f>VLOOKUP($C$28,ServantLevelUPdStatus!$B$5:$AD$29,6,FALSE)+(VLOOKUP($C$28,ServantLevelUPdStatus!$B$5:$AD$29,6,FALSE)*0.5*(Simulator_AttkPow!$D28-1))</f>
        <v>167.55667499999998</v>
      </c>
      <c r="F28" s="120">
        <f>VLOOKUP($C$28,ServantLevelUPdStatus!$B$5:$AD$29,6,FALSE)</f>
        <v>111.70444999999999</v>
      </c>
      <c r="H28" s="113">
        <f>VLOOKUP($C$28,Servant!$B$5:$AD$29,18,FALSE)+($F28+($F28*0.5*($D28-1)))*(H$3-1)</f>
        <v>278</v>
      </c>
      <c r="I28" s="113">
        <f>VLOOKUP($C$28,Servant!$B$5:$AD$29,18,FALSE)+($F28+($F28*0.5*($D28-1)))*(I$3-1)</f>
        <v>445.55667499999998</v>
      </c>
      <c r="J28" s="113">
        <f>VLOOKUP($C$28,Servant!$B$5:$AD$29,18,FALSE)+($F28+($F28*0.5*($D28-1)))*(J$3-1)</f>
        <v>613.11334999999997</v>
      </c>
      <c r="K28" s="113">
        <f>VLOOKUP($C$28,Servant!$B$5:$AD$29,18,FALSE)+($F28+($F28*0.5*($D28-1)))*(K$3-1)</f>
        <v>780.6700249999999</v>
      </c>
      <c r="L28" s="113">
        <f>VLOOKUP($C$28,Servant!$B$5:$AD$29,18,FALSE)+($F28+($F28*0.5*($D28-1)))*(L$3-1)</f>
        <v>948.22669999999994</v>
      </c>
      <c r="M28" s="113">
        <f>VLOOKUP($C$28,Servant!$B$5:$AD$29,18,FALSE)+($F28+($F28*0.5*($D28-1)))*(M$3-1)</f>
        <v>1115.783375</v>
      </c>
      <c r="N28" s="113">
        <f>VLOOKUP($C$28,Servant!$B$5:$AD$29,18,FALSE)+($F28+($F28*0.5*($D28-1)))*(N$3-1)</f>
        <v>1283.3400499999998</v>
      </c>
      <c r="O28" s="113">
        <f>VLOOKUP($C$28,Servant!$B$5:$AD$29,18,FALSE)+($F28+($F28*0.5*($D28-1)))*(O$3-1)</f>
        <v>1450.8967249999998</v>
      </c>
      <c r="P28" s="113">
        <f>VLOOKUP($C$28,Servant!$B$5:$AD$29,18,FALSE)+($F28+($F28*0.5*($D28-1)))*(P$3-1)</f>
        <v>1618.4533999999999</v>
      </c>
      <c r="Q28" s="113">
        <f>VLOOKUP($C$28,Servant!$B$5:$AD$29,18,FALSE)+($F28+($F28*0.5*($D28-1)))*(Q$3-1)</f>
        <v>1786.0100749999999</v>
      </c>
      <c r="R28" s="113">
        <f>VLOOKUP($C$28,Servant!$B$5:$AD$29,18,FALSE)+($F28+($F28*0.5*($D28-1)))*(R$3-1)</f>
        <v>1953.56675</v>
      </c>
      <c r="S28" s="113">
        <f>VLOOKUP($C$28,Servant!$B$5:$AD$29,18,FALSE)+($F28+($F28*0.5*($D28-1)))*(S$3-1)</f>
        <v>2121.1234249999998</v>
      </c>
      <c r="T28" s="113">
        <f>VLOOKUP($C$28,Servant!$B$5:$AD$29,18,FALSE)+($F28+($F28*0.5*($D28-1)))*(T$3-1)</f>
        <v>2288.6800999999996</v>
      </c>
      <c r="U28" s="113">
        <f>VLOOKUP($C$28,Servant!$B$5:$AD$29,18,FALSE)+($F28+($F28*0.5*($D28-1)))*(U$3-1)</f>
        <v>2456.2367749999999</v>
      </c>
      <c r="V28" s="113">
        <f>VLOOKUP($C$28,Servant!$B$5:$AD$29,18,FALSE)+($F28+($F28*0.5*($D28-1)))*(V$3-1)</f>
        <v>2623.7934499999997</v>
      </c>
      <c r="W28" s="113">
        <f>VLOOKUP($C$28,Servant!$B$5:$AD$29,18,FALSE)+($F28+($F28*0.5*($D28-1)))*(W$3-1)</f>
        <v>2791.3501249999999</v>
      </c>
      <c r="X28" s="113">
        <f>VLOOKUP($C$28,Servant!$B$5:$AD$29,18,FALSE)+($F28+($F28*0.5*($D28-1)))*(X$3-1)</f>
        <v>2958.9067999999997</v>
      </c>
      <c r="Y28" s="113">
        <f>VLOOKUP($C$28,Servant!$B$5:$AD$29,18,FALSE)+($F28+($F28*0.5*($D28-1)))*(Y$3-1)</f>
        <v>3126.4634749999996</v>
      </c>
      <c r="Z28" s="113">
        <f>VLOOKUP($C$28,Servant!$B$5:$AD$29,18,FALSE)+($F28+($F28*0.5*($D28-1)))*(Z$3-1)</f>
        <v>3294.0201499999998</v>
      </c>
      <c r="AA28" s="113">
        <f>VLOOKUP($C$28,Servant!$B$5:$AD$29,18,FALSE)+($F28+($F28*0.5*($D28-1)))*(AA$3-1)</f>
        <v>3461.5768249999996</v>
      </c>
      <c r="AB28" s="113">
        <f>VLOOKUP($C$28,Servant!$B$5:$AD$29,18,FALSE)+($F28+($F28*0.5*($D28-1)))*(AB$3-1)</f>
        <v>3629.1334999999999</v>
      </c>
      <c r="AC28" s="113">
        <f>VLOOKUP($C$28,Servant!$B$5:$AD$29,18,FALSE)+($F28+($F28*0.5*($D28-1)))*(AC$3-1)</f>
        <v>3796.6901749999997</v>
      </c>
      <c r="AD28" s="113">
        <f>VLOOKUP($C$28,Servant!$B$5:$AD$29,18,FALSE)+($F28+($F28*0.5*($D28-1)))*(AD$3-1)</f>
        <v>3964.2468499999995</v>
      </c>
      <c r="AE28" s="113">
        <f>VLOOKUP($C$28,Servant!$B$5:$AD$29,18,FALSE)+($F28+($F28*0.5*($D28-1)))*(AE$3-1)</f>
        <v>4131.8035249999994</v>
      </c>
      <c r="AF28" s="113">
        <f>VLOOKUP($C$28,Servant!$B$5:$AD$29,18,FALSE)+($F28+($F28*0.5*($D28-1)))*(AF$3-1)</f>
        <v>4299.3601999999992</v>
      </c>
      <c r="AG28" s="113">
        <f>VLOOKUP($C$28,Servant!$B$5:$AD$29,18,FALSE)+($F28+($F28*0.5*($D28-1)))*(AG$3-1)</f>
        <v>4466.9168749999999</v>
      </c>
      <c r="AH28" s="113">
        <f>VLOOKUP($C$28,Servant!$B$5:$AD$29,18,FALSE)+($F28+($F28*0.5*($D28-1)))*(AH$3-1)</f>
        <v>4634.4735499999997</v>
      </c>
      <c r="AI28" s="113">
        <f>VLOOKUP($C$28,Servant!$B$5:$AD$29,18,FALSE)+($F28+($F28*0.5*($D28-1)))*(AI$3-1)</f>
        <v>4802.0302249999995</v>
      </c>
      <c r="AJ28" s="113">
        <f>VLOOKUP($C$28,Servant!$B$5:$AD$29,18,FALSE)+($F28+($F28*0.5*($D28-1)))*(AJ$3-1)</f>
        <v>4969.5868999999993</v>
      </c>
      <c r="AK28" s="113">
        <f>VLOOKUP($C$28,Servant!$B$5:$AD$29,18,FALSE)+($F28+($F28*0.5*($D28-1)))*(AK$3-1)</f>
        <v>5137.1435749999991</v>
      </c>
    </row>
    <row r="29" spans="2:37" x14ac:dyDescent="0.3">
      <c r="B29" s="309"/>
      <c r="C29" s="318"/>
      <c r="D29" s="127">
        <v>3</v>
      </c>
      <c r="E29" s="120">
        <f>VLOOKUP($C$28,ServantLevelUPdStatus!$B$5:$AD$29,6,FALSE)+(VLOOKUP($C$28,ServantLevelUPdStatus!$B$5:$AD$29,6,FALSE)*0.5*(Simulator_AttkPow!$D29-1))</f>
        <v>223.40889999999999</v>
      </c>
      <c r="F29" s="119">
        <f>F28</f>
        <v>111.70444999999999</v>
      </c>
      <c r="H29" s="113">
        <f>VLOOKUP($C$28,Servant!$B$5:$AD$29,18,FALSE)+($F29+($F29*0.5*($D29-1)))*(H$3-1)</f>
        <v>278</v>
      </c>
      <c r="I29" s="113">
        <f>VLOOKUP($C$28,Servant!$B$5:$AD$29,18,FALSE)+($F29+($F29*0.5*($D29-1)))*(I$3-1)</f>
        <v>501.40890000000002</v>
      </c>
      <c r="J29" s="113">
        <f>VLOOKUP($C$28,Servant!$B$5:$AD$29,18,FALSE)+($F29+($F29*0.5*($D29-1)))*(J$3-1)</f>
        <v>724.81780000000003</v>
      </c>
      <c r="K29" s="113">
        <f>VLOOKUP($C$28,Servant!$B$5:$AD$29,18,FALSE)+($F29+($F29*0.5*($D29-1)))*(K$3-1)</f>
        <v>948.22669999999994</v>
      </c>
      <c r="L29" s="113">
        <f>VLOOKUP($C$28,Servant!$B$5:$AD$29,18,FALSE)+($F29+($F29*0.5*($D29-1)))*(L$3-1)</f>
        <v>1171.6356000000001</v>
      </c>
      <c r="M29" s="113">
        <f>VLOOKUP($C$28,Servant!$B$5:$AD$29,18,FALSE)+($F29+($F29*0.5*($D29-1)))*(M$3-1)</f>
        <v>1395.0445</v>
      </c>
      <c r="N29" s="113">
        <f>VLOOKUP($C$28,Servant!$B$5:$AD$29,18,FALSE)+($F29+($F29*0.5*($D29-1)))*(N$3-1)</f>
        <v>1618.4533999999999</v>
      </c>
      <c r="O29" s="113">
        <f>VLOOKUP($C$28,Servant!$B$5:$AD$29,18,FALSE)+($F29+($F29*0.5*($D29-1)))*(O$3-1)</f>
        <v>1841.8623</v>
      </c>
      <c r="P29" s="113">
        <f>VLOOKUP($C$28,Servant!$B$5:$AD$29,18,FALSE)+($F29+($F29*0.5*($D29-1)))*(P$3-1)</f>
        <v>2065.2712000000001</v>
      </c>
      <c r="Q29" s="113">
        <f>VLOOKUP($C$28,Servant!$B$5:$AD$29,18,FALSE)+($F29+($F29*0.5*($D29-1)))*(Q$3-1)</f>
        <v>2288.6800999999996</v>
      </c>
      <c r="R29" s="113">
        <f>VLOOKUP($C$28,Servant!$B$5:$AD$29,18,FALSE)+($F29+($F29*0.5*($D29-1)))*(R$3-1)</f>
        <v>2512.0889999999999</v>
      </c>
      <c r="S29" s="113">
        <f>VLOOKUP($C$28,Servant!$B$5:$AD$29,18,FALSE)+($F29+($F29*0.5*($D29-1)))*(S$3-1)</f>
        <v>2735.4978999999998</v>
      </c>
      <c r="T29" s="113">
        <f>VLOOKUP($C$28,Servant!$B$5:$AD$29,18,FALSE)+($F29+($F29*0.5*($D29-1)))*(T$3-1)</f>
        <v>2958.9067999999997</v>
      </c>
      <c r="U29" s="113">
        <f>VLOOKUP($C$28,Servant!$B$5:$AD$29,18,FALSE)+($F29+($F29*0.5*($D29-1)))*(U$3-1)</f>
        <v>3182.3156999999997</v>
      </c>
      <c r="V29" s="113">
        <f>VLOOKUP($C$28,Servant!$B$5:$AD$29,18,FALSE)+($F29+($F29*0.5*($D29-1)))*(V$3-1)</f>
        <v>3405.7246</v>
      </c>
      <c r="W29" s="113">
        <f>VLOOKUP($C$28,Servant!$B$5:$AD$29,18,FALSE)+($F29+($F29*0.5*($D29-1)))*(W$3-1)</f>
        <v>3629.1334999999999</v>
      </c>
      <c r="X29" s="113">
        <f>VLOOKUP($C$28,Servant!$B$5:$AD$29,18,FALSE)+($F29+($F29*0.5*($D29-1)))*(X$3-1)</f>
        <v>3852.5423999999998</v>
      </c>
      <c r="Y29" s="113">
        <f>VLOOKUP($C$28,Servant!$B$5:$AD$29,18,FALSE)+($F29+($F29*0.5*($D29-1)))*(Y$3-1)</f>
        <v>4075.9512999999997</v>
      </c>
      <c r="Z29" s="113">
        <f>VLOOKUP($C$28,Servant!$B$5:$AD$29,18,FALSE)+($F29+($F29*0.5*($D29-1)))*(Z$3-1)</f>
        <v>4299.3601999999992</v>
      </c>
      <c r="AA29" s="113">
        <f>VLOOKUP($C$28,Servant!$B$5:$AD$29,18,FALSE)+($F29+($F29*0.5*($D29-1)))*(AA$3-1)</f>
        <v>4522.7690999999995</v>
      </c>
      <c r="AB29" s="113">
        <f>VLOOKUP($C$28,Servant!$B$5:$AD$29,18,FALSE)+($F29+($F29*0.5*($D29-1)))*(AB$3-1)</f>
        <v>4746.1779999999999</v>
      </c>
      <c r="AC29" s="113">
        <f>VLOOKUP($C$28,Servant!$B$5:$AD$29,18,FALSE)+($F29+($F29*0.5*($D29-1)))*(AC$3-1)</f>
        <v>4969.5868999999993</v>
      </c>
      <c r="AD29" s="113">
        <f>VLOOKUP($C$28,Servant!$B$5:$AD$29,18,FALSE)+($F29+($F29*0.5*($D29-1)))*(AD$3-1)</f>
        <v>5192.9957999999997</v>
      </c>
      <c r="AE29" s="113">
        <f>VLOOKUP($C$28,Servant!$B$5:$AD$29,18,FALSE)+($F29+($F29*0.5*($D29-1)))*(AE$3-1)</f>
        <v>5416.4047</v>
      </c>
      <c r="AF29" s="113">
        <f>VLOOKUP($C$28,Servant!$B$5:$AD$29,18,FALSE)+($F29+($F29*0.5*($D29-1)))*(AF$3-1)</f>
        <v>5639.8135999999995</v>
      </c>
      <c r="AG29" s="113">
        <f>VLOOKUP($C$28,Servant!$B$5:$AD$29,18,FALSE)+($F29+($F29*0.5*($D29-1)))*(AG$3-1)</f>
        <v>5863.2224999999999</v>
      </c>
      <c r="AH29" s="113">
        <f>VLOOKUP($C$28,Servant!$B$5:$AD$29,18,FALSE)+($F29+($F29*0.5*($D29-1)))*(AH$3-1)</f>
        <v>6086.6313999999993</v>
      </c>
      <c r="AI29" s="113">
        <f>VLOOKUP($C$28,Servant!$B$5:$AD$29,18,FALSE)+($F29+($F29*0.5*($D29-1)))*(AI$3-1)</f>
        <v>6310.0402999999997</v>
      </c>
      <c r="AJ29" s="113">
        <f>VLOOKUP($C$28,Servant!$B$5:$AD$29,18,FALSE)+($F29+($F29*0.5*($D29-1)))*(AJ$3-1)</f>
        <v>6533.4492</v>
      </c>
      <c r="AK29" s="113">
        <f>VLOOKUP($C$28,Servant!$B$5:$AD$29,18,FALSE)+($F29+($F29*0.5*($D29-1)))*(AK$3-1)</f>
        <v>6756.8580999999995</v>
      </c>
    </row>
    <row r="30" spans="2:37" x14ac:dyDescent="0.3">
      <c r="B30" s="309"/>
      <c r="C30" s="318"/>
      <c r="D30" s="127">
        <v>4</v>
      </c>
      <c r="E30" s="120">
        <f>VLOOKUP($C$28,ServantLevelUPdStatus!$B$5:$AD$29,6,FALSE)+(VLOOKUP($C$28,ServantLevelUPdStatus!$B$5:$AD$29,6,FALSE)*0.5*(Simulator_AttkPow!$D30-1))</f>
        <v>279.26112499999999</v>
      </c>
      <c r="F30" s="119">
        <f>F29</f>
        <v>111.70444999999999</v>
      </c>
      <c r="H30" s="113">
        <f>VLOOKUP($C$28,Servant!$B$5:$AD$29,18,FALSE)+($F30+($F30*0.5*($D30-1)))*(H$3-1)</f>
        <v>278</v>
      </c>
      <c r="I30" s="113">
        <f>VLOOKUP($C$28,Servant!$B$5:$AD$29,18,FALSE)+($F30+($F30*0.5*($D30-1)))*(I$3-1)</f>
        <v>557.26112499999999</v>
      </c>
      <c r="J30" s="113">
        <f>VLOOKUP($C$28,Servant!$B$5:$AD$29,18,FALSE)+($F30+($F30*0.5*($D30-1)))*(J$3-1)</f>
        <v>836.52224999999999</v>
      </c>
      <c r="K30" s="113">
        <f>VLOOKUP($C$28,Servant!$B$5:$AD$29,18,FALSE)+($F30+($F30*0.5*($D30-1)))*(K$3-1)</f>
        <v>1115.783375</v>
      </c>
      <c r="L30" s="113">
        <f>VLOOKUP($C$28,Servant!$B$5:$AD$29,18,FALSE)+($F30+($F30*0.5*($D30-1)))*(L$3-1)</f>
        <v>1395.0445</v>
      </c>
      <c r="M30" s="113">
        <f>VLOOKUP($C$28,Servant!$B$5:$AD$29,18,FALSE)+($F30+($F30*0.5*($D30-1)))*(M$3-1)</f>
        <v>1674.305625</v>
      </c>
      <c r="N30" s="113">
        <f>VLOOKUP($C$28,Servant!$B$5:$AD$29,18,FALSE)+($F30+($F30*0.5*($D30-1)))*(N$3-1)</f>
        <v>1953.56675</v>
      </c>
      <c r="O30" s="113">
        <f>VLOOKUP($C$28,Servant!$B$5:$AD$29,18,FALSE)+($F30+($F30*0.5*($D30-1)))*(O$3-1)</f>
        <v>2232.8278749999999</v>
      </c>
      <c r="P30" s="113">
        <f>VLOOKUP($C$28,Servant!$B$5:$AD$29,18,FALSE)+($F30+($F30*0.5*($D30-1)))*(P$3-1)</f>
        <v>2512.0889999999999</v>
      </c>
      <c r="Q30" s="113">
        <f>VLOOKUP($C$28,Servant!$B$5:$AD$29,18,FALSE)+($F30+($F30*0.5*($D30-1)))*(Q$3-1)</f>
        <v>2791.3501249999999</v>
      </c>
      <c r="R30" s="113">
        <f>VLOOKUP($C$28,Servant!$B$5:$AD$29,18,FALSE)+($F30+($F30*0.5*($D30-1)))*(R$3-1)</f>
        <v>3070.6112499999999</v>
      </c>
      <c r="S30" s="113">
        <f>VLOOKUP($C$28,Servant!$B$5:$AD$29,18,FALSE)+($F30+($F30*0.5*($D30-1)))*(S$3-1)</f>
        <v>3349.8723749999999</v>
      </c>
      <c r="T30" s="113">
        <f>VLOOKUP($C$28,Servant!$B$5:$AD$29,18,FALSE)+($F30+($F30*0.5*($D30-1)))*(T$3-1)</f>
        <v>3629.1334999999999</v>
      </c>
      <c r="U30" s="113">
        <f>VLOOKUP($C$28,Servant!$B$5:$AD$29,18,FALSE)+($F30+($F30*0.5*($D30-1)))*(U$3-1)</f>
        <v>3908.3946249999999</v>
      </c>
      <c r="V30" s="113">
        <f>VLOOKUP($C$28,Servant!$B$5:$AD$29,18,FALSE)+($F30+($F30*0.5*($D30-1)))*(V$3-1)</f>
        <v>4187.6557499999999</v>
      </c>
      <c r="W30" s="113">
        <f>VLOOKUP($C$28,Servant!$B$5:$AD$29,18,FALSE)+($F30+($F30*0.5*($D30-1)))*(W$3-1)</f>
        <v>4466.9168749999999</v>
      </c>
      <c r="X30" s="113">
        <f>VLOOKUP($C$28,Servant!$B$5:$AD$29,18,FALSE)+($F30+($F30*0.5*($D30-1)))*(X$3-1)</f>
        <v>4746.1779999999999</v>
      </c>
      <c r="Y30" s="113">
        <f>VLOOKUP($C$28,Servant!$B$5:$AD$29,18,FALSE)+($F30+($F30*0.5*($D30-1)))*(Y$3-1)</f>
        <v>5025.4391249999999</v>
      </c>
      <c r="Z30" s="113">
        <f>VLOOKUP($C$28,Servant!$B$5:$AD$29,18,FALSE)+($F30+($F30*0.5*($D30-1)))*(Z$3-1)</f>
        <v>5304.7002499999999</v>
      </c>
      <c r="AA30" s="113">
        <f>VLOOKUP($C$28,Servant!$B$5:$AD$29,18,FALSE)+($F30+($F30*0.5*($D30-1)))*(AA$3-1)</f>
        <v>5583.9613749999999</v>
      </c>
      <c r="AB30" s="113">
        <f>VLOOKUP($C$28,Servant!$B$5:$AD$29,18,FALSE)+($F30+($F30*0.5*($D30-1)))*(AB$3-1)</f>
        <v>5863.2224999999999</v>
      </c>
      <c r="AC30" s="113">
        <f>VLOOKUP($C$28,Servant!$B$5:$AD$29,18,FALSE)+($F30+($F30*0.5*($D30-1)))*(AC$3-1)</f>
        <v>6142.4836249999998</v>
      </c>
      <c r="AD30" s="113">
        <f>VLOOKUP($C$28,Servant!$B$5:$AD$29,18,FALSE)+($F30+($F30*0.5*($D30-1)))*(AD$3-1)</f>
        <v>6421.7447499999998</v>
      </c>
      <c r="AE30" s="113">
        <f>VLOOKUP($C$28,Servant!$B$5:$AD$29,18,FALSE)+($F30+($F30*0.5*($D30-1)))*(AE$3-1)</f>
        <v>6701.0058749999998</v>
      </c>
      <c r="AF30" s="113">
        <f>VLOOKUP($C$28,Servant!$B$5:$AD$29,18,FALSE)+($F30+($F30*0.5*($D30-1)))*(AF$3-1)</f>
        <v>6980.2669999999998</v>
      </c>
      <c r="AG30" s="113">
        <f>VLOOKUP($C$28,Servant!$B$5:$AD$29,18,FALSE)+($F30+($F30*0.5*($D30-1)))*(AG$3-1)</f>
        <v>7259.5281249999998</v>
      </c>
      <c r="AH30" s="113">
        <f>VLOOKUP($C$28,Servant!$B$5:$AD$29,18,FALSE)+($F30+($F30*0.5*($D30-1)))*(AH$3-1)</f>
        <v>7538.7892499999998</v>
      </c>
      <c r="AI30" s="113">
        <f>VLOOKUP($C$28,Servant!$B$5:$AD$29,18,FALSE)+($F30+($F30*0.5*($D30-1)))*(AI$3-1)</f>
        <v>7818.0503749999998</v>
      </c>
      <c r="AJ30" s="113">
        <f>VLOOKUP($C$28,Servant!$B$5:$AD$29,18,FALSE)+($F30+($F30*0.5*($D30-1)))*(AJ$3-1)</f>
        <v>8097.3114999999998</v>
      </c>
      <c r="AK30" s="113">
        <f>VLOOKUP($C$28,Servant!$B$5:$AD$29,18,FALSE)+($F30+($F30*0.5*($D30-1)))*(AK$3-1)</f>
        <v>8376.5726250000007</v>
      </c>
    </row>
    <row r="31" spans="2:37" x14ac:dyDescent="0.3">
      <c r="B31" s="309"/>
      <c r="C31" s="319" t="s">
        <v>284</v>
      </c>
      <c r="D31" s="140">
        <v>2</v>
      </c>
      <c r="E31" s="141">
        <f>VLOOKUP($C$31,ServantLevelUPdStatus!$B$5:$AD$29,6,FALSE)+(VLOOKUP($C$31,ServantLevelUPdStatus!$B$5:$AD$29,6,FALSE)*0.5*(Simulator_AttkPow!$D31-1))</f>
        <v>206.98177500000003</v>
      </c>
      <c r="F31" s="141">
        <f>VLOOKUP($C$31,ServantLevelUPdStatus!$B$5:$AD$29,6,FALSE)</f>
        <v>137.98785000000001</v>
      </c>
      <c r="H31" s="142">
        <f>VLOOKUP($C$31,Servant!$B$5:$AD$29,18,FALSE)+($F31+($F31*0.5*($D31-1)))*(H$3-1)</f>
        <v>268</v>
      </c>
      <c r="I31" s="142">
        <f>VLOOKUP($C$31,Servant!$B$5:$AD$29,18,FALSE)+($F31+($F31*0.5*($D31-1)))*(I$3-1)</f>
        <v>474.98177500000003</v>
      </c>
      <c r="J31" s="142">
        <f>VLOOKUP($C$31,Servant!$B$5:$AD$29,18,FALSE)+($F31+($F31*0.5*($D31-1)))*(J$3-1)</f>
        <v>681.96355000000005</v>
      </c>
      <c r="K31" s="142">
        <f>VLOOKUP($C$31,Servant!$B$5:$AD$29,18,FALSE)+($F31+($F31*0.5*($D31-1)))*(K$3-1)</f>
        <v>888.94532500000014</v>
      </c>
      <c r="L31" s="142">
        <f>VLOOKUP($C$31,Servant!$B$5:$AD$29,18,FALSE)+($F31+($F31*0.5*($D31-1)))*(L$3-1)</f>
        <v>1095.9271000000001</v>
      </c>
      <c r="M31" s="142">
        <f>VLOOKUP($C$31,Servant!$B$5:$AD$29,18,FALSE)+($F31+($F31*0.5*($D31-1)))*(M$3-1)</f>
        <v>1302.9088750000001</v>
      </c>
      <c r="N31" s="142">
        <f>VLOOKUP($C$31,Servant!$B$5:$AD$29,18,FALSE)+($F31+($F31*0.5*($D31-1)))*(N$3-1)</f>
        <v>1509.8906500000003</v>
      </c>
      <c r="O31" s="142">
        <f>VLOOKUP($C$31,Servant!$B$5:$AD$29,18,FALSE)+($F31+($F31*0.5*($D31-1)))*(O$3-1)</f>
        <v>1716.8724250000002</v>
      </c>
      <c r="P31" s="142">
        <f>VLOOKUP($C$31,Servant!$B$5:$AD$29,18,FALSE)+($F31+($F31*0.5*($D31-1)))*(P$3-1)</f>
        <v>1923.8542000000002</v>
      </c>
      <c r="Q31" s="142">
        <f>VLOOKUP($C$31,Servant!$B$5:$AD$29,18,FALSE)+($F31+($F31*0.5*($D31-1)))*(Q$3-1)</f>
        <v>2130.835975</v>
      </c>
      <c r="R31" s="142">
        <f>VLOOKUP($C$31,Servant!$B$5:$AD$29,18,FALSE)+($F31+($F31*0.5*($D31-1)))*(R$3-1)</f>
        <v>2337.8177500000002</v>
      </c>
      <c r="S31" s="142">
        <f>VLOOKUP($C$31,Servant!$B$5:$AD$29,18,FALSE)+($F31+($F31*0.5*($D31-1)))*(S$3-1)</f>
        <v>2544.7995250000004</v>
      </c>
      <c r="T31" s="142">
        <f>VLOOKUP($C$31,Servant!$B$5:$AD$29,18,FALSE)+($F31+($F31*0.5*($D31-1)))*(T$3-1)</f>
        <v>2751.7813000000006</v>
      </c>
      <c r="U31" s="142">
        <f>VLOOKUP($C$31,Servant!$B$5:$AD$29,18,FALSE)+($F31+($F31*0.5*($D31-1)))*(U$3-1)</f>
        <v>2958.7630750000003</v>
      </c>
      <c r="V31" s="142">
        <f>VLOOKUP($C$31,Servant!$B$5:$AD$29,18,FALSE)+($F31+($F31*0.5*($D31-1)))*(V$3-1)</f>
        <v>3165.7448500000005</v>
      </c>
      <c r="W31" s="142">
        <f>VLOOKUP($C$31,Servant!$B$5:$AD$29,18,FALSE)+($F31+($F31*0.5*($D31-1)))*(W$3-1)</f>
        <v>3372.7266250000002</v>
      </c>
      <c r="X31" s="142">
        <f>VLOOKUP($C$31,Servant!$B$5:$AD$29,18,FALSE)+($F31+($F31*0.5*($D31-1)))*(X$3-1)</f>
        <v>3579.7084000000004</v>
      </c>
      <c r="Y31" s="142">
        <f>VLOOKUP($C$31,Servant!$B$5:$AD$29,18,FALSE)+($F31+($F31*0.5*($D31-1)))*(Y$3-1)</f>
        <v>3786.6901750000006</v>
      </c>
      <c r="Z31" s="142">
        <f>VLOOKUP($C$31,Servant!$B$5:$AD$29,18,FALSE)+($F31+($F31*0.5*($D31-1)))*(Z$3-1)</f>
        <v>3993.6719500000004</v>
      </c>
      <c r="AA31" s="142">
        <f>VLOOKUP($C$31,Servant!$B$5:$AD$29,18,FALSE)+($F31+($F31*0.5*($D31-1)))*(AA$3-1)</f>
        <v>4200.6537250000001</v>
      </c>
      <c r="AB31" s="142">
        <f>VLOOKUP($C$31,Servant!$B$5:$AD$29,18,FALSE)+($F31+($F31*0.5*($D31-1)))*(AB$3-1)</f>
        <v>4407.6355000000003</v>
      </c>
      <c r="AC31" s="142">
        <f>VLOOKUP($C$31,Servant!$B$5:$AD$29,18,FALSE)+($F31+($F31*0.5*($D31-1)))*(AC$3-1)</f>
        <v>4614.6172750000005</v>
      </c>
      <c r="AD31" s="142">
        <f>VLOOKUP($C$31,Servant!$B$5:$AD$29,18,FALSE)+($F31+($F31*0.5*($D31-1)))*(AD$3-1)</f>
        <v>4821.5990500000007</v>
      </c>
      <c r="AE31" s="142">
        <f>VLOOKUP($C$31,Servant!$B$5:$AD$29,18,FALSE)+($F31+($F31*0.5*($D31-1)))*(AE$3-1)</f>
        <v>5028.5808250000009</v>
      </c>
      <c r="AF31" s="142">
        <f>VLOOKUP($C$31,Servant!$B$5:$AD$29,18,FALSE)+($F31+($F31*0.5*($D31-1)))*(AF$3-1)</f>
        <v>5235.5626000000011</v>
      </c>
      <c r="AG31" s="142">
        <f>VLOOKUP($C$31,Servant!$B$5:$AD$29,18,FALSE)+($F31+($F31*0.5*($D31-1)))*(AG$3-1)</f>
        <v>5442.5443750000004</v>
      </c>
      <c r="AH31" s="142">
        <f>VLOOKUP($C$31,Servant!$B$5:$AD$29,18,FALSE)+($F31+($F31*0.5*($D31-1)))*(AH$3-1)</f>
        <v>5649.5261500000006</v>
      </c>
      <c r="AI31" s="142">
        <f>VLOOKUP($C$31,Servant!$B$5:$AD$29,18,FALSE)+($F31+($F31*0.5*($D31-1)))*(AI$3-1)</f>
        <v>5856.5079250000008</v>
      </c>
      <c r="AJ31" s="142">
        <f>VLOOKUP($C$31,Servant!$B$5:$AD$29,18,FALSE)+($F31+($F31*0.5*($D31-1)))*(AJ$3-1)</f>
        <v>6063.489700000001</v>
      </c>
      <c r="AK31" s="142">
        <f>VLOOKUP($C$31,Servant!$B$5:$AD$29,18,FALSE)+($F31+($F31*0.5*($D31-1)))*(AK$3-1)</f>
        <v>6270.4714750000012</v>
      </c>
    </row>
    <row r="32" spans="2:37" x14ac:dyDescent="0.3">
      <c r="B32" s="309"/>
      <c r="C32" s="319"/>
      <c r="D32" s="140">
        <v>3</v>
      </c>
      <c r="E32" s="141">
        <f>VLOOKUP($C$31,ServantLevelUPdStatus!$B$5:$AD$29,6,FALSE)+(VLOOKUP($C$31,ServantLevelUPdStatus!$B$5:$AD$29,6,FALSE)*0.5*(Simulator_AttkPow!$D32-1))</f>
        <v>275.97570000000002</v>
      </c>
      <c r="F32" s="143">
        <f>F31</f>
        <v>137.98785000000001</v>
      </c>
      <c r="H32" s="142">
        <f>VLOOKUP($C$31,Servant!$B$5:$AD$29,18,FALSE)+($F32+($F32*0.5*($D32-1)))*(H$3-1)</f>
        <v>268</v>
      </c>
      <c r="I32" s="142">
        <f>VLOOKUP($C$31,Servant!$B$5:$AD$29,18,FALSE)+($F32+($F32*0.5*($D32-1)))*(I$3-1)</f>
        <v>543.97569999999996</v>
      </c>
      <c r="J32" s="142">
        <f>VLOOKUP($C$31,Servant!$B$5:$AD$29,18,FALSE)+($F32+($F32*0.5*($D32-1)))*(J$3-1)</f>
        <v>819.95140000000004</v>
      </c>
      <c r="K32" s="142">
        <f>VLOOKUP($C$31,Servant!$B$5:$AD$29,18,FALSE)+($F32+($F32*0.5*($D32-1)))*(K$3-1)</f>
        <v>1095.9271000000001</v>
      </c>
      <c r="L32" s="142">
        <f>VLOOKUP($C$31,Servant!$B$5:$AD$29,18,FALSE)+($F32+($F32*0.5*($D32-1)))*(L$3-1)</f>
        <v>1371.9028000000001</v>
      </c>
      <c r="M32" s="142">
        <f>VLOOKUP($C$31,Servant!$B$5:$AD$29,18,FALSE)+($F32+($F32*0.5*($D32-1)))*(M$3-1)</f>
        <v>1647.8785</v>
      </c>
      <c r="N32" s="142">
        <f>VLOOKUP($C$31,Servant!$B$5:$AD$29,18,FALSE)+($F32+($F32*0.5*($D32-1)))*(N$3-1)</f>
        <v>1923.8542000000002</v>
      </c>
      <c r="O32" s="142">
        <f>VLOOKUP($C$31,Servant!$B$5:$AD$29,18,FALSE)+($F32+($F32*0.5*($D32-1)))*(O$3-1)</f>
        <v>2199.8299000000002</v>
      </c>
      <c r="P32" s="142">
        <f>VLOOKUP($C$31,Servant!$B$5:$AD$29,18,FALSE)+($F32+($F32*0.5*($D32-1)))*(P$3-1)</f>
        <v>2475.8056000000001</v>
      </c>
      <c r="Q32" s="142">
        <f>VLOOKUP($C$31,Servant!$B$5:$AD$29,18,FALSE)+($F32+($F32*0.5*($D32-1)))*(Q$3-1)</f>
        <v>2751.7813000000001</v>
      </c>
      <c r="R32" s="142">
        <f>VLOOKUP($C$31,Servant!$B$5:$AD$29,18,FALSE)+($F32+($F32*0.5*($D32-1)))*(R$3-1)</f>
        <v>3027.7570000000001</v>
      </c>
      <c r="S32" s="142">
        <f>VLOOKUP($C$31,Servant!$B$5:$AD$29,18,FALSE)+($F32+($F32*0.5*($D32-1)))*(S$3-1)</f>
        <v>3303.7327</v>
      </c>
      <c r="T32" s="142">
        <f>VLOOKUP($C$31,Servant!$B$5:$AD$29,18,FALSE)+($F32+($F32*0.5*($D32-1)))*(T$3-1)</f>
        <v>3579.7084000000004</v>
      </c>
      <c r="U32" s="142">
        <f>VLOOKUP($C$31,Servant!$B$5:$AD$29,18,FALSE)+($F32+($F32*0.5*($D32-1)))*(U$3-1)</f>
        <v>3855.6841000000004</v>
      </c>
      <c r="V32" s="142">
        <f>VLOOKUP($C$31,Servant!$B$5:$AD$29,18,FALSE)+($F32+($F32*0.5*($D32-1)))*(V$3-1)</f>
        <v>4131.6598000000004</v>
      </c>
      <c r="W32" s="142">
        <f>VLOOKUP($C$31,Servant!$B$5:$AD$29,18,FALSE)+($F32+($F32*0.5*($D32-1)))*(W$3-1)</f>
        <v>4407.6355000000003</v>
      </c>
      <c r="X32" s="142">
        <f>VLOOKUP($C$31,Servant!$B$5:$AD$29,18,FALSE)+($F32+($F32*0.5*($D32-1)))*(X$3-1)</f>
        <v>4683.6112000000003</v>
      </c>
      <c r="Y32" s="142">
        <f>VLOOKUP($C$31,Servant!$B$5:$AD$29,18,FALSE)+($F32+($F32*0.5*($D32-1)))*(Y$3-1)</f>
        <v>4959.5869000000002</v>
      </c>
      <c r="Z32" s="142">
        <f>VLOOKUP($C$31,Servant!$B$5:$AD$29,18,FALSE)+($F32+($F32*0.5*($D32-1)))*(Z$3-1)</f>
        <v>5235.5626000000002</v>
      </c>
      <c r="AA32" s="142">
        <f>VLOOKUP($C$31,Servant!$B$5:$AD$29,18,FALSE)+($F32+($F32*0.5*($D32-1)))*(AA$3-1)</f>
        <v>5511.5383000000002</v>
      </c>
      <c r="AB32" s="142">
        <f>VLOOKUP($C$31,Servant!$B$5:$AD$29,18,FALSE)+($F32+($F32*0.5*($D32-1)))*(AB$3-1)</f>
        <v>5787.5140000000001</v>
      </c>
      <c r="AC32" s="142">
        <f>VLOOKUP($C$31,Servant!$B$5:$AD$29,18,FALSE)+($F32+($F32*0.5*($D32-1)))*(AC$3-1)</f>
        <v>6063.4897000000001</v>
      </c>
      <c r="AD32" s="142">
        <f>VLOOKUP($C$31,Servant!$B$5:$AD$29,18,FALSE)+($F32+($F32*0.5*($D32-1)))*(AD$3-1)</f>
        <v>6339.4654</v>
      </c>
      <c r="AE32" s="142">
        <f>VLOOKUP($C$31,Servant!$B$5:$AD$29,18,FALSE)+($F32+($F32*0.5*($D32-1)))*(AE$3-1)</f>
        <v>6615.4411</v>
      </c>
      <c r="AF32" s="142">
        <f>VLOOKUP($C$31,Servant!$B$5:$AD$29,18,FALSE)+($F32+($F32*0.5*($D32-1)))*(AF$3-1)</f>
        <v>6891.4168000000009</v>
      </c>
      <c r="AG32" s="142">
        <f>VLOOKUP($C$31,Servant!$B$5:$AD$29,18,FALSE)+($F32+($F32*0.5*($D32-1)))*(AG$3-1)</f>
        <v>7167.3925000000008</v>
      </c>
      <c r="AH32" s="142">
        <f>VLOOKUP($C$31,Servant!$B$5:$AD$29,18,FALSE)+($F32+($F32*0.5*($D32-1)))*(AH$3-1)</f>
        <v>7443.3682000000008</v>
      </c>
      <c r="AI32" s="142">
        <f>VLOOKUP($C$31,Servant!$B$5:$AD$29,18,FALSE)+($F32+($F32*0.5*($D32-1)))*(AI$3-1)</f>
        <v>7719.3439000000008</v>
      </c>
      <c r="AJ32" s="142">
        <f>VLOOKUP($C$31,Servant!$B$5:$AD$29,18,FALSE)+($F32+($F32*0.5*($D32-1)))*(AJ$3-1)</f>
        <v>7995.3196000000007</v>
      </c>
      <c r="AK32" s="142">
        <f>VLOOKUP($C$31,Servant!$B$5:$AD$29,18,FALSE)+($F32+($F32*0.5*($D32-1)))*(AK$3-1)</f>
        <v>8271.2953000000016</v>
      </c>
    </row>
    <row r="33" spans="2:37" x14ac:dyDescent="0.3">
      <c r="B33" s="309"/>
      <c r="C33" s="319"/>
      <c r="D33" s="140">
        <v>4</v>
      </c>
      <c r="E33" s="141">
        <f>VLOOKUP($C$31,ServantLevelUPdStatus!$B$5:$AD$29,6,FALSE)+(VLOOKUP($C$31,ServantLevelUPdStatus!$B$5:$AD$29,6,FALSE)*0.5*(Simulator_AttkPow!$D33-1))</f>
        <v>344.96962500000006</v>
      </c>
      <c r="F33" s="143">
        <f>F32</f>
        <v>137.98785000000001</v>
      </c>
      <c r="H33" s="142">
        <f>VLOOKUP($C$31,Servant!$B$5:$AD$29,18,FALSE)+($F33+($F33*0.5*($D33-1)))*(H$3-1)</f>
        <v>268</v>
      </c>
      <c r="I33" s="142">
        <f>VLOOKUP($C$31,Servant!$B$5:$AD$29,18,FALSE)+($F33+($F33*0.5*($D33-1)))*(I$3-1)</f>
        <v>612.96962500000006</v>
      </c>
      <c r="J33" s="142">
        <f>VLOOKUP($C$31,Servant!$B$5:$AD$29,18,FALSE)+($F33+($F33*0.5*($D33-1)))*(J$3-1)</f>
        <v>957.93925000000013</v>
      </c>
      <c r="K33" s="142">
        <f>VLOOKUP($C$31,Servant!$B$5:$AD$29,18,FALSE)+($F33+($F33*0.5*($D33-1)))*(K$3-1)</f>
        <v>1302.9088750000001</v>
      </c>
      <c r="L33" s="142">
        <f>VLOOKUP($C$31,Servant!$B$5:$AD$29,18,FALSE)+($F33+($F33*0.5*($D33-1)))*(L$3-1)</f>
        <v>1647.8785000000003</v>
      </c>
      <c r="M33" s="142">
        <f>VLOOKUP($C$31,Servant!$B$5:$AD$29,18,FALSE)+($F33+($F33*0.5*($D33-1)))*(M$3-1)</f>
        <v>1992.8481250000004</v>
      </c>
      <c r="N33" s="142">
        <f>VLOOKUP($C$31,Servant!$B$5:$AD$29,18,FALSE)+($F33+($F33*0.5*($D33-1)))*(N$3-1)</f>
        <v>2337.8177500000002</v>
      </c>
      <c r="O33" s="142">
        <f>VLOOKUP($C$31,Servant!$B$5:$AD$29,18,FALSE)+($F33+($F33*0.5*($D33-1)))*(O$3-1)</f>
        <v>2682.7873750000003</v>
      </c>
      <c r="P33" s="142">
        <f>VLOOKUP($C$31,Servant!$B$5:$AD$29,18,FALSE)+($F33+($F33*0.5*($D33-1)))*(P$3-1)</f>
        <v>3027.7570000000005</v>
      </c>
      <c r="Q33" s="142">
        <f>VLOOKUP($C$31,Servant!$B$5:$AD$29,18,FALSE)+($F33+($F33*0.5*($D33-1)))*(Q$3-1)</f>
        <v>3372.7266250000007</v>
      </c>
      <c r="R33" s="142">
        <f>VLOOKUP($C$31,Servant!$B$5:$AD$29,18,FALSE)+($F33+($F33*0.5*($D33-1)))*(R$3-1)</f>
        <v>3717.6962500000009</v>
      </c>
      <c r="S33" s="142">
        <f>VLOOKUP($C$31,Servant!$B$5:$AD$29,18,FALSE)+($F33+($F33*0.5*($D33-1)))*(S$3-1)</f>
        <v>4062.6658750000006</v>
      </c>
      <c r="T33" s="142">
        <f>VLOOKUP($C$31,Servant!$B$5:$AD$29,18,FALSE)+($F33+($F33*0.5*($D33-1)))*(T$3-1)</f>
        <v>4407.6355000000003</v>
      </c>
      <c r="U33" s="142">
        <f>VLOOKUP($C$31,Servant!$B$5:$AD$29,18,FALSE)+($F33+($F33*0.5*($D33-1)))*(U$3-1)</f>
        <v>4752.605125000001</v>
      </c>
      <c r="V33" s="142">
        <f>VLOOKUP($C$31,Servant!$B$5:$AD$29,18,FALSE)+($F33+($F33*0.5*($D33-1)))*(V$3-1)</f>
        <v>5097.5747500000007</v>
      </c>
      <c r="W33" s="142">
        <f>VLOOKUP($C$31,Servant!$B$5:$AD$29,18,FALSE)+($F33+($F33*0.5*($D33-1)))*(W$3-1)</f>
        <v>5442.5443750000013</v>
      </c>
      <c r="X33" s="142">
        <f>VLOOKUP($C$31,Servant!$B$5:$AD$29,18,FALSE)+($F33+($F33*0.5*($D33-1)))*(X$3-1)</f>
        <v>5787.514000000001</v>
      </c>
      <c r="Y33" s="142">
        <f>VLOOKUP($C$31,Servant!$B$5:$AD$29,18,FALSE)+($F33+($F33*0.5*($D33-1)))*(Y$3-1)</f>
        <v>6132.4836250000008</v>
      </c>
      <c r="Z33" s="142">
        <f>VLOOKUP($C$31,Servant!$B$5:$AD$29,18,FALSE)+($F33+($F33*0.5*($D33-1)))*(Z$3-1)</f>
        <v>6477.4532500000014</v>
      </c>
      <c r="AA33" s="142">
        <f>VLOOKUP($C$31,Servant!$B$5:$AD$29,18,FALSE)+($F33+($F33*0.5*($D33-1)))*(AA$3-1)</f>
        <v>6822.4228750000011</v>
      </c>
      <c r="AB33" s="142">
        <f>VLOOKUP($C$31,Servant!$B$5:$AD$29,18,FALSE)+($F33+($F33*0.5*($D33-1)))*(AB$3-1)</f>
        <v>7167.3925000000017</v>
      </c>
      <c r="AC33" s="142">
        <f>VLOOKUP($C$31,Servant!$B$5:$AD$29,18,FALSE)+($F33+($F33*0.5*($D33-1)))*(AC$3-1)</f>
        <v>7512.3621250000015</v>
      </c>
      <c r="AD33" s="142">
        <f>VLOOKUP($C$31,Servant!$B$5:$AD$29,18,FALSE)+($F33+($F33*0.5*($D33-1)))*(AD$3-1)</f>
        <v>7857.3317500000012</v>
      </c>
      <c r="AE33" s="142">
        <f>VLOOKUP($C$31,Servant!$B$5:$AD$29,18,FALSE)+($F33+($F33*0.5*($D33-1)))*(AE$3-1)</f>
        <v>8202.3013750000027</v>
      </c>
      <c r="AF33" s="142">
        <f>VLOOKUP($C$31,Servant!$B$5:$AD$29,18,FALSE)+($F33+($F33*0.5*($D33-1)))*(AF$3-1)</f>
        <v>8547.2710000000006</v>
      </c>
      <c r="AG33" s="142">
        <f>VLOOKUP($C$31,Servant!$B$5:$AD$29,18,FALSE)+($F33+($F33*0.5*($D33-1)))*(AG$3-1)</f>
        <v>8892.2406250000022</v>
      </c>
      <c r="AH33" s="142">
        <f>VLOOKUP($C$31,Servant!$B$5:$AD$29,18,FALSE)+($F33+($F33*0.5*($D33-1)))*(AH$3-1)</f>
        <v>9237.2102500000019</v>
      </c>
      <c r="AI33" s="142">
        <f>VLOOKUP($C$31,Servant!$B$5:$AD$29,18,FALSE)+($F33+($F33*0.5*($D33-1)))*(AI$3-1)</f>
        <v>9582.1798750000016</v>
      </c>
      <c r="AJ33" s="142">
        <f>VLOOKUP($C$31,Servant!$B$5:$AD$29,18,FALSE)+($F33+($F33*0.5*($D33-1)))*(AJ$3-1)</f>
        <v>9927.1495000000014</v>
      </c>
      <c r="AK33" s="142">
        <f>VLOOKUP($C$31,Servant!$B$5:$AD$29,18,FALSE)+($F33+($F33*0.5*($D33-1)))*(AK$3-1)</f>
        <v>10272.119125000001</v>
      </c>
    </row>
    <row r="34" spans="2:37" x14ac:dyDescent="0.3">
      <c r="B34" s="309"/>
      <c r="C34" s="318" t="s">
        <v>285</v>
      </c>
      <c r="D34" s="127">
        <v>2</v>
      </c>
      <c r="E34" s="120">
        <f>VLOOKUP($C$34,ServantLevelUPdStatus!$B$5:$AD$29,6,FALSE)+(VLOOKUP($C$34,ServantLevelUPdStatus!$B$5:$AD$29,6,FALSE)*0.5*(Simulator_AttkPow!$D34-1))</f>
        <v>197.91400199999998</v>
      </c>
      <c r="F34" s="120">
        <f>VLOOKUP($C$34,ServantLevelUPdStatus!$B$5:$AD$29,6,FALSE)</f>
        <v>131.942668</v>
      </c>
      <c r="H34" s="113">
        <f>VLOOKUP($C$34,Servant!$B$5:$AD$29,18,FALSE)+($F34+($F34*0.5*($D34-1)))*(H$3-1)</f>
        <v>318</v>
      </c>
      <c r="I34" s="113">
        <f>VLOOKUP($C$34,Servant!$B$5:$AD$29,18,FALSE)+($F34+($F34*0.5*($D34-1)))*(I$3-1)</f>
        <v>515.91400199999998</v>
      </c>
      <c r="J34" s="113">
        <f>VLOOKUP($C$34,Servant!$B$5:$AD$29,18,FALSE)+($F34+($F34*0.5*($D34-1)))*(J$3-1)</f>
        <v>713.82800399999996</v>
      </c>
      <c r="K34" s="113">
        <f>VLOOKUP($C$34,Servant!$B$5:$AD$29,18,FALSE)+($F34+($F34*0.5*($D34-1)))*(K$3-1)</f>
        <v>911.74200599999995</v>
      </c>
      <c r="L34" s="113">
        <f>VLOOKUP($C$34,Servant!$B$5:$AD$29,18,FALSE)+($F34+($F34*0.5*($D34-1)))*(L$3-1)</f>
        <v>1109.6560079999999</v>
      </c>
      <c r="M34" s="113">
        <f>VLOOKUP($C$34,Servant!$B$5:$AD$29,18,FALSE)+($F34+($F34*0.5*($D34-1)))*(M$3-1)</f>
        <v>1307.5700099999999</v>
      </c>
      <c r="N34" s="113">
        <f>VLOOKUP($C$34,Servant!$B$5:$AD$29,18,FALSE)+($F34+($F34*0.5*($D34-1)))*(N$3-1)</f>
        <v>1505.4840119999999</v>
      </c>
      <c r="O34" s="113">
        <f>VLOOKUP($C$34,Servant!$B$5:$AD$29,18,FALSE)+($F34+($F34*0.5*($D34-1)))*(O$3-1)</f>
        <v>1703.3980139999999</v>
      </c>
      <c r="P34" s="113">
        <f>VLOOKUP($C$34,Servant!$B$5:$AD$29,18,FALSE)+($F34+($F34*0.5*($D34-1)))*(P$3-1)</f>
        <v>1901.3120159999999</v>
      </c>
      <c r="Q34" s="113">
        <f>VLOOKUP($C$34,Servant!$B$5:$AD$29,18,FALSE)+($F34+($F34*0.5*($D34-1)))*(Q$3-1)</f>
        <v>2099.2260179999998</v>
      </c>
      <c r="R34" s="113">
        <f>VLOOKUP($C$34,Servant!$B$5:$AD$29,18,FALSE)+($F34+($F34*0.5*($D34-1)))*(R$3-1)</f>
        <v>2297.1400199999998</v>
      </c>
      <c r="S34" s="113">
        <f>VLOOKUP($C$34,Servant!$B$5:$AD$29,18,FALSE)+($F34+($F34*0.5*($D34-1)))*(S$3-1)</f>
        <v>2495.0540219999998</v>
      </c>
      <c r="T34" s="113">
        <f>VLOOKUP($C$34,Servant!$B$5:$AD$29,18,FALSE)+($F34+($F34*0.5*($D34-1)))*(T$3-1)</f>
        <v>2692.9680239999998</v>
      </c>
      <c r="U34" s="113">
        <f>VLOOKUP($C$34,Servant!$B$5:$AD$29,18,FALSE)+($F34+($F34*0.5*($D34-1)))*(U$3-1)</f>
        <v>2890.8820259999998</v>
      </c>
      <c r="V34" s="113">
        <f>VLOOKUP($C$34,Servant!$B$5:$AD$29,18,FALSE)+($F34+($F34*0.5*($D34-1)))*(V$3-1)</f>
        <v>3088.7960279999998</v>
      </c>
      <c r="W34" s="113">
        <f>VLOOKUP($C$34,Servant!$B$5:$AD$29,18,FALSE)+($F34+($F34*0.5*($D34-1)))*(W$3-1)</f>
        <v>3286.7100299999997</v>
      </c>
      <c r="X34" s="113">
        <f>VLOOKUP($C$34,Servant!$B$5:$AD$29,18,FALSE)+($F34+($F34*0.5*($D34-1)))*(X$3-1)</f>
        <v>3484.6240319999997</v>
      </c>
      <c r="Y34" s="113">
        <f>VLOOKUP($C$34,Servant!$B$5:$AD$29,18,FALSE)+($F34+($F34*0.5*($D34-1)))*(Y$3-1)</f>
        <v>3682.5380339999997</v>
      </c>
      <c r="Z34" s="113">
        <f>VLOOKUP($C$34,Servant!$B$5:$AD$29,18,FALSE)+($F34+($F34*0.5*($D34-1)))*(Z$3-1)</f>
        <v>3880.4520359999997</v>
      </c>
      <c r="AA34" s="113">
        <f>VLOOKUP($C$34,Servant!$B$5:$AD$29,18,FALSE)+($F34+($F34*0.5*($D34-1)))*(AA$3-1)</f>
        <v>4078.3660379999997</v>
      </c>
      <c r="AB34" s="113">
        <f>VLOOKUP($C$34,Servant!$B$5:$AD$29,18,FALSE)+($F34+($F34*0.5*($D34-1)))*(AB$3-1)</f>
        <v>4276.2800399999996</v>
      </c>
      <c r="AC34" s="113">
        <f>VLOOKUP($C$34,Servant!$B$5:$AD$29,18,FALSE)+($F34+($F34*0.5*($D34-1)))*(AC$3-1)</f>
        <v>4474.1940419999992</v>
      </c>
      <c r="AD34" s="113">
        <f>VLOOKUP($C$34,Servant!$B$5:$AD$29,18,FALSE)+($F34+($F34*0.5*($D34-1)))*(AD$3-1)</f>
        <v>4672.1080439999996</v>
      </c>
      <c r="AE34" s="113">
        <f>VLOOKUP($C$34,Servant!$B$5:$AD$29,18,FALSE)+($F34+($F34*0.5*($D34-1)))*(AE$3-1)</f>
        <v>4870.022046</v>
      </c>
      <c r="AF34" s="113">
        <f>VLOOKUP($C$34,Servant!$B$5:$AD$29,18,FALSE)+($F34+($F34*0.5*($D34-1)))*(AF$3-1)</f>
        <v>5067.9360479999996</v>
      </c>
      <c r="AG34" s="113">
        <f>VLOOKUP($C$34,Servant!$B$5:$AD$29,18,FALSE)+($F34+($F34*0.5*($D34-1)))*(AG$3-1)</f>
        <v>5265.8500499999991</v>
      </c>
      <c r="AH34" s="113">
        <f>VLOOKUP($C$34,Servant!$B$5:$AD$29,18,FALSE)+($F34+($F34*0.5*($D34-1)))*(AH$3-1)</f>
        <v>5463.7640519999995</v>
      </c>
      <c r="AI34" s="113">
        <f>VLOOKUP($C$34,Servant!$B$5:$AD$29,18,FALSE)+($F34+($F34*0.5*($D34-1)))*(AI$3-1)</f>
        <v>5661.678054</v>
      </c>
      <c r="AJ34" s="113">
        <f>VLOOKUP($C$34,Servant!$B$5:$AD$29,18,FALSE)+($F34+($F34*0.5*($D34-1)))*(AJ$3-1)</f>
        <v>5859.5920559999995</v>
      </c>
      <c r="AK34" s="113">
        <f>VLOOKUP($C$34,Servant!$B$5:$AD$29,18,FALSE)+($F34+($F34*0.5*($D34-1)))*(AK$3-1)</f>
        <v>6057.506057999999</v>
      </c>
    </row>
    <row r="35" spans="2:37" x14ac:dyDescent="0.3">
      <c r="B35" s="309"/>
      <c r="C35" s="318"/>
      <c r="D35" s="127">
        <v>3</v>
      </c>
      <c r="E35" s="120">
        <f>VLOOKUP($C$34,ServantLevelUPdStatus!$B$5:$AD$29,6,FALSE)+(VLOOKUP($C$34,ServantLevelUPdStatus!$B$5:$AD$29,6,FALSE)*0.5*(Simulator_AttkPow!$D35-1))</f>
        <v>263.885336</v>
      </c>
      <c r="F35" s="119">
        <f>F34</f>
        <v>131.942668</v>
      </c>
      <c r="H35" s="113">
        <f>VLOOKUP($C$34,Servant!$B$5:$AD$29,18,FALSE)+($F35+($F35*0.5*($D35-1)))*(H$3-1)</f>
        <v>318</v>
      </c>
      <c r="I35" s="113">
        <f>VLOOKUP($C$34,Servant!$B$5:$AD$29,18,FALSE)+($F35+($F35*0.5*($D35-1)))*(I$3-1)</f>
        <v>581.88533600000005</v>
      </c>
      <c r="J35" s="113">
        <f>VLOOKUP($C$34,Servant!$B$5:$AD$29,18,FALSE)+($F35+($F35*0.5*($D35-1)))*(J$3-1)</f>
        <v>845.77067199999999</v>
      </c>
      <c r="K35" s="113">
        <f>VLOOKUP($C$34,Servant!$B$5:$AD$29,18,FALSE)+($F35+($F35*0.5*($D35-1)))*(K$3-1)</f>
        <v>1109.6560079999999</v>
      </c>
      <c r="L35" s="113">
        <f>VLOOKUP($C$34,Servant!$B$5:$AD$29,18,FALSE)+($F35+($F35*0.5*($D35-1)))*(L$3-1)</f>
        <v>1373.541344</v>
      </c>
      <c r="M35" s="113">
        <f>VLOOKUP($C$34,Servant!$B$5:$AD$29,18,FALSE)+($F35+($F35*0.5*($D35-1)))*(M$3-1)</f>
        <v>1637.42668</v>
      </c>
      <c r="N35" s="113">
        <f>VLOOKUP($C$34,Servant!$B$5:$AD$29,18,FALSE)+($F35+($F35*0.5*($D35-1)))*(N$3-1)</f>
        <v>1901.3120159999999</v>
      </c>
      <c r="O35" s="113">
        <f>VLOOKUP($C$34,Servant!$B$5:$AD$29,18,FALSE)+($F35+($F35*0.5*($D35-1)))*(O$3-1)</f>
        <v>2165.1973520000001</v>
      </c>
      <c r="P35" s="113">
        <f>VLOOKUP($C$34,Servant!$B$5:$AD$29,18,FALSE)+($F35+($F35*0.5*($D35-1)))*(P$3-1)</f>
        <v>2429.082688</v>
      </c>
      <c r="Q35" s="113">
        <f>VLOOKUP($C$34,Servant!$B$5:$AD$29,18,FALSE)+($F35+($F35*0.5*($D35-1)))*(Q$3-1)</f>
        <v>2692.9680239999998</v>
      </c>
      <c r="R35" s="113">
        <f>VLOOKUP($C$34,Servant!$B$5:$AD$29,18,FALSE)+($F35+($F35*0.5*($D35-1)))*(R$3-1)</f>
        <v>2956.8533600000001</v>
      </c>
      <c r="S35" s="113">
        <f>VLOOKUP($C$34,Servant!$B$5:$AD$29,18,FALSE)+($F35+($F35*0.5*($D35-1)))*(S$3-1)</f>
        <v>3220.7386959999999</v>
      </c>
      <c r="T35" s="113">
        <f>VLOOKUP($C$34,Servant!$B$5:$AD$29,18,FALSE)+($F35+($F35*0.5*($D35-1)))*(T$3-1)</f>
        <v>3484.6240319999997</v>
      </c>
      <c r="U35" s="113">
        <f>VLOOKUP($C$34,Servant!$B$5:$AD$29,18,FALSE)+($F35+($F35*0.5*($D35-1)))*(U$3-1)</f>
        <v>3748.509368</v>
      </c>
      <c r="V35" s="113">
        <f>VLOOKUP($C$34,Servant!$B$5:$AD$29,18,FALSE)+($F35+($F35*0.5*($D35-1)))*(V$3-1)</f>
        <v>4012.3947039999998</v>
      </c>
      <c r="W35" s="113">
        <f>VLOOKUP($C$34,Servant!$B$5:$AD$29,18,FALSE)+($F35+($F35*0.5*($D35-1)))*(W$3-1)</f>
        <v>4276.2800399999996</v>
      </c>
      <c r="X35" s="113">
        <f>VLOOKUP($C$34,Servant!$B$5:$AD$29,18,FALSE)+($F35+($F35*0.5*($D35-1)))*(X$3-1)</f>
        <v>4540.1653759999999</v>
      </c>
      <c r="Y35" s="113">
        <f>VLOOKUP($C$34,Servant!$B$5:$AD$29,18,FALSE)+($F35+($F35*0.5*($D35-1)))*(Y$3-1)</f>
        <v>4804.0507120000002</v>
      </c>
      <c r="Z35" s="113">
        <f>VLOOKUP($C$34,Servant!$B$5:$AD$29,18,FALSE)+($F35+($F35*0.5*($D35-1)))*(Z$3-1)</f>
        <v>5067.9360479999996</v>
      </c>
      <c r="AA35" s="113">
        <f>VLOOKUP($C$34,Servant!$B$5:$AD$29,18,FALSE)+($F35+($F35*0.5*($D35-1)))*(AA$3-1)</f>
        <v>5331.8213839999999</v>
      </c>
      <c r="AB35" s="113">
        <f>VLOOKUP($C$34,Servant!$B$5:$AD$29,18,FALSE)+($F35+($F35*0.5*($D35-1)))*(AB$3-1)</f>
        <v>5595.7067200000001</v>
      </c>
      <c r="AC35" s="113">
        <f>VLOOKUP($C$34,Servant!$B$5:$AD$29,18,FALSE)+($F35+($F35*0.5*($D35-1)))*(AC$3-1)</f>
        <v>5859.5920559999995</v>
      </c>
      <c r="AD35" s="113">
        <f>VLOOKUP($C$34,Servant!$B$5:$AD$29,18,FALSE)+($F35+($F35*0.5*($D35-1)))*(AD$3-1)</f>
        <v>6123.4773919999998</v>
      </c>
      <c r="AE35" s="113">
        <f>VLOOKUP($C$34,Servant!$B$5:$AD$29,18,FALSE)+($F35+($F35*0.5*($D35-1)))*(AE$3-1)</f>
        <v>6387.3627280000001</v>
      </c>
      <c r="AF35" s="113">
        <f>VLOOKUP($C$34,Servant!$B$5:$AD$29,18,FALSE)+($F35+($F35*0.5*($D35-1)))*(AF$3-1)</f>
        <v>6651.2480639999994</v>
      </c>
      <c r="AG35" s="113">
        <f>VLOOKUP($C$34,Servant!$B$5:$AD$29,18,FALSE)+($F35+($F35*0.5*($D35-1)))*(AG$3-1)</f>
        <v>6915.1333999999997</v>
      </c>
      <c r="AH35" s="113">
        <f>VLOOKUP($C$34,Servant!$B$5:$AD$29,18,FALSE)+($F35+($F35*0.5*($D35-1)))*(AH$3-1)</f>
        <v>7179.018736</v>
      </c>
      <c r="AI35" s="113">
        <f>VLOOKUP($C$34,Servant!$B$5:$AD$29,18,FALSE)+($F35+($F35*0.5*($D35-1)))*(AI$3-1)</f>
        <v>7442.9040720000003</v>
      </c>
      <c r="AJ35" s="113">
        <f>VLOOKUP($C$34,Servant!$B$5:$AD$29,18,FALSE)+($F35+($F35*0.5*($D35-1)))*(AJ$3-1)</f>
        <v>7706.7894079999996</v>
      </c>
      <c r="AK35" s="113">
        <f>VLOOKUP($C$34,Servant!$B$5:$AD$29,18,FALSE)+($F35+($F35*0.5*($D35-1)))*(AK$3-1)</f>
        <v>7970.6747439999999</v>
      </c>
    </row>
    <row r="36" spans="2:37" x14ac:dyDescent="0.3">
      <c r="B36" s="309"/>
      <c r="C36" s="318"/>
      <c r="D36" s="127">
        <v>4</v>
      </c>
      <c r="E36" s="120">
        <f>VLOOKUP($C$34,ServantLevelUPdStatus!$B$5:$AD$29,6,FALSE)+(VLOOKUP($C$34,ServantLevelUPdStatus!$B$5:$AD$29,6,FALSE)*0.5*(Simulator_AttkPow!$D36-1))</f>
        <v>329.85667000000001</v>
      </c>
      <c r="F36" s="119">
        <f>F35</f>
        <v>131.942668</v>
      </c>
      <c r="H36" s="113">
        <f>VLOOKUP($C$34,Servant!$B$5:$AD$29,18,FALSE)+($F36+($F36*0.5*($D36-1)))*(H$3-1)</f>
        <v>318</v>
      </c>
      <c r="I36" s="113">
        <f>VLOOKUP($C$34,Servant!$B$5:$AD$29,18,FALSE)+($F36+($F36*0.5*($D36-1)))*(I$3-1)</f>
        <v>647.85667000000001</v>
      </c>
      <c r="J36" s="113">
        <f>VLOOKUP($C$34,Servant!$B$5:$AD$29,18,FALSE)+($F36+($F36*0.5*($D36-1)))*(J$3-1)</f>
        <v>977.71334000000002</v>
      </c>
      <c r="K36" s="113">
        <f>VLOOKUP($C$34,Servant!$B$5:$AD$29,18,FALSE)+($F36+($F36*0.5*($D36-1)))*(K$3-1)</f>
        <v>1307.5700099999999</v>
      </c>
      <c r="L36" s="113">
        <f>VLOOKUP($C$34,Servant!$B$5:$AD$29,18,FALSE)+($F36+($F36*0.5*($D36-1)))*(L$3-1)</f>
        <v>1637.42668</v>
      </c>
      <c r="M36" s="113">
        <f>VLOOKUP($C$34,Servant!$B$5:$AD$29,18,FALSE)+($F36+($F36*0.5*($D36-1)))*(M$3-1)</f>
        <v>1967.2833500000002</v>
      </c>
      <c r="N36" s="113">
        <f>VLOOKUP($C$34,Servant!$B$5:$AD$29,18,FALSE)+($F36+($F36*0.5*($D36-1)))*(N$3-1)</f>
        <v>2297.1400199999998</v>
      </c>
      <c r="O36" s="113">
        <f>VLOOKUP($C$34,Servant!$B$5:$AD$29,18,FALSE)+($F36+($F36*0.5*($D36-1)))*(O$3-1)</f>
        <v>2626.9966899999999</v>
      </c>
      <c r="P36" s="113">
        <f>VLOOKUP($C$34,Servant!$B$5:$AD$29,18,FALSE)+($F36+($F36*0.5*($D36-1)))*(P$3-1)</f>
        <v>2956.8533600000001</v>
      </c>
      <c r="Q36" s="113">
        <f>VLOOKUP($C$34,Servant!$B$5:$AD$29,18,FALSE)+($F36+($F36*0.5*($D36-1)))*(Q$3-1)</f>
        <v>3286.7100300000002</v>
      </c>
      <c r="R36" s="113">
        <f>VLOOKUP($C$34,Servant!$B$5:$AD$29,18,FALSE)+($F36+($F36*0.5*($D36-1)))*(R$3-1)</f>
        <v>3616.5667000000003</v>
      </c>
      <c r="S36" s="113">
        <f>VLOOKUP($C$34,Servant!$B$5:$AD$29,18,FALSE)+($F36+($F36*0.5*($D36-1)))*(S$3-1)</f>
        <v>3946.42337</v>
      </c>
      <c r="T36" s="113">
        <f>VLOOKUP($C$34,Servant!$B$5:$AD$29,18,FALSE)+($F36+($F36*0.5*($D36-1)))*(T$3-1)</f>
        <v>4276.2800399999996</v>
      </c>
      <c r="U36" s="113">
        <f>VLOOKUP($C$34,Servant!$B$5:$AD$29,18,FALSE)+($F36+($F36*0.5*($D36-1)))*(U$3-1)</f>
        <v>4606.1367099999998</v>
      </c>
      <c r="V36" s="113">
        <f>VLOOKUP($C$34,Servant!$B$5:$AD$29,18,FALSE)+($F36+($F36*0.5*($D36-1)))*(V$3-1)</f>
        <v>4935.9933799999999</v>
      </c>
      <c r="W36" s="113">
        <f>VLOOKUP($C$34,Servant!$B$5:$AD$29,18,FALSE)+($F36+($F36*0.5*($D36-1)))*(W$3-1)</f>
        <v>5265.85005</v>
      </c>
      <c r="X36" s="113">
        <f>VLOOKUP($C$34,Servant!$B$5:$AD$29,18,FALSE)+($F36+($F36*0.5*($D36-1)))*(X$3-1)</f>
        <v>5595.7067200000001</v>
      </c>
      <c r="Y36" s="113">
        <f>VLOOKUP($C$34,Servant!$B$5:$AD$29,18,FALSE)+($F36+($F36*0.5*($D36-1)))*(Y$3-1)</f>
        <v>5925.5633900000003</v>
      </c>
      <c r="Z36" s="113">
        <f>VLOOKUP($C$34,Servant!$B$5:$AD$29,18,FALSE)+($F36+($F36*0.5*($D36-1)))*(Z$3-1)</f>
        <v>6255.4200600000004</v>
      </c>
      <c r="AA36" s="113">
        <f>VLOOKUP($C$34,Servant!$B$5:$AD$29,18,FALSE)+($F36+($F36*0.5*($D36-1)))*(AA$3-1)</f>
        <v>6585.2767300000005</v>
      </c>
      <c r="AB36" s="113">
        <f>VLOOKUP($C$34,Servant!$B$5:$AD$29,18,FALSE)+($F36+($F36*0.5*($D36-1)))*(AB$3-1)</f>
        <v>6915.1334000000006</v>
      </c>
      <c r="AC36" s="113">
        <f>VLOOKUP($C$34,Servant!$B$5:$AD$29,18,FALSE)+($F36+($F36*0.5*($D36-1)))*(AC$3-1)</f>
        <v>7244.9900699999998</v>
      </c>
      <c r="AD36" s="113">
        <f>VLOOKUP($C$34,Servant!$B$5:$AD$29,18,FALSE)+($F36+($F36*0.5*($D36-1)))*(AD$3-1)</f>
        <v>7574.84674</v>
      </c>
      <c r="AE36" s="113">
        <f>VLOOKUP($C$34,Servant!$B$5:$AD$29,18,FALSE)+($F36+($F36*0.5*($D36-1)))*(AE$3-1)</f>
        <v>7904.7034100000001</v>
      </c>
      <c r="AF36" s="113">
        <f>VLOOKUP($C$34,Servant!$B$5:$AD$29,18,FALSE)+($F36+($F36*0.5*($D36-1)))*(AF$3-1)</f>
        <v>8234.5600799999993</v>
      </c>
      <c r="AG36" s="113">
        <f>VLOOKUP($C$34,Servant!$B$5:$AD$29,18,FALSE)+($F36+($F36*0.5*($D36-1)))*(AG$3-1)</f>
        <v>8564.4167500000003</v>
      </c>
      <c r="AH36" s="113">
        <f>VLOOKUP($C$34,Servant!$B$5:$AD$29,18,FALSE)+($F36+($F36*0.5*($D36-1)))*(AH$3-1)</f>
        <v>8894.2734199999995</v>
      </c>
      <c r="AI36" s="113">
        <f>VLOOKUP($C$34,Servant!$B$5:$AD$29,18,FALSE)+($F36+($F36*0.5*($D36-1)))*(AI$3-1)</f>
        <v>9224.1300900000006</v>
      </c>
      <c r="AJ36" s="113">
        <f>VLOOKUP($C$34,Servant!$B$5:$AD$29,18,FALSE)+($F36+($F36*0.5*($D36-1)))*(AJ$3-1)</f>
        <v>9553.9867599999998</v>
      </c>
      <c r="AK36" s="113">
        <f>VLOOKUP($C$34,Servant!$B$5:$AD$29,18,FALSE)+($F36+($F36*0.5*($D36-1)))*(AK$3-1)</f>
        <v>9883.8434300000008</v>
      </c>
    </row>
    <row r="37" spans="2:37" x14ac:dyDescent="0.3">
      <c r="B37" s="309"/>
      <c r="C37" s="319" t="s">
        <v>286</v>
      </c>
      <c r="D37" s="140">
        <v>2</v>
      </c>
      <c r="E37" s="141">
        <f>VLOOKUP($C$37,ServantLevelUPdStatus!$B$5:$AD$29,6,FALSE)+(VLOOKUP($C$37,ServantLevelUPdStatus!$B$5:$AD$29,6,FALSE)*0.5*(Simulator_AttkPow!$D37-1))</f>
        <v>190.62035849999998</v>
      </c>
      <c r="F37" s="141">
        <f>VLOOKUP($C$37,ServantLevelUPdStatus!$B$5:$AD$29,6,FALSE)</f>
        <v>127.08023899999999</v>
      </c>
      <c r="H37" s="142">
        <f>VLOOKUP($C$37,Servant!$B$5:$AD$29,18,FALSE)+($F37+($F37*0.5*($D37-1)))*(H$3-1)</f>
        <v>288</v>
      </c>
      <c r="I37" s="142">
        <f>VLOOKUP($C$37,Servant!$B$5:$AD$29,18,FALSE)+($F37+($F37*0.5*($D37-1)))*(I$3-1)</f>
        <v>478.62035849999995</v>
      </c>
      <c r="J37" s="142">
        <f>VLOOKUP($C$37,Servant!$B$5:$AD$29,18,FALSE)+($F37+($F37*0.5*($D37-1)))*(J$3-1)</f>
        <v>669.2407169999999</v>
      </c>
      <c r="K37" s="142">
        <f>VLOOKUP($C$37,Servant!$B$5:$AD$29,18,FALSE)+($F37+($F37*0.5*($D37-1)))*(K$3-1)</f>
        <v>859.86107549999997</v>
      </c>
      <c r="L37" s="142">
        <f>VLOOKUP($C$37,Servant!$B$5:$AD$29,18,FALSE)+($F37+($F37*0.5*($D37-1)))*(L$3-1)</f>
        <v>1050.4814339999998</v>
      </c>
      <c r="M37" s="142">
        <f>VLOOKUP($C$37,Servant!$B$5:$AD$29,18,FALSE)+($F37+($F37*0.5*($D37-1)))*(M$3-1)</f>
        <v>1241.1017924999999</v>
      </c>
      <c r="N37" s="142">
        <f>VLOOKUP($C$37,Servant!$B$5:$AD$29,18,FALSE)+($F37+($F37*0.5*($D37-1)))*(N$3-1)</f>
        <v>1431.7221509999999</v>
      </c>
      <c r="O37" s="142">
        <f>VLOOKUP($C$37,Servant!$B$5:$AD$29,18,FALSE)+($F37+($F37*0.5*($D37-1)))*(O$3-1)</f>
        <v>1622.3425094999998</v>
      </c>
      <c r="P37" s="142">
        <f>VLOOKUP($C$37,Servant!$B$5:$AD$29,18,FALSE)+($F37+($F37*0.5*($D37-1)))*(P$3-1)</f>
        <v>1812.9628679999998</v>
      </c>
      <c r="Q37" s="142">
        <f>VLOOKUP($C$37,Servant!$B$5:$AD$29,18,FALSE)+($F37+($F37*0.5*($D37-1)))*(Q$3-1)</f>
        <v>2003.5832264999999</v>
      </c>
      <c r="R37" s="142">
        <f>VLOOKUP($C$37,Servant!$B$5:$AD$29,18,FALSE)+($F37+($F37*0.5*($D37-1)))*(R$3-1)</f>
        <v>2194.2035849999997</v>
      </c>
      <c r="S37" s="142">
        <f>VLOOKUP($C$37,Servant!$B$5:$AD$29,18,FALSE)+($F37+($F37*0.5*($D37-1)))*(S$3-1)</f>
        <v>2384.8239434999996</v>
      </c>
      <c r="T37" s="142">
        <f>VLOOKUP($C$37,Servant!$B$5:$AD$29,18,FALSE)+($F37+($F37*0.5*($D37-1)))*(T$3-1)</f>
        <v>2575.4443019999999</v>
      </c>
      <c r="U37" s="142">
        <f>VLOOKUP($C$37,Servant!$B$5:$AD$29,18,FALSE)+($F37+($F37*0.5*($D37-1)))*(U$3-1)</f>
        <v>2766.0646604999997</v>
      </c>
      <c r="V37" s="142">
        <f>VLOOKUP($C$37,Servant!$B$5:$AD$29,18,FALSE)+($F37+($F37*0.5*($D37-1)))*(V$3-1)</f>
        <v>2956.6850189999996</v>
      </c>
      <c r="W37" s="142">
        <f>VLOOKUP($C$37,Servant!$B$5:$AD$29,18,FALSE)+($F37+($F37*0.5*($D37-1)))*(W$3-1)</f>
        <v>3147.3053774999998</v>
      </c>
      <c r="X37" s="142">
        <f>VLOOKUP($C$37,Servant!$B$5:$AD$29,18,FALSE)+($F37+($F37*0.5*($D37-1)))*(X$3-1)</f>
        <v>3337.9257359999997</v>
      </c>
      <c r="Y37" s="142">
        <f>VLOOKUP($C$37,Servant!$B$5:$AD$29,18,FALSE)+($F37+($F37*0.5*($D37-1)))*(Y$3-1)</f>
        <v>3528.5460944999995</v>
      </c>
      <c r="Z37" s="142">
        <f>VLOOKUP($C$37,Servant!$B$5:$AD$29,18,FALSE)+($F37+($F37*0.5*($D37-1)))*(Z$3-1)</f>
        <v>3719.1664529999998</v>
      </c>
      <c r="AA37" s="142">
        <f>VLOOKUP($C$37,Servant!$B$5:$AD$29,18,FALSE)+($F37+($F37*0.5*($D37-1)))*(AA$3-1)</f>
        <v>3909.7868114999997</v>
      </c>
      <c r="AB37" s="142">
        <f>VLOOKUP($C$37,Servant!$B$5:$AD$29,18,FALSE)+($F37+($F37*0.5*($D37-1)))*(AB$3-1)</f>
        <v>4100.4071699999995</v>
      </c>
      <c r="AC37" s="142">
        <f>VLOOKUP($C$37,Servant!$B$5:$AD$29,18,FALSE)+($F37+($F37*0.5*($D37-1)))*(AC$3-1)</f>
        <v>4291.0275284999998</v>
      </c>
      <c r="AD37" s="142">
        <f>VLOOKUP($C$37,Servant!$B$5:$AD$29,18,FALSE)+($F37+($F37*0.5*($D37-1)))*(AD$3-1)</f>
        <v>4481.6478869999992</v>
      </c>
      <c r="AE37" s="142">
        <f>VLOOKUP($C$37,Servant!$B$5:$AD$29,18,FALSE)+($F37+($F37*0.5*($D37-1)))*(AE$3-1)</f>
        <v>4672.2682454999995</v>
      </c>
      <c r="AF37" s="142">
        <f>VLOOKUP($C$37,Servant!$B$5:$AD$29,18,FALSE)+($F37+($F37*0.5*($D37-1)))*(AF$3-1)</f>
        <v>4862.8886039999998</v>
      </c>
      <c r="AG37" s="142">
        <f>VLOOKUP($C$37,Servant!$B$5:$AD$29,18,FALSE)+($F37+($F37*0.5*($D37-1)))*(AG$3-1)</f>
        <v>5053.5089624999991</v>
      </c>
      <c r="AH37" s="142">
        <f>VLOOKUP($C$37,Servant!$B$5:$AD$29,18,FALSE)+($F37+($F37*0.5*($D37-1)))*(AH$3-1)</f>
        <v>5244.1293209999994</v>
      </c>
      <c r="AI37" s="142">
        <f>VLOOKUP($C$37,Servant!$B$5:$AD$29,18,FALSE)+($F37+($F37*0.5*($D37-1)))*(AI$3-1)</f>
        <v>5434.7496794999997</v>
      </c>
      <c r="AJ37" s="142">
        <f>VLOOKUP($C$37,Servant!$B$5:$AD$29,18,FALSE)+($F37+($F37*0.5*($D37-1)))*(AJ$3-1)</f>
        <v>5625.3700379999991</v>
      </c>
      <c r="AK37" s="142">
        <f>VLOOKUP($C$37,Servant!$B$5:$AD$29,18,FALSE)+($F37+($F37*0.5*($D37-1)))*(AK$3-1)</f>
        <v>5815.9903964999994</v>
      </c>
    </row>
    <row r="38" spans="2:37" x14ac:dyDescent="0.3">
      <c r="B38" s="309"/>
      <c r="C38" s="319"/>
      <c r="D38" s="140">
        <v>3</v>
      </c>
      <c r="E38" s="141">
        <f>VLOOKUP($C$37,ServantLevelUPdStatus!$B$5:$AD$29,6,FALSE)+(VLOOKUP($C$37,ServantLevelUPdStatus!$B$5:$AD$29,6,FALSE)*0.5*(Simulator_AttkPow!$D38-1))</f>
        <v>254.16047799999998</v>
      </c>
      <c r="F38" s="143">
        <f>F37</f>
        <v>127.08023899999999</v>
      </c>
      <c r="H38" s="142">
        <f>VLOOKUP($C$37,Servant!$B$5:$AD$29,18,FALSE)+($F38+($F38*0.5*($D38-1)))*(H$3-1)</f>
        <v>288</v>
      </c>
      <c r="I38" s="142">
        <f>VLOOKUP($C$37,Servant!$B$5:$AD$29,18,FALSE)+($F38+($F38*0.5*($D38-1)))*(I$3-1)</f>
        <v>542.16047800000001</v>
      </c>
      <c r="J38" s="142">
        <f>VLOOKUP($C$37,Servant!$B$5:$AD$29,18,FALSE)+($F38+($F38*0.5*($D38-1)))*(J$3-1)</f>
        <v>796.32095600000002</v>
      </c>
      <c r="K38" s="142">
        <f>VLOOKUP($C$37,Servant!$B$5:$AD$29,18,FALSE)+($F38+($F38*0.5*($D38-1)))*(K$3-1)</f>
        <v>1050.4814339999998</v>
      </c>
      <c r="L38" s="142">
        <f>VLOOKUP($C$37,Servant!$B$5:$AD$29,18,FALSE)+($F38+($F38*0.5*($D38-1)))*(L$3-1)</f>
        <v>1304.641912</v>
      </c>
      <c r="M38" s="142">
        <f>VLOOKUP($C$37,Servant!$B$5:$AD$29,18,FALSE)+($F38+($F38*0.5*($D38-1)))*(M$3-1)</f>
        <v>1558.8023899999998</v>
      </c>
      <c r="N38" s="142">
        <f>VLOOKUP($C$37,Servant!$B$5:$AD$29,18,FALSE)+($F38+($F38*0.5*($D38-1)))*(N$3-1)</f>
        <v>1812.9628679999998</v>
      </c>
      <c r="O38" s="142">
        <f>VLOOKUP($C$37,Servant!$B$5:$AD$29,18,FALSE)+($F38+($F38*0.5*($D38-1)))*(O$3-1)</f>
        <v>2067.1233459999999</v>
      </c>
      <c r="P38" s="142">
        <f>VLOOKUP($C$37,Servant!$B$5:$AD$29,18,FALSE)+($F38+($F38*0.5*($D38-1)))*(P$3-1)</f>
        <v>2321.2838240000001</v>
      </c>
      <c r="Q38" s="142">
        <f>VLOOKUP($C$37,Servant!$B$5:$AD$29,18,FALSE)+($F38+($F38*0.5*($D38-1)))*(Q$3-1)</f>
        <v>2575.4443019999999</v>
      </c>
      <c r="R38" s="142">
        <f>VLOOKUP($C$37,Servant!$B$5:$AD$29,18,FALSE)+($F38+($F38*0.5*($D38-1)))*(R$3-1)</f>
        <v>2829.6047799999997</v>
      </c>
      <c r="S38" s="142">
        <f>VLOOKUP($C$37,Servant!$B$5:$AD$29,18,FALSE)+($F38+($F38*0.5*($D38-1)))*(S$3-1)</f>
        <v>3083.7652579999999</v>
      </c>
      <c r="T38" s="142">
        <f>VLOOKUP($C$37,Servant!$B$5:$AD$29,18,FALSE)+($F38+($F38*0.5*($D38-1)))*(T$3-1)</f>
        <v>3337.9257359999997</v>
      </c>
      <c r="U38" s="142">
        <f>VLOOKUP($C$37,Servant!$B$5:$AD$29,18,FALSE)+($F38+($F38*0.5*($D38-1)))*(U$3-1)</f>
        <v>3592.0862139999999</v>
      </c>
      <c r="V38" s="142">
        <f>VLOOKUP($C$37,Servant!$B$5:$AD$29,18,FALSE)+($F38+($F38*0.5*($D38-1)))*(V$3-1)</f>
        <v>3846.2466919999997</v>
      </c>
      <c r="W38" s="142">
        <f>VLOOKUP($C$37,Servant!$B$5:$AD$29,18,FALSE)+($F38+($F38*0.5*($D38-1)))*(W$3-1)</f>
        <v>4100.4071700000004</v>
      </c>
      <c r="X38" s="142">
        <f>VLOOKUP($C$37,Servant!$B$5:$AD$29,18,FALSE)+($F38+($F38*0.5*($D38-1)))*(X$3-1)</f>
        <v>4354.5676480000002</v>
      </c>
      <c r="Y38" s="142">
        <f>VLOOKUP($C$37,Servant!$B$5:$AD$29,18,FALSE)+($F38+($F38*0.5*($D38-1)))*(Y$3-1)</f>
        <v>4608.728126</v>
      </c>
      <c r="Z38" s="142">
        <f>VLOOKUP($C$37,Servant!$B$5:$AD$29,18,FALSE)+($F38+($F38*0.5*($D38-1)))*(Z$3-1)</f>
        <v>4862.8886039999998</v>
      </c>
      <c r="AA38" s="142">
        <f>VLOOKUP($C$37,Servant!$B$5:$AD$29,18,FALSE)+($F38+($F38*0.5*($D38-1)))*(AA$3-1)</f>
        <v>5117.0490819999995</v>
      </c>
      <c r="AB38" s="142">
        <f>VLOOKUP($C$37,Servant!$B$5:$AD$29,18,FALSE)+($F38+($F38*0.5*($D38-1)))*(AB$3-1)</f>
        <v>5371.2095599999993</v>
      </c>
      <c r="AC38" s="142">
        <f>VLOOKUP($C$37,Servant!$B$5:$AD$29,18,FALSE)+($F38+($F38*0.5*($D38-1)))*(AC$3-1)</f>
        <v>5625.370038</v>
      </c>
      <c r="AD38" s="142">
        <f>VLOOKUP($C$37,Servant!$B$5:$AD$29,18,FALSE)+($F38+($F38*0.5*($D38-1)))*(AD$3-1)</f>
        <v>5879.5305159999998</v>
      </c>
      <c r="AE38" s="142">
        <f>VLOOKUP($C$37,Servant!$B$5:$AD$29,18,FALSE)+($F38+($F38*0.5*($D38-1)))*(AE$3-1)</f>
        <v>6133.6909939999996</v>
      </c>
      <c r="AF38" s="142">
        <f>VLOOKUP($C$37,Servant!$B$5:$AD$29,18,FALSE)+($F38+($F38*0.5*($D38-1)))*(AF$3-1)</f>
        <v>6387.8514719999994</v>
      </c>
      <c r="AG38" s="142">
        <f>VLOOKUP($C$37,Servant!$B$5:$AD$29,18,FALSE)+($F38+($F38*0.5*($D38-1)))*(AG$3-1)</f>
        <v>6642.0119499999992</v>
      </c>
      <c r="AH38" s="142">
        <f>VLOOKUP($C$37,Servant!$B$5:$AD$29,18,FALSE)+($F38+($F38*0.5*($D38-1)))*(AH$3-1)</f>
        <v>6896.1724279999999</v>
      </c>
      <c r="AI38" s="142">
        <f>VLOOKUP($C$37,Servant!$B$5:$AD$29,18,FALSE)+($F38+($F38*0.5*($D38-1)))*(AI$3-1)</f>
        <v>7150.3329059999996</v>
      </c>
      <c r="AJ38" s="142">
        <f>VLOOKUP($C$37,Servant!$B$5:$AD$29,18,FALSE)+($F38+($F38*0.5*($D38-1)))*(AJ$3-1)</f>
        <v>7404.4933839999994</v>
      </c>
      <c r="AK38" s="142">
        <f>VLOOKUP($C$37,Servant!$B$5:$AD$29,18,FALSE)+($F38+($F38*0.5*($D38-1)))*(AK$3-1)</f>
        <v>7658.6538619999992</v>
      </c>
    </row>
    <row r="39" spans="2:37" x14ac:dyDescent="0.3">
      <c r="B39" s="309"/>
      <c r="C39" s="319"/>
      <c r="D39" s="140">
        <v>4</v>
      </c>
      <c r="E39" s="141">
        <f>VLOOKUP($C$37,ServantLevelUPdStatus!$B$5:$AD$29,6,FALSE)+(VLOOKUP($C$37,ServantLevelUPdStatus!$B$5:$AD$29,6,FALSE)*0.5*(Simulator_AttkPow!$D39-1))</f>
        <v>317.70059749999996</v>
      </c>
      <c r="F39" s="143">
        <f>F38</f>
        <v>127.08023899999999</v>
      </c>
      <c r="H39" s="142">
        <f>VLOOKUP($C$37,Servant!$B$5:$AD$29,18,FALSE)+($F39+($F39*0.5*($D39-1)))*(H$3-1)</f>
        <v>288</v>
      </c>
      <c r="I39" s="142">
        <f>VLOOKUP($C$37,Servant!$B$5:$AD$29,18,FALSE)+($F39+($F39*0.5*($D39-1)))*(I$3-1)</f>
        <v>605.70059749999996</v>
      </c>
      <c r="J39" s="142">
        <f>VLOOKUP($C$37,Servant!$B$5:$AD$29,18,FALSE)+($F39+($F39*0.5*($D39-1)))*(J$3-1)</f>
        <v>923.40119499999992</v>
      </c>
      <c r="K39" s="142">
        <f>VLOOKUP($C$37,Servant!$B$5:$AD$29,18,FALSE)+($F39+($F39*0.5*($D39-1)))*(K$3-1)</f>
        <v>1241.1017924999999</v>
      </c>
      <c r="L39" s="142">
        <f>VLOOKUP($C$37,Servant!$B$5:$AD$29,18,FALSE)+($F39+($F39*0.5*($D39-1)))*(L$3-1)</f>
        <v>1558.8023899999998</v>
      </c>
      <c r="M39" s="142">
        <f>VLOOKUP($C$37,Servant!$B$5:$AD$29,18,FALSE)+($F39+($F39*0.5*($D39-1)))*(M$3-1)</f>
        <v>1876.5029874999998</v>
      </c>
      <c r="N39" s="142">
        <f>VLOOKUP($C$37,Servant!$B$5:$AD$29,18,FALSE)+($F39+($F39*0.5*($D39-1)))*(N$3-1)</f>
        <v>2194.2035849999997</v>
      </c>
      <c r="O39" s="142">
        <f>VLOOKUP($C$37,Servant!$B$5:$AD$29,18,FALSE)+($F39+($F39*0.5*($D39-1)))*(O$3-1)</f>
        <v>2511.9041824999995</v>
      </c>
      <c r="P39" s="142">
        <f>VLOOKUP($C$37,Servant!$B$5:$AD$29,18,FALSE)+($F39+($F39*0.5*($D39-1)))*(P$3-1)</f>
        <v>2829.6047799999997</v>
      </c>
      <c r="Q39" s="142">
        <f>VLOOKUP($C$37,Servant!$B$5:$AD$29,18,FALSE)+($F39+($F39*0.5*($D39-1)))*(Q$3-1)</f>
        <v>3147.3053774999998</v>
      </c>
      <c r="R39" s="142">
        <f>VLOOKUP($C$37,Servant!$B$5:$AD$29,18,FALSE)+($F39+($F39*0.5*($D39-1)))*(R$3-1)</f>
        <v>3465.0059749999996</v>
      </c>
      <c r="S39" s="142">
        <f>VLOOKUP($C$37,Servant!$B$5:$AD$29,18,FALSE)+($F39+($F39*0.5*($D39-1)))*(S$3-1)</f>
        <v>3782.7065724999993</v>
      </c>
      <c r="T39" s="142">
        <f>VLOOKUP($C$37,Servant!$B$5:$AD$29,18,FALSE)+($F39+($F39*0.5*($D39-1)))*(T$3-1)</f>
        <v>4100.4071699999995</v>
      </c>
      <c r="U39" s="142">
        <f>VLOOKUP($C$37,Servant!$B$5:$AD$29,18,FALSE)+($F39+($F39*0.5*($D39-1)))*(U$3-1)</f>
        <v>4418.1077674999997</v>
      </c>
      <c r="V39" s="142">
        <f>VLOOKUP($C$37,Servant!$B$5:$AD$29,18,FALSE)+($F39+($F39*0.5*($D39-1)))*(V$3-1)</f>
        <v>4735.808364999999</v>
      </c>
      <c r="W39" s="142">
        <f>VLOOKUP($C$37,Servant!$B$5:$AD$29,18,FALSE)+($F39+($F39*0.5*($D39-1)))*(W$3-1)</f>
        <v>5053.5089624999991</v>
      </c>
      <c r="X39" s="142">
        <f>VLOOKUP($C$37,Servant!$B$5:$AD$29,18,FALSE)+($F39+($F39*0.5*($D39-1)))*(X$3-1)</f>
        <v>5371.2095599999993</v>
      </c>
      <c r="Y39" s="142">
        <f>VLOOKUP($C$37,Servant!$B$5:$AD$29,18,FALSE)+($F39+($F39*0.5*($D39-1)))*(Y$3-1)</f>
        <v>5688.9101574999995</v>
      </c>
      <c r="Z39" s="142">
        <f>VLOOKUP($C$37,Servant!$B$5:$AD$29,18,FALSE)+($F39+($F39*0.5*($D39-1)))*(Z$3-1)</f>
        <v>6006.6107549999997</v>
      </c>
      <c r="AA39" s="142">
        <f>VLOOKUP($C$37,Servant!$B$5:$AD$29,18,FALSE)+($F39+($F39*0.5*($D39-1)))*(AA$3-1)</f>
        <v>6324.311352499999</v>
      </c>
      <c r="AB39" s="142">
        <f>VLOOKUP($C$37,Servant!$B$5:$AD$29,18,FALSE)+($F39+($F39*0.5*($D39-1)))*(AB$3-1)</f>
        <v>6642.0119499999992</v>
      </c>
      <c r="AC39" s="142">
        <f>VLOOKUP($C$37,Servant!$B$5:$AD$29,18,FALSE)+($F39+($F39*0.5*($D39-1)))*(AC$3-1)</f>
        <v>6959.7125474999993</v>
      </c>
      <c r="AD39" s="142">
        <f>VLOOKUP($C$37,Servant!$B$5:$AD$29,18,FALSE)+($F39+($F39*0.5*($D39-1)))*(AD$3-1)</f>
        <v>7277.4131449999986</v>
      </c>
      <c r="AE39" s="142">
        <f>VLOOKUP($C$37,Servant!$B$5:$AD$29,18,FALSE)+($F39+($F39*0.5*($D39-1)))*(AE$3-1)</f>
        <v>7595.1137424999988</v>
      </c>
      <c r="AF39" s="142">
        <f>VLOOKUP($C$37,Servant!$B$5:$AD$29,18,FALSE)+($F39+($F39*0.5*($D39-1)))*(AF$3-1)</f>
        <v>7912.814339999999</v>
      </c>
      <c r="AG39" s="142">
        <f>VLOOKUP($C$37,Servant!$B$5:$AD$29,18,FALSE)+($F39+($F39*0.5*($D39-1)))*(AG$3-1)</f>
        <v>8230.5149375000001</v>
      </c>
      <c r="AH39" s="142">
        <f>VLOOKUP($C$37,Servant!$B$5:$AD$29,18,FALSE)+($F39+($F39*0.5*($D39-1)))*(AH$3-1)</f>
        <v>8548.2155349999994</v>
      </c>
      <c r="AI39" s="142">
        <f>VLOOKUP($C$37,Servant!$B$5:$AD$29,18,FALSE)+($F39+($F39*0.5*($D39-1)))*(AI$3-1)</f>
        <v>8865.9161324999986</v>
      </c>
      <c r="AJ39" s="142">
        <f>VLOOKUP($C$37,Servant!$B$5:$AD$29,18,FALSE)+($F39+($F39*0.5*($D39-1)))*(AJ$3-1)</f>
        <v>9183.6167299999979</v>
      </c>
      <c r="AK39" s="142">
        <f>VLOOKUP($C$37,Servant!$B$5:$AD$29,18,FALSE)+($F39+($F39*0.5*($D39-1)))*(AK$3-1)</f>
        <v>9501.317327499999</v>
      </c>
    </row>
    <row r="40" spans="2:37" x14ac:dyDescent="0.3">
      <c r="B40" s="309"/>
      <c r="C40" s="300" t="s">
        <v>238</v>
      </c>
      <c r="D40" s="128">
        <v>3</v>
      </c>
      <c r="E40" s="122">
        <f>VLOOKUP($C$40,ServantLevelUPdStatus!$B$5:$AD$29,6,FALSE)+(VLOOKUP($C$40,ServantLevelUPdStatus!$B$5:$AD$29,6,FALSE)*0.5*(Simulator_AttkPow!$D40-1))</f>
        <v>334.22133333333335</v>
      </c>
      <c r="F40" s="122">
        <f>VLOOKUP($C$40,ServantLevelUPdStatus!$B$5:$AD$29,6,FALSE)</f>
        <v>167.11066666666667</v>
      </c>
      <c r="H40" s="114">
        <f>VLOOKUP($C$40,Servant!$B$5:$AD$29,18,FALSE)+($F40+($F40*0.5*($D40-1)))*(H$3-1)</f>
        <v>610</v>
      </c>
      <c r="I40" s="114">
        <f>VLOOKUP($C$40,Servant!$B$5:$AD$29,18,FALSE)+($F40+($F40*0.5*($D40-1)))*(I$3-1)</f>
        <v>944.2213333333334</v>
      </c>
      <c r="J40" s="114">
        <f>VLOOKUP($C$40,Servant!$B$5:$AD$29,18,FALSE)+($F40+($F40*0.5*($D40-1)))*(J$3-1)</f>
        <v>1278.4426666666668</v>
      </c>
      <c r="K40" s="114">
        <f>VLOOKUP($C$40,Servant!$B$5:$AD$29,18,FALSE)+($F40+($F40*0.5*($D40-1)))*(K$3-1)</f>
        <v>1612.664</v>
      </c>
      <c r="L40" s="114">
        <f>VLOOKUP($C$40,Servant!$B$5:$AD$29,18,FALSE)+($F40+($F40*0.5*($D40-1)))*(L$3-1)</f>
        <v>1946.8853333333334</v>
      </c>
      <c r="M40" s="114">
        <f>VLOOKUP($C$40,Servant!$B$5:$AD$29,18,FALSE)+($F40+($F40*0.5*($D40-1)))*(M$3-1)</f>
        <v>2281.1066666666666</v>
      </c>
      <c r="N40" s="114">
        <f>VLOOKUP($C$40,Servant!$B$5:$AD$29,18,FALSE)+($F40+($F40*0.5*($D40-1)))*(N$3-1)</f>
        <v>2615.328</v>
      </c>
      <c r="O40" s="114">
        <f>VLOOKUP($C$40,Servant!$B$5:$AD$29,18,FALSE)+($F40+($F40*0.5*($D40-1)))*(O$3-1)</f>
        <v>2949.5493333333334</v>
      </c>
      <c r="P40" s="114">
        <f>VLOOKUP($C$40,Servant!$B$5:$AD$29,18,FALSE)+($F40+($F40*0.5*($D40-1)))*(P$3-1)</f>
        <v>3283.7706666666668</v>
      </c>
      <c r="Q40" s="114">
        <f>VLOOKUP($C$40,Servant!$B$5:$AD$29,18,FALSE)+($F40+($F40*0.5*($D40-1)))*(Q$3-1)</f>
        <v>3617.9920000000002</v>
      </c>
      <c r="R40" s="114">
        <f>VLOOKUP($C$40,Servant!$B$5:$AD$29,18,FALSE)+($F40+($F40*0.5*($D40-1)))*(R$3-1)</f>
        <v>3952.2133333333336</v>
      </c>
      <c r="S40" s="114">
        <f>VLOOKUP($C$40,Servant!$B$5:$AD$29,18,FALSE)+($F40+($F40*0.5*($D40-1)))*(S$3-1)</f>
        <v>4286.434666666667</v>
      </c>
      <c r="T40" s="114">
        <f>VLOOKUP($C$40,Servant!$B$5:$AD$29,18,FALSE)+($F40+($F40*0.5*($D40-1)))*(T$3-1)</f>
        <v>4620.6559999999999</v>
      </c>
      <c r="U40" s="114">
        <f>VLOOKUP($C$40,Servant!$B$5:$AD$29,18,FALSE)+($F40+($F40*0.5*($D40-1)))*(U$3-1)</f>
        <v>4954.8773333333338</v>
      </c>
      <c r="V40" s="114">
        <f>VLOOKUP($C$40,Servant!$B$5:$AD$29,18,FALSE)+($F40+($F40*0.5*($D40-1)))*(V$3-1)</f>
        <v>5289.0986666666668</v>
      </c>
      <c r="W40" s="114">
        <f>VLOOKUP($C$40,Servant!$B$5:$AD$29,18,FALSE)+($F40+($F40*0.5*($D40-1)))*(W$3-1)</f>
        <v>5623.3200000000006</v>
      </c>
      <c r="X40" s="114">
        <f>VLOOKUP($C$40,Servant!$B$5:$AD$29,18,FALSE)+($F40+($F40*0.5*($D40-1)))*(X$3-1)</f>
        <v>5957.5413333333336</v>
      </c>
      <c r="Y40" s="114">
        <f>VLOOKUP($C$40,Servant!$B$5:$AD$29,18,FALSE)+($F40+($F40*0.5*($D40-1)))*(Y$3-1)</f>
        <v>6291.7626666666665</v>
      </c>
      <c r="Z40" s="114">
        <f>VLOOKUP($C$40,Servant!$B$5:$AD$29,18,FALSE)+($F40+($F40*0.5*($D40-1)))*(Z$3-1)</f>
        <v>6625.9840000000004</v>
      </c>
      <c r="AA40" s="114">
        <f>VLOOKUP($C$40,Servant!$B$5:$AD$29,18,FALSE)+($F40+($F40*0.5*($D40-1)))*(AA$3-1)</f>
        <v>6960.2053333333333</v>
      </c>
      <c r="AB40" s="114">
        <f>VLOOKUP($C$40,Servant!$B$5:$AD$29,18,FALSE)+($F40+($F40*0.5*($D40-1)))*(AB$3-1)</f>
        <v>7294.4266666666672</v>
      </c>
      <c r="AC40" s="114">
        <f>VLOOKUP($C$40,Servant!$B$5:$AD$29,18,FALSE)+($F40+($F40*0.5*($D40-1)))*(AC$3-1)</f>
        <v>7628.6480000000001</v>
      </c>
      <c r="AD40" s="114">
        <f>VLOOKUP($C$40,Servant!$B$5:$AD$29,18,FALSE)+($F40+($F40*0.5*($D40-1)))*(AD$3-1)</f>
        <v>7962.869333333334</v>
      </c>
      <c r="AE40" s="114">
        <f>VLOOKUP($C$40,Servant!$B$5:$AD$29,18,FALSE)+($F40+($F40*0.5*($D40-1)))*(AE$3-1)</f>
        <v>8297.0906666666669</v>
      </c>
      <c r="AF40" s="114">
        <f>VLOOKUP($C$40,Servant!$B$5:$AD$29,18,FALSE)+($F40+($F40*0.5*($D40-1)))*(AF$3-1)</f>
        <v>8631.3119999999999</v>
      </c>
      <c r="AG40" s="114">
        <f>VLOOKUP($C$40,Servant!$B$5:$AD$29,18,FALSE)+($F40+($F40*0.5*($D40-1)))*(AG$3-1)</f>
        <v>8965.5333333333328</v>
      </c>
      <c r="AH40" s="114">
        <f>VLOOKUP($C$40,Servant!$B$5:$AD$29,18,FALSE)+($F40+($F40*0.5*($D40-1)))*(AH$3-1)</f>
        <v>9299.7546666666676</v>
      </c>
      <c r="AI40" s="114">
        <f>VLOOKUP($C$40,Servant!$B$5:$AD$29,18,FALSE)+($F40+($F40*0.5*($D40-1)))*(AI$3-1)</f>
        <v>9633.9760000000006</v>
      </c>
      <c r="AJ40" s="114">
        <f>VLOOKUP($C$40,Servant!$B$5:$AD$29,18,FALSE)+($F40+($F40*0.5*($D40-1)))*(AJ$3-1)</f>
        <v>9968.1973333333335</v>
      </c>
      <c r="AK40" s="114">
        <f>VLOOKUP($C$40,Servant!$B$5:$AD$29,18,FALSE)+($F40+($F40*0.5*($D40-1)))*(AK$3-1)</f>
        <v>10302.418666666666</v>
      </c>
    </row>
    <row r="41" spans="2:37" x14ac:dyDescent="0.3">
      <c r="B41" s="309"/>
      <c r="C41" s="300"/>
      <c r="D41" s="128">
        <v>4</v>
      </c>
      <c r="E41" s="122">
        <f>VLOOKUP($C$40,ServantLevelUPdStatus!$B$5:$AD$29,6,FALSE)+(VLOOKUP($C$40,ServantLevelUPdStatus!$B$5:$AD$29,6,FALSE)*0.5*(Simulator_AttkPow!$D41-1))</f>
        <v>417.77666666666664</v>
      </c>
      <c r="F41" s="121">
        <f>F40</f>
        <v>167.11066666666667</v>
      </c>
      <c r="H41" s="114">
        <f>VLOOKUP($C$40,Servant!$B$5:$AD$29,18,FALSE)+($F41+($F41*0.5*($D41-1)))*(H$3-1)</f>
        <v>610</v>
      </c>
      <c r="I41" s="114">
        <f>VLOOKUP($C$40,Servant!$B$5:$AD$29,18,FALSE)+($F41+($F41*0.5*($D41-1)))*(I$3-1)</f>
        <v>1027.7766666666666</v>
      </c>
      <c r="J41" s="114">
        <f>VLOOKUP($C$40,Servant!$B$5:$AD$29,18,FALSE)+($F41+($F41*0.5*($D41-1)))*(J$3-1)</f>
        <v>1445.5533333333333</v>
      </c>
      <c r="K41" s="114">
        <f>VLOOKUP($C$40,Servant!$B$5:$AD$29,18,FALSE)+($F41+($F41*0.5*($D41-1)))*(K$3-1)</f>
        <v>1863.33</v>
      </c>
      <c r="L41" s="114">
        <f>VLOOKUP($C$40,Servant!$B$5:$AD$29,18,FALSE)+($F41+($F41*0.5*($D41-1)))*(L$3-1)</f>
        <v>2281.1066666666666</v>
      </c>
      <c r="M41" s="114">
        <f>VLOOKUP($C$40,Servant!$B$5:$AD$29,18,FALSE)+($F41+($F41*0.5*($D41-1)))*(M$3-1)</f>
        <v>2698.8833333333332</v>
      </c>
      <c r="N41" s="114">
        <f>VLOOKUP($C$40,Servant!$B$5:$AD$29,18,FALSE)+($F41+($F41*0.5*($D41-1)))*(N$3-1)</f>
        <v>3116.66</v>
      </c>
      <c r="O41" s="114">
        <f>VLOOKUP($C$40,Servant!$B$5:$AD$29,18,FALSE)+($F41+($F41*0.5*($D41-1)))*(O$3-1)</f>
        <v>3534.4366666666665</v>
      </c>
      <c r="P41" s="114">
        <f>VLOOKUP($C$40,Servant!$B$5:$AD$29,18,FALSE)+($F41+($F41*0.5*($D41-1)))*(P$3-1)</f>
        <v>3952.2133333333331</v>
      </c>
      <c r="Q41" s="114">
        <f>VLOOKUP($C$40,Servant!$B$5:$AD$29,18,FALSE)+($F41+($F41*0.5*($D41-1)))*(Q$3-1)</f>
        <v>4369.99</v>
      </c>
      <c r="R41" s="114">
        <f>VLOOKUP($C$40,Servant!$B$5:$AD$29,18,FALSE)+($F41+($F41*0.5*($D41-1)))*(R$3-1)</f>
        <v>4787.7666666666664</v>
      </c>
      <c r="S41" s="114">
        <f>VLOOKUP($C$40,Servant!$B$5:$AD$29,18,FALSE)+($F41+($F41*0.5*($D41-1)))*(S$3-1)</f>
        <v>5205.5433333333331</v>
      </c>
      <c r="T41" s="114">
        <f>VLOOKUP($C$40,Servant!$B$5:$AD$29,18,FALSE)+($F41+($F41*0.5*($D41-1)))*(T$3-1)</f>
        <v>5623.32</v>
      </c>
      <c r="U41" s="114">
        <f>VLOOKUP($C$40,Servant!$B$5:$AD$29,18,FALSE)+($F41+($F41*0.5*($D41-1)))*(U$3-1)</f>
        <v>6041.0966666666664</v>
      </c>
      <c r="V41" s="114">
        <f>VLOOKUP($C$40,Servant!$B$5:$AD$29,18,FALSE)+($F41+($F41*0.5*($D41-1)))*(V$3-1)</f>
        <v>6458.873333333333</v>
      </c>
      <c r="W41" s="114">
        <f>VLOOKUP($C$40,Servant!$B$5:$AD$29,18,FALSE)+($F41+($F41*0.5*($D41-1)))*(W$3-1)</f>
        <v>6876.65</v>
      </c>
      <c r="X41" s="114">
        <f>VLOOKUP($C$40,Servant!$B$5:$AD$29,18,FALSE)+($F41+($F41*0.5*($D41-1)))*(X$3-1)</f>
        <v>7294.4266666666663</v>
      </c>
      <c r="Y41" s="114">
        <f>VLOOKUP($C$40,Servant!$B$5:$AD$29,18,FALSE)+($F41+($F41*0.5*($D41-1)))*(Y$3-1)</f>
        <v>7712.2033333333329</v>
      </c>
      <c r="Z41" s="114">
        <f>VLOOKUP($C$40,Servant!$B$5:$AD$29,18,FALSE)+($F41+($F41*0.5*($D41-1)))*(Z$3-1)</f>
        <v>8129.98</v>
      </c>
      <c r="AA41" s="114">
        <f>VLOOKUP($C$40,Servant!$B$5:$AD$29,18,FALSE)+($F41+($F41*0.5*($D41-1)))*(AA$3-1)</f>
        <v>8547.7566666666662</v>
      </c>
      <c r="AB41" s="114">
        <f>VLOOKUP($C$40,Servant!$B$5:$AD$29,18,FALSE)+($F41+($F41*0.5*($D41-1)))*(AB$3-1)</f>
        <v>8965.5333333333328</v>
      </c>
      <c r="AC41" s="114">
        <f>VLOOKUP($C$40,Servant!$B$5:$AD$29,18,FALSE)+($F41+($F41*0.5*($D41-1)))*(AC$3-1)</f>
        <v>9383.31</v>
      </c>
      <c r="AD41" s="114">
        <f>VLOOKUP($C$40,Servant!$B$5:$AD$29,18,FALSE)+($F41+($F41*0.5*($D41-1)))*(AD$3-1)</f>
        <v>9801.0866666666661</v>
      </c>
      <c r="AE41" s="114">
        <f>VLOOKUP($C$40,Servant!$B$5:$AD$29,18,FALSE)+($F41+($F41*0.5*($D41-1)))*(AE$3-1)</f>
        <v>10218.863333333333</v>
      </c>
      <c r="AF41" s="114">
        <f>VLOOKUP($C$40,Servant!$B$5:$AD$29,18,FALSE)+($F41+($F41*0.5*($D41-1)))*(AF$3-1)</f>
        <v>10636.64</v>
      </c>
      <c r="AG41" s="114">
        <f>VLOOKUP($C$40,Servant!$B$5:$AD$29,18,FALSE)+($F41+($F41*0.5*($D41-1)))*(AG$3-1)</f>
        <v>11054.416666666666</v>
      </c>
      <c r="AH41" s="114">
        <f>VLOOKUP($C$40,Servant!$B$5:$AD$29,18,FALSE)+($F41+($F41*0.5*($D41-1)))*(AH$3-1)</f>
        <v>11472.193333333333</v>
      </c>
      <c r="AI41" s="114">
        <f>VLOOKUP($C$40,Servant!$B$5:$AD$29,18,FALSE)+($F41+($F41*0.5*($D41-1)))*(AI$3-1)</f>
        <v>11889.97</v>
      </c>
      <c r="AJ41" s="114">
        <f>VLOOKUP($C$40,Servant!$B$5:$AD$29,18,FALSE)+($F41+($F41*0.5*($D41-1)))*(AJ$3-1)</f>
        <v>12307.746666666666</v>
      </c>
      <c r="AK41" s="114">
        <f>VLOOKUP($C$40,Servant!$B$5:$AD$29,18,FALSE)+($F41+($F41*0.5*($D41-1)))*(AK$3-1)</f>
        <v>12725.523333333333</v>
      </c>
    </row>
    <row r="42" spans="2:37" x14ac:dyDescent="0.3">
      <c r="B42" s="309"/>
      <c r="C42" s="300"/>
      <c r="D42" s="128">
        <v>5</v>
      </c>
      <c r="E42" s="122">
        <f>VLOOKUP($C$40,ServantLevelUPdStatus!$B$5:$AD$29,6,FALSE)+(VLOOKUP($C$40,ServantLevelUPdStatus!$B$5:$AD$29,6,FALSE)*0.5*(Simulator_AttkPow!$D42-1))</f>
        <v>501.33199999999999</v>
      </c>
      <c r="F42" s="121">
        <f>F41</f>
        <v>167.11066666666667</v>
      </c>
      <c r="H42" s="114">
        <f>VLOOKUP($C$40,Servant!$B$5:$AD$29,18,FALSE)+($F42+($F42*0.5*($D42-1)))*(H$3-1)</f>
        <v>610</v>
      </c>
      <c r="I42" s="114">
        <f>VLOOKUP($C$40,Servant!$B$5:$AD$29,18,FALSE)+($F42+($F42*0.5*($D42-1)))*(I$3-1)</f>
        <v>1111.3319999999999</v>
      </c>
      <c r="J42" s="114">
        <f>VLOOKUP($C$40,Servant!$B$5:$AD$29,18,FALSE)+($F42+($F42*0.5*($D42-1)))*(J$3-1)</f>
        <v>1612.664</v>
      </c>
      <c r="K42" s="114">
        <f>VLOOKUP($C$40,Servant!$B$5:$AD$29,18,FALSE)+($F42+($F42*0.5*($D42-1)))*(K$3-1)</f>
        <v>2113.9960000000001</v>
      </c>
      <c r="L42" s="114">
        <f>VLOOKUP($C$40,Servant!$B$5:$AD$29,18,FALSE)+($F42+($F42*0.5*($D42-1)))*(L$3-1)</f>
        <v>2615.328</v>
      </c>
      <c r="M42" s="114">
        <f>VLOOKUP($C$40,Servant!$B$5:$AD$29,18,FALSE)+($F42+($F42*0.5*($D42-1)))*(M$3-1)</f>
        <v>3116.66</v>
      </c>
      <c r="N42" s="114">
        <f>VLOOKUP($C$40,Servant!$B$5:$AD$29,18,FALSE)+($F42+($F42*0.5*($D42-1)))*(N$3-1)</f>
        <v>3617.9920000000002</v>
      </c>
      <c r="O42" s="114">
        <f>VLOOKUP($C$40,Servant!$B$5:$AD$29,18,FALSE)+($F42+($F42*0.5*($D42-1)))*(O$3-1)</f>
        <v>4119.3240000000005</v>
      </c>
      <c r="P42" s="114">
        <f>VLOOKUP($C$40,Servant!$B$5:$AD$29,18,FALSE)+($F42+($F42*0.5*($D42-1)))*(P$3-1)</f>
        <v>4620.6559999999999</v>
      </c>
      <c r="Q42" s="114">
        <f>VLOOKUP($C$40,Servant!$B$5:$AD$29,18,FALSE)+($F42+($F42*0.5*($D42-1)))*(Q$3-1)</f>
        <v>5121.9880000000003</v>
      </c>
      <c r="R42" s="114">
        <f>VLOOKUP($C$40,Servant!$B$5:$AD$29,18,FALSE)+($F42+($F42*0.5*($D42-1)))*(R$3-1)</f>
        <v>5623.32</v>
      </c>
      <c r="S42" s="114">
        <f>VLOOKUP($C$40,Servant!$B$5:$AD$29,18,FALSE)+($F42+($F42*0.5*($D42-1)))*(S$3-1)</f>
        <v>6124.652</v>
      </c>
      <c r="T42" s="114">
        <f>VLOOKUP($C$40,Servant!$B$5:$AD$29,18,FALSE)+($F42+($F42*0.5*($D42-1)))*(T$3-1)</f>
        <v>6625.9840000000004</v>
      </c>
      <c r="U42" s="114">
        <f>VLOOKUP($C$40,Servant!$B$5:$AD$29,18,FALSE)+($F42+($F42*0.5*($D42-1)))*(U$3-1)</f>
        <v>7127.3159999999998</v>
      </c>
      <c r="V42" s="114">
        <f>VLOOKUP($C$40,Servant!$B$5:$AD$29,18,FALSE)+($F42+($F42*0.5*($D42-1)))*(V$3-1)</f>
        <v>7628.6480000000001</v>
      </c>
      <c r="W42" s="114">
        <f>VLOOKUP($C$40,Servant!$B$5:$AD$29,18,FALSE)+($F42+($F42*0.5*($D42-1)))*(W$3-1)</f>
        <v>8129.98</v>
      </c>
      <c r="X42" s="114">
        <f>VLOOKUP($C$40,Servant!$B$5:$AD$29,18,FALSE)+($F42+($F42*0.5*($D42-1)))*(X$3-1)</f>
        <v>8631.3119999999999</v>
      </c>
      <c r="Y42" s="114">
        <f>VLOOKUP($C$40,Servant!$B$5:$AD$29,18,FALSE)+($F42+($F42*0.5*($D42-1)))*(Y$3-1)</f>
        <v>9132.6440000000002</v>
      </c>
      <c r="Z42" s="114">
        <f>VLOOKUP($C$40,Servant!$B$5:$AD$29,18,FALSE)+($F42+($F42*0.5*($D42-1)))*(Z$3-1)</f>
        <v>9633.9760000000006</v>
      </c>
      <c r="AA42" s="114">
        <f>VLOOKUP($C$40,Servant!$B$5:$AD$29,18,FALSE)+($F42+($F42*0.5*($D42-1)))*(AA$3-1)</f>
        <v>10135.307999999999</v>
      </c>
      <c r="AB42" s="114">
        <f>VLOOKUP($C$40,Servant!$B$5:$AD$29,18,FALSE)+($F42+($F42*0.5*($D42-1)))*(AB$3-1)</f>
        <v>10636.64</v>
      </c>
      <c r="AC42" s="114">
        <f>VLOOKUP($C$40,Servant!$B$5:$AD$29,18,FALSE)+($F42+($F42*0.5*($D42-1)))*(AC$3-1)</f>
        <v>11137.972</v>
      </c>
      <c r="AD42" s="114">
        <f>VLOOKUP($C$40,Servant!$B$5:$AD$29,18,FALSE)+($F42+($F42*0.5*($D42-1)))*(AD$3-1)</f>
        <v>11639.304</v>
      </c>
      <c r="AE42" s="114">
        <f>VLOOKUP($C$40,Servant!$B$5:$AD$29,18,FALSE)+($F42+($F42*0.5*($D42-1)))*(AE$3-1)</f>
        <v>12140.636</v>
      </c>
      <c r="AF42" s="114">
        <f>VLOOKUP($C$40,Servant!$B$5:$AD$29,18,FALSE)+($F42+($F42*0.5*($D42-1)))*(AF$3-1)</f>
        <v>12641.968000000001</v>
      </c>
      <c r="AG42" s="114">
        <f>VLOOKUP($C$40,Servant!$B$5:$AD$29,18,FALSE)+($F42+($F42*0.5*($D42-1)))*(AG$3-1)</f>
        <v>13143.3</v>
      </c>
      <c r="AH42" s="114">
        <f>VLOOKUP($C$40,Servant!$B$5:$AD$29,18,FALSE)+($F42+($F42*0.5*($D42-1)))*(AH$3-1)</f>
        <v>13644.632</v>
      </c>
      <c r="AI42" s="114">
        <f>VLOOKUP($C$40,Servant!$B$5:$AD$29,18,FALSE)+($F42+($F42*0.5*($D42-1)))*(AI$3-1)</f>
        <v>14145.964</v>
      </c>
      <c r="AJ42" s="114">
        <f>VLOOKUP($C$40,Servant!$B$5:$AD$29,18,FALSE)+($F42+($F42*0.5*($D42-1)))*(AJ$3-1)</f>
        <v>14647.296</v>
      </c>
      <c r="AK42" s="114">
        <f>VLOOKUP($C$40,Servant!$B$5:$AD$29,18,FALSE)+($F42+($F42*0.5*($D42-1)))*(AK$3-1)</f>
        <v>15148.628000000001</v>
      </c>
    </row>
    <row r="43" spans="2:37" x14ac:dyDescent="0.3">
      <c r="B43" s="309"/>
      <c r="C43" s="317" t="s">
        <v>287</v>
      </c>
      <c r="D43" s="136">
        <v>3</v>
      </c>
      <c r="E43" s="137">
        <f>VLOOKUP($C$43,ServantLevelUPdStatus!$B$5:$AD$29,6,FALSE)+(VLOOKUP($C$43,ServantLevelUPdStatus!$B$5:$AD$29,6,FALSE)*0.5*(Simulator_AttkPow!$D43-1))</f>
        <v>314.16805333333338</v>
      </c>
      <c r="F43" s="137">
        <f>VLOOKUP($C$43,ServantLevelUPdStatus!$B$5:$AD$29,6,FALSE)</f>
        <v>157.08402666666669</v>
      </c>
      <c r="H43" s="138">
        <f>VLOOKUP($C$43,Servant!$B$5:$AD$29,18,FALSE)+($F43+($F43*0.5*($D43-1)))*(H$3-1)</f>
        <v>573</v>
      </c>
      <c r="I43" s="138">
        <f>VLOOKUP($C$43,Servant!$B$5:$AD$29,18,FALSE)+($F43+($F43*0.5*($D43-1)))*(I$3-1)</f>
        <v>887.16805333333332</v>
      </c>
      <c r="J43" s="138">
        <f>VLOOKUP($C$43,Servant!$B$5:$AD$29,18,FALSE)+($F43+($F43*0.5*($D43-1)))*(J$3-1)</f>
        <v>1201.3361066666666</v>
      </c>
      <c r="K43" s="138">
        <f>VLOOKUP($C$43,Servant!$B$5:$AD$29,18,FALSE)+($F43+($F43*0.5*($D43-1)))*(K$3-1)</f>
        <v>1515.5041600000002</v>
      </c>
      <c r="L43" s="138">
        <f>VLOOKUP($C$43,Servant!$B$5:$AD$29,18,FALSE)+($F43+($F43*0.5*($D43-1)))*(L$3-1)</f>
        <v>1829.6722133333335</v>
      </c>
      <c r="M43" s="138">
        <f>VLOOKUP($C$43,Servant!$B$5:$AD$29,18,FALSE)+($F43+($F43*0.5*($D43-1)))*(M$3-1)</f>
        <v>2143.840266666667</v>
      </c>
      <c r="N43" s="138">
        <f>VLOOKUP($C$43,Servant!$B$5:$AD$29,18,FALSE)+($F43+($F43*0.5*($D43-1)))*(N$3-1)</f>
        <v>2458.0083200000004</v>
      </c>
      <c r="O43" s="138">
        <f>VLOOKUP($C$43,Servant!$B$5:$AD$29,18,FALSE)+($F43+($F43*0.5*($D43-1)))*(O$3-1)</f>
        <v>2772.1763733333337</v>
      </c>
      <c r="P43" s="138">
        <f>VLOOKUP($C$43,Servant!$B$5:$AD$29,18,FALSE)+($F43+($F43*0.5*($D43-1)))*(P$3-1)</f>
        <v>3086.344426666667</v>
      </c>
      <c r="Q43" s="138">
        <f>VLOOKUP($C$43,Servant!$B$5:$AD$29,18,FALSE)+($F43+($F43*0.5*($D43-1)))*(Q$3-1)</f>
        <v>3400.5124800000003</v>
      </c>
      <c r="R43" s="138">
        <f>VLOOKUP($C$43,Servant!$B$5:$AD$29,18,FALSE)+($F43+($F43*0.5*($D43-1)))*(R$3-1)</f>
        <v>3714.6805333333336</v>
      </c>
      <c r="S43" s="138">
        <f>VLOOKUP($C$43,Servant!$B$5:$AD$29,18,FALSE)+($F43+($F43*0.5*($D43-1)))*(S$3-1)</f>
        <v>4028.848586666667</v>
      </c>
      <c r="T43" s="138">
        <f>VLOOKUP($C$43,Servant!$B$5:$AD$29,18,FALSE)+($F43+($F43*0.5*($D43-1)))*(T$3-1)</f>
        <v>4343.0166400000007</v>
      </c>
      <c r="U43" s="138">
        <f>VLOOKUP($C$43,Servant!$B$5:$AD$29,18,FALSE)+($F43+($F43*0.5*($D43-1)))*(U$3-1)</f>
        <v>4657.1846933333345</v>
      </c>
      <c r="V43" s="138">
        <f>VLOOKUP($C$43,Servant!$B$5:$AD$29,18,FALSE)+($F43+($F43*0.5*($D43-1)))*(V$3-1)</f>
        <v>4971.3527466666674</v>
      </c>
      <c r="W43" s="138">
        <f>VLOOKUP($C$43,Servant!$B$5:$AD$29,18,FALSE)+($F43+($F43*0.5*($D43-1)))*(W$3-1)</f>
        <v>5285.5208000000002</v>
      </c>
      <c r="X43" s="138">
        <f>VLOOKUP($C$43,Servant!$B$5:$AD$29,18,FALSE)+($F43+($F43*0.5*($D43-1)))*(X$3-1)</f>
        <v>5599.688853333334</v>
      </c>
      <c r="Y43" s="138">
        <f>VLOOKUP($C$43,Servant!$B$5:$AD$29,18,FALSE)+($F43+($F43*0.5*($D43-1)))*(Y$3-1)</f>
        <v>5913.8569066666678</v>
      </c>
      <c r="Z43" s="138">
        <f>VLOOKUP($C$43,Servant!$B$5:$AD$29,18,FALSE)+($F43+($F43*0.5*($D43-1)))*(Z$3-1)</f>
        <v>6228.0249600000006</v>
      </c>
      <c r="AA43" s="138">
        <f>VLOOKUP($C$43,Servant!$B$5:$AD$29,18,FALSE)+($F43+($F43*0.5*($D43-1)))*(AA$3-1)</f>
        <v>6542.1930133333344</v>
      </c>
      <c r="AB43" s="138">
        <f>VLOOKUP($C$43,Servant!$B$5:$AD$29,18,FALSE)+($F43+($F43*0.5*($D43-1)))*(AB$3-1)</f>
        <v>6856.3610666666673</v>
      </c>
      <c r="AC43" s="138">
        <f>VLOOKUP($C$43,Servant!$B$5:$AD$29,18,FALSE)+($F43+($F43*0.5*($D43-1)))*(AC$3-1)</f>
        <v>7170.5291200000011</v>
      </c>
      <c r="AD43" s="138">
        <f>VLOOKUP($C$43,Servant!$B$5:$AD$29,18,FALSE)+($F43+($F43*0.5*($D43-1)))*(AD$3-1)</f>
        <v>7484.6971733333339</v>
      </c>
      <c r="AE43" s="138">
        <f>VLOOKUP($C$43,Servant!$B$5:$AD$29,18,FALSE)+($F43+($F43*0.5*($D43-1)))*(AE$3-1)</f>
        <v>7798.8652266666677</v>
      </c>
      <c r="AF43" s="138">
        <f>VLOOKUP($C$43,Servant!$B$5:$AD$29,18,FALSE)+($F43+($F43*0.5*($D43-1)))*(AF$3-1)</f>
        <v>8113.0332800000015</v>
      </c>
      <c r="AG43" s="138">
        <f>VLOOKUP($C$43,Servant!$B$5:$AD$29,18,FALSE)+($F43+($F43*0.5*($D43-1)))*(AG$3-1)</f>
        <v>8427.2013333333343</v>
      </c>
      <c r="AH43" s="138">
        <f>VLOOKUP($C$43,Servant!$B$5:$AD$29,18,FALSE)+($F43+($F43*0.5*($D43-1)))*(AH$3-1)</f>
        <v>8741.369386666669</v>
      </c>
      <c r="AI43" s="138">
        <f>VLOOKUP($C$43,Servant!$B$5:$AD$29,18,FALSE)+($F43+($F43*0.5*($D43-1)))*(AI$3-1)</f>
        <v>9055.5374400000019</v>
      </c>
      <c r="AJ43" s="138">
        <f>VLOOKUP($C$43,Servant!$B$5:$AD$29,18,FALSE)+($F43+($F43*0.5*($D43-1)))*(AJ$3-1)</f>
        <v>9369.7054933333347</v>
      </c>
      <c r="AK43" s="138">
        <f>VLOOKUP($C$43,Servant!$B$5:$AD$29,18,FALSE)+($F43+($F43*0.5*($D43-1)))*(AK$3-1)</f>
        <v>9683.8735466666676</v>
      </c>
    </row>
    <row r="44" spans="2:37" x14ac:dyDescent="0.3">
      <c r="B44" s="309"/>
      <c r="C44" s="317"/>
      <c r="D44" s="136">
        <v>4</v>
      </c>
      <c r="E44" s="137">
        <f>VLOOKUP($C$43,ServantLevelUPdStatus!$B$5:$AD$29,6,FALSE)+(VLOOKUP($C$43,ServantLevelUPdStatus!$B$5:$AD$29,6,FALSE)*0.5*(Simulator_AttkPow!$D44-1))</f>
        <v>392.71006666666676</v>
      </c>
      <c r="F44" s="139">
        <f>F43</f>
        <v>157.08402666666669</v>
      </c>
      <c r="H44" s="138">
        <f>VLOOKUP($C$43,Servant!$B$5:$AD$29,18,FALSE)+($F44+($F44*0.5*($D44-1)))*(H$3-1)</f>
        <v>573</v>
      </c>
      <c r="I44" s="138">
        <f>VLOOKUP($C$43,Servant!$B$5:$AD$29,18,FALSE)+($F44+($F44*0.5*($D44-1)))*(I$3-1)</f>
        <v>965.71006666666676</v>
      </c>
      <c r="J44" s="138">
        <f>VLOOKUP($C$43,Servant!$B$5:$AD$29,18,FALSE)+($F44+($F44*0.5*($D44-1)))*(J$3-1)</f>
        <v>1358.4201333333335</v>
      </c>
      <c r="K44" s="138">
        <f>VLOOKUP($C$43,Servant!$B$5:$AD$29,18,FALSE)+($F44+($F44*0.5*($D44-1)))*(K$3-1)</f>
        <v>1751.1302000000003</v>
      </c>
      <c r="L44" s="138">
        <f>VLOOKUP($C$43,Servant!$B$5:$AD$29,18,FALSE)+($F44+($F44*0.5*($D44-1)))*(L$3-1)</f>
        <v>2143.840266666667</v>
      </c>
      <c r="M44" s="138">
        <f>VLOOKUP($C$43,Servant!$B$5:$AD$29,18,FALSE)+($F44+($F44*0.5*($D44-1)))*(M$3-1)</f>
        <v>2536.5503333333336</v>
      </c>
      <c r="N44" s="138">
        <f>VLOOKUP($C$43,Servant!$B$5:$AD$29,18,FALSE)+($F44+($F44*0.5*($D44-1)))*(N$3-1)</f>
        <v>2929.2604000000006</v>
      </c>
      <c r="O44" s="138">
        <f>VLOOKUP($C$43,Servant!$B$5:$AD$29,18,FALSE)+($F44+($F44*0.5*($D44-1)))*(O$3-1)</f>
        <v>3321.9704666666676</v>
      </c>
      <c r="P44" s="138">
        <f>VLOOKUP($C$43,Servant!$B$5:$AD$29,18,FALSE)+($F44+($F44*0.5*($D44-1)))*(P$3-1)</f>
        <v>3714.6805333333341</v>
      </c>
      <c r="Q44" s="138">
        <f>VLOOKUP($C$43,Servant!$B$5:$AD$29,18,FALSE)+($F44+($F44*0.5*($D44-1)))*(Q$3-1)</f>
        <v>4107.3906000000006</v>
      </c>
      <c r="R44" s="138">
        <f>VLOOKUP($C$43,Servant!$B$5:$AD$29,18,FALSE)+($F44+($F44*0.5*($D44-1)))*(R$3-1)</f>
        <v>4500.1006666666672</v>
      </c>
      <c r="S44" s="138">
        <f>VLOOKUP($C$43,Servant!$B$5:$AD$29,18,FALSE)+($F44+($F44*0.5*($D44-1)))*(S$3-1)</f>
        <v>4892.8107333333346</v>
      </c>
      <c r="T44" s="138">
        <f>VLOOKUP($C$43,Servant!$B$5:$AD$29,18,FALSE)+($F44+($F44*0.5*($D44-1)))*(T$3-1)</f>
        <v>5285.5208000000011</v>
      </c>
      <c r="U44" s="138">
        <f>VLOOKUP($C$43,Servant!$B$5:$AD$29,18,FALSE)+($F44+($F44*0.5*($D44-1)))*(U$3-1)</f>
        <v>5678.2308666666677</v>
      </c>
      <c r="V44" s="138">
        <f>VLOOKUP($C$43,Servant!$B$5:$AD$29,18,FALSE)+($F44+($F44*0.5*($D44-1)))*(V$3-1)</f>
        <v>6070.9409333333351</v>
      </c>
      <c r="W44" s="138">
        <f>VLOOKUP($C$43,Servant!$B$5:$AD$29,18,FALSE)+($F44+($F44*0.5*($D44-1)))*(W$3-1)</f>
        <v>6463.6510000000017</v>
      </c>
      <c r="X44" s="138">
        <f>VLOOKUP($C$43,Servant!$B$5:$AD$29,18,FALSE)+($F44+($F44*0.5*($D44-1)))*(X$3-1)</f>
        <v>6856.3610666666682</v>
      </c>
      <c r="Y44" s="138">
        <f>VLOOKUP($C$43,Servant!$B$5:$AD$29,18,FALSE)+($F44+($F44*0.5*($D44-1)))*(Y$3-1)</f>
        <v>7249.0711333333347</v>
      </c>
      <c r="Z44" s="138">
        <f>VLOOKUP($C$43,Servant!$B$5:$AD$29,18,FALSE)+($F44+($F44*0.5*($D44-1)))*(Z$3-1)</f>
        <v>7641.7812000000013</v>
      </c>
      <c r="AA44" s="138">
        <f>VLOOKUP($C$43,Servant!$B$5:$AD$29,18,FALSE)+($F44+($F44*0.5*($D44-1)))*(AA$3-1)</f>
        <v>8034.4912666666687</v>
      </c>
      <c r="AB44" s="138">
        <f>VLOOKUP($C$43,Servant!$B$5:$AD$29,18,FALSE)+($F44+($F44*0.5*($D44-1)))*(AB$3-1)</f>
        <v>8427.2013333333343</v>
      </c>
      <c r="AC44" s="138">
        <f>VLOOKUP($C$43,Servant!$B$5:$AD$29,18,FALSE)+($F44+($F44*0.5*($D44-1)))*(AC$3-1)</f>
        <v>8819.9114000000027</v>
      </c>
      <c r="AD44" s="138">
        <f>VLOOKUP($C$43,Servant!$B$5:$AD$29,18,FALSE)+($F44+($F44*0.5*($D44-1)))*(AD$3-1)</f>
        <v>9212.6214666666692</v>
      </c>
      <c r="AE44" s="138">
        <f>VLOOKUP($C$43,Servant!$B$5:$AD$29,18,FALSE)+($F44+($F44*0.5*($D44-1)))*(AE$3-1)</f>
        <v>9605.3315333333358</v>
      </c>
      <c r="AF44" s="138">
        <f>VLOOKUP($C$43,Servant!$B$5:$AD$29,18,FALSE)+($F44+($F44*0.5*($D44-1)))*(AF$3-1)</f>
        <v>9998.0416000000023</v>
      </c>
      <c r="AG44" s="138">
        <f>VLOOKUP($C$43,Servant!$B$5:$AD$29,18,FALSE)+($F44+($F44*0.5*($D44-1)))*(AG$3-1)</f>
        <v>10390.751666666669</v>
      </c>
      <c r="AH44" s="138">
        <f>VLOOKUP($C$43,Servant!$B$5:$AD$29,18,FALSE)+($F44+($F44*0.5*($D44-1)))*(AH$3-1)</f>
        <v>10783.461733333335</v>
      </c>
      <c r="AI44" s="138">
        <f>VLOOKUP($C$43,Servant!$B$5:$AD$29,18,FALSE)+($F44+($F44*0.5*($D44-1)))*(AI$3-1)</f>
        <v>11176.171800000002</v>
      </c>
      <c r="AJ44" s="138">
        <f>VLOOKUP($C$43,Servant!$B$5:$AD$29,18,FALSE)+($F44+($F44*0.5*($D44-1)))*(AJ$3-1)</f>
        <v>11568.88186666667</v>
      </c>
      <c r="AK44" s="138">
        <f>VLOOKUP($C$43,Servant!$B$5:$AD$29,18,FALSE)+($F44+($F44*0.5*($D44-1)))*(AK$3-1)</f>
        <v>11961.591933333337</v>
      </c>
    </row>
    <row r="45" spans="2:37" x14ac:dyDescent="0.3">
      <c r="B45" s="309"/>
      <c r="C45" s="317"/>
      <c r="D45" s="136">
        <v>5</v>
      </c>
      <c r="E45" s="137">
        <f>VLOOKUP($C$43,ServantLevelUPdStatus!$B$5:$AD$29,6,FALSE)+(VLOOKUP($C$43,ServantLevelUPdStatus!$B$5:$AD$29,6,FALSE)*0.5*(Simulator_AttkPow!$D45-1))</f>
        <v>471.25208000000009</v>
      </c>
      <c r="F45" s="139">
        <f>F44</f>
        <v>157.08402666666669</v>
      </c>
      <c r="H45" s="138">
        <f>VLOOKUP($C$43,Servant!$B$5:$AD$29,18,FALSE)+($F45+($F45*0.5*($D45-1)))*(H$3-1)</f>
        <v>573</v>
      </c>
      <c r="I45" s="138">
        <f>VLOOKUP($C$43,Servant!$B$5:$AD$29,18,FALSE)+($F45+($F45*0.5*($D45-1)))*(I$3-1)</f>
        <v>1044.2520800000002</v>
      </c>
      <c r="J45" s="138">
        <f>VLOOKUP($C$43,Servant!$B$5:$AD$29,18,FALSE)+($F45+($F45*0.5*($D45-1)))*(J$3-1)</f>
        <v>1515.5041600000002</v>
      </c>
      <c r="K45" s="138">
        <f>VLOOKUP($C$43,Servant!$B$5:$AD$29,18,FALSE)+($F45+($F45*0.5*($D45-1)))*(K$3-1)</f>
        <v>1986.7562400000002</v>
      </c>
      <c r="L45" s="138">
        <f>VLOOKUP($C$43,Servant!$B$5:$AD$29,18,FALSE)+($F45+($F45*0.5*($D45-1)))*(L$3-1)</f>
        <v>2458.0083200000004</v>
      </c>
      <c r="M45" s="138">
        <f>VLOOKUP($C$43,Servant!$B$5:$AD$29,18,FALSE)+($F45+($F45*0.5*($D45-1)))*(M$3-1)</f>
        <v>2929.2604000000006</v>
      </c>
      <c r="N45" s="138">
        <f>VLOOKUP($C$43,Servant!$B$5:$AD$29,18,FALSE)+($F45+($F45*0.5*($D45-1)))*(N$3-1)</f>
        <v>3400.5124800000003</v>
      </c>
      <c r="O45" s="138">
        <f>VLOOKUP($C$43,Servant!$B$5:$AD$29,18,FALSE)+($F45+($F45*0.5*($D45-1)))*(O$3-1)</f>
        <v>3871.7645600000005</v>
      </c>
      <c r="P45" s="138">
        <f>VLOOKUP($C$43,Servant!$B$5:$AD$29,18,FALSE)+($F45+($F45*0.5*($D45-1)))*(P$3-1)</f>
        <v>4343.0166400000007</v>
      </c>
      <c r="Q45" s="138">
        <f>VLOOKUP($C$43,Servant!$B$5:$AD$29,18,FALSE)+($F45+($F45*0.5*($D45-1)))*(Q$3-1)</f>
        <v>4814.2687200000009</v>
      </c>
      <c r="R45" s="138">
        <f>VLOOKUP($C$43,Servant!$B$5:$AD$29,18,FALSE)+($F45+($F45*0.5*($D45-1)))*(R$3-1)</f>
        <v>5285.5208000000011</v>
      </c>
      <c r="S45" s="138">
        <f>VLOOKUP($C$43,Servant!$B$5:$AD$29,18,FALSE)+($F45+($F45*0.5*($D45-1)))*(S$3-1)</f>
        <v>5756.7728800000014</v>
      </c>
      <c r="T45" s="138">
        <f>VLOOKUP($C$43,Servant!$B$5:$AD$29,18,FALSE)+($F45+($F45*0.5*($D45-1)))*(T$3-1)</f>
        <v>6228.0249600000006</v>
      </c>
      <c r="U45" s="138">
        <f>VLOOKUP($C$43,Servant!$B$5:$AD$29,18,FALSE)+($F45+($F45*0.5*($D45-1)))*(U$3-1)</f>
        <v>6699.2770400000009</v>
      </c>
      <c r="V45" s="138">
        <f>VLOOKUP($C$43,Servant!$B$5:$AD$29,18,FALSE)+($F45+($F45*0.5*($D45-1)))*(V$3-1)</f>
        <v>7170.5291200000011</v>
      </c>
      <c r="W45" s="138">
        <f>VLOOKUP($C$43,Servant!$B$5:$AD$29,18,FALSE)+($F45+($F45*0.5*($D45-1)))*(W$3-1)</f>
        <v>7641.7812000000013</v>
      </c>
      <c r="X45" s="138">
        <f>VLOOKUP($C$43,Servant!$B$5:$AD$29,18,FALSE)+($F45+($F45*0.5*($D45-1)))*(X$3-1)</f>
        <v>8113.0332800000015</v>
      </c>
      <c r="Y45" s="138">
        <f>VLOOKUP($C$43,Servant!$B$5:$AD$29,18,FALSE)+($F45+($F45*0.5*($D45-1)))*(Y$3-1)</f>
        <v>8584.2853600000017</v>
      </c>
      <c r="Z45" s="138">
        <f>VLOOKUP($C$43,Servant!$B$5:$AD$29,18,FALSE)+($F45+($F45*0.5*($D45-1)))*(Z$3-1)</f>
        <v>9055.5374400000019</v>
      </c>
      <c r="AA45" s="138">
        <f>VLOOKUP($C$43,Servant!$B$5:$AD$29,18,FALSE)+($F45+($F45*0.5*($D45-1)))*(AA$3-1)</f>
        <v>9526.7895200000021</v>
      </c>
      <c r="AB45" s="138">
        <f>VLOOKUP($C$43,Servant!$B$5:$AD$29,18,FALSE)+($F45+($F45*0.5*($D45-1)))*(AB$3-1)</f>
        <v>9998.0416000000023</v>
      </c>
      <c r="AC45" s="138">
        <f>VLOOKUP($C$43,Servant!$B$5:$AD$29,18,FALSE)+($F45+($F45*0.5*($D45-1)))*(AC$3-1)</f>
        <v>10469.293680000002</v>
      </c>
      <c r="AD45" s="138">
        <f>VLOOKUP($C$43,Servant!$B$5:$AD$29,18,FALSE)+($F45+($F45*0.5*($D45-1)))*(AD$3-1)</f>
        <v>10940.545760000003</v>
      </c>
      <c r="AE45" s="138">
        <f>VLOOKUP($C$43,Servant!$B$5:$AD$29,18,FALSE)+($F45+($F45*0.5*($D45-1)))*(AE$3-1)</f>
        <v>11411.797840000003</v>
      </c>
      <c r="AF45" s="138">
        <f>VLOOKUP($C$43,Servant!$B$5:$AD$29,18,FALSE)+($F45+($F45*0.5*($D45-1)))*(AF$3-1)</f>
        <v>11883.049920000001</v>
      </c>
      <c r="AG45" s="138">
        <f>VLOOKUP($C$43,Servant!$B$5:$AD$29,18,FALSE)+($F45+($F45*0.5*($D45-1)))*(AG$3-1)</f>
        <v>12354.302000000001</v>
      </c>
      <c r="AH45" s="138">
        <f>VLOOKUP($C$43,Servant!$B$5:$AD$29,18,FALSE)+($F45+($F45*0.5*($D45-1)))*(AH$3-1)</f>
        <v>12825.554080000002</v>
      </c>
      <c r="AI45" s="138">
        <f>VLOOKUP($C$43,Servant!$B$5:$AD$29,18,FALSE)+($F45+($F45*0.5*($D45-1)))*(AI$3-1)</f>
        <v>13296.806160000002</v>
      </c>
      <c r="AJ45" s="138">
        <f>VLOOKUP($C$43,Servant!$B$5:$AD$29,18,FALSE)+($F45+($F45*0.5*($D45-1)))*(AJ$3-1)</f>
        <v>13768.058240000002</v>
      </c>
      <c r="AK45" s="138">
        <f>VLOOKUP($C$43,Servant!$B$5:$AD$29,18,FALSE)+($F45+($F45*0.5*($D45-1)))*(AK$3-1)</f>
        <v>14239.310320000002</v>
      </c>
    </row>
    <row r="46" spans="2:37" x14ac:dyDescent="0.3">
      <c r="B46" s="309"/>
      <c r="C46" s="300" t="s">
        <v>288</v>
      </c>
      <c r="D46" s="128">
        <v>3</v>
      </c>
      <c r="E46" s="122">
        <f>VLOOKUP($C$46,ServantLevelUPdStatus!$B$5:$AD$29,6,FALSE)+(VLOOKUP($C$46,ServantLevelUPdStatus!$B$5:$AD$29,6,FALSE)*0.5*(Simulator_AttkPow!$D46-1))</f>
        <v>347.59018666666668</v>
      </c>
      <c r="F46" s="122">
        <f>VLOOKUP($C$46,ServantLevelUPdStatus!$B$5:$AD$29,6,FALSE)</f>
        <v>173.79509333333334</v>
      </c>
      <c r="H46" s="114">
        <f>VLOOKUP($C$46,Servant!$B$5:$AD$29,18,FALSE)+($F46+($F46*0.5*($D46-1)))*(H$3-1)</f>
        <v>634</v>
      </c>
      <c r="I46" s="114">
        <f>VLOOKUP($C$46,Servant!$B$5:$AD$29,18,FALSE)+($F46+($F46*0.5*($D46-1)))*(I$3-1)</f>
        <v>981.59018666666668</v>
      </c>
      <c r="J46" s="114">
        <f>VLOOKUP($C$46,Servant!$B$5:$AD$29,18,FALSE)+($F46+($F46*0.5*($D46-1)))*(J$3-1)</f>
        <v>1329.1803733333334</v>
      </c>
      <c r="K46" s="114">
        <f>VLOOKUP($C$46,Servant!$B$5:$AD$29,18,FALSE)+($F46+($F46*0.5*($D46-1)))*(K$3-1)</f>
        <v>1676.7705599999999</v>
      </c>
      <c r="L46" s="114">
        <f>VLOOKUP($C$46,Servant!$B$5:$AD$29,18,FALSE)+($F46+($F46*0.5*($D46-1)))*(L$3-1)</f>
        <v>2024.3607466666667</v>
      </c>
      <c r="M46" s="114">
        <f>VLOOKUP($C$46,Servant!$B$5:$AD$29,18,FALSE)+($F46+($F46*0.5*($D46-1)))*(M$3-1)</f>
        <v>2371.9509333333335</v>
      </c>
      <c r="N46" s="114">
        <f>VLOOKUP($C$46,Servant!$B$5:$AD$29,18,FALSE)+($F46+($F46*0.5*($D46-1)))*(N$3-1)</f>
        <v>2719.5411199999999</v>
      </c>
      <c r="O46" s="114">
        <f>VLOOKUP($C$46,Servant!$B$5:$AD$29,18,FALSE)+($F46+($F46*0.5*($D46-1)))*(O$3-1)</f>
        <v>3067.1313066666667</v>
      </c>
      <c r="P46" s="114">
        <f>VLOOKUP($C$46,Servant!$B$5:$AD$29,18,FALSE)+($F46+($F46*0.5*($D46-1)))*(P$3-1)</f>
        <v>3414.7214933333335</v>
      </c>
      <c r="Q46" s="114">
        <f>VLOOKUP($C$46,Servant!$B$5:$AD$29,18,FALSE)+($F46+($F46*0.5*($D46-1)))*(Q$3-1)</f>
        <v>3762.3116800000003</v>
      </c>
      <c r="R46" s="114">
        <f>VLOOKUP($C$46,Servant!$B$5:$AD$29,18,FALSE)+($F46+($F46*0.5*($D46-1)))*(R$3-1)</f>
        <v>4109.901866666667</v>
      </c>
      <c r="S46" s="114">
        <f>VLOOKUP($C$46,Servant!$B$5:$AD$29,18,FALSE)+($F46+($F46*0.5*($D46-1)))*(S$3-1)</f>
        <v>4457.4920533333334</v>
      </c>
      <c r="T46" s="114">
        <f>VLOOKUP($C$46,Servant!$B$5:$AD$29,18,FALSE)+($F46+($F46*0.5*($D46-1)))*(T$3-1)</f>
        <v>4805.0822399999997</v>
      </c>
      <c r="U46" s="114">
        <f>VLOOKUP($C$46,Servant!$B$5:$AD$29,18,FALSE)+($F46+($F46*0.5*($D46-1)))*(U$3-1)</f>
        <v>5152.672426666667</v>
      </c>
      <c r="V46" s="114">
        <f>VLOOKUP($C$46,Servant!$B$5:$AD$29,18,FALSE)+($F46+($F46*0.5*($D46-1)))*(V$3-1)</f>
        <v>5500.2626133333333</v>
      </c>
      <c r="W46" s="114">
        <f>VLOOKUP($C$46,Servant!$B$5:$AD$29,18,FALSE)+($F46+($F46*0.5*($D46-1)))*(W$3-1)</f>
        <v>5847.8528000000006</v>
      </c>
      <c r="X46" s="114">
        <f>VLOOKUP($C$46,Servant!$B$5:$AD$29,18,FALSE)+($F46+($F46*0.5*($D46-1)))*(X$3-1)</f>
        <v>6195.4429866666669</v>
      </c>
      <c r="Y46" s="114">
        <f>VLOOKUP($C$46,Servant!$B$5:$AD$29,18,FALSE)+($F46+($F46*0.5*($D46-1)))*(Y$3-1)</f>
        <v>6543.0331733333333</v>
      </c>
      <c r="Z46" s="114">
        <f>VLOOKUP($C$46,Servant!$B$5:$AD$29,18,FALSE)+($F46+($F46*0.5*($D46-1)))*(Z$3-1)</f>
        <v>6890.6233600000005</v>
      </c>
      <c r="AA46" s="114">
        <f>VLOOKUP($C$46,Servant!$B$5:$AD$29,18,FALSE)+($F46+($F46*0.5*($D46-1)))*(AA$3-1)</f>
        <v>7238.2135466666668</v>
      </c>
      <c r="AB46" s="114">
        <f>VLOOKUP($C$46,Servant!$B$5:$AD$29,18,FALSE)+($F46+($F46*0.5*($D46-1)))*(AB$3-1)</f>
        <v>7585.8037333333341</v>
      </c>
      <c r="AC46" s="114">
        <f>VLOOKUP($C$46,Servant!$B$5:$AD$29,18,FALSE)+($F46+($F46*0.5*($D46-1)))*(AC$3-1)</f>
        <v>7933.3939200000004</v>
      </c>
      <c r="AD46" s="114">
        <f>VLOOKUP($C$46,Servant!$B$5:$AD$29,18,FALSE)+($F46+($F46*0.5*($D46-1)))*(AD$3-1)</f>
        <v>8280.9841066666668</v>
      </c>
      <c r="AE46" s="114">
        <f>VLOOKUP($C$46,Servant!$B$5:$AD$29,18,FALSE)+($F46+($F46*0.5*($D46-1)))*(AE$3-1)</f>
        <v>8628.5742933333349</v>
      </c>
      <c r="AF46" s="114">
        <f>VLOOKUP($C$46,Servant!$B$5:$AD$29,18,FALSE)+($F46+($F46*0.5*($D46-1)))*(AF$3-1)</f>
        <v>8976.1644799999995</v>
      </c>
      <c r="AG46" s="114">
        <f>VLOOKUP($C$46,Servant!$B$5:$AD$29,18,FALSE)+($F46+($F46*0.5*($D46-1)))*(AG$3-1)</f>
        <v>9323.7546666666676</v>
      </c>
      <c r="AH46" s="114">
        <f>VLOOKUP($C$46,Servant!$B$5:$AD$29,18,FALSE)+($F46+($F46*0.5*($D46-1)))*(AH$3-1)</f>
        <v>9671.344853333334</v>
      </c>
      <c r="AI46" s="114">
        <f>VLOOKUP($C$46,Servant!$B$5:$AD$29,18,FALSE)+($F46+($F46*0.5*($D46-1)))*(AI$3-1)</f>
        <v>10018.93504</v>
      </c>
      <c r="AJ46" s="114">
        <f>VLOOKUP($C$46,Servant!$B$5:$AD$29,18,FALSE)+($F46+($F46*0.5*($D46-1)))*(AJ$3-1)</f>
        <v>10366.525226666667</v>
      </c>
      <c r="AK46" s="114">
        <f>VLOOKUP($C$46,Servant!$B$5:$AD$29,18,FALSE)+($F46+($F46*0.5*($D46-1)))*(AK$3-1)</f>
        <v>10714.115413333333</v>
      </c>
    </row>
    <row r="47" spans="2:37" x14ac:dyDescent="0.3">
      <c r="B47" s="309"/>
      <c r="C47" s="300"/>
      <c r="D47" s="128">
        <v>4</v>
      </c>
      <c r="E47" s="122">
        <f>VLOOKUP($C$46,ServantLevelUPdStatus!$B$5:$AD$29,6,FALSE)+(VLOOKUP($C$46,ServantLevelUPdStatus!$B$5:$AD$29,6,FALSE)*0.5*(Simulator_AttkPow!$D47-1))</f>
        <v>434.48773333333332</v>
      </c>
      <c r="F47" s="121">
        <f>F46</f>
        <v>173.79509333333334</v>
      </c>
      <c r="H47" s="114">
        <f>VLOOKUP($C$46,Servant!$B$5:$AD$29,18,FALSE)+($F47+($F47*0.5*($D47-1)))*(H$3-1)</f>
        <v>634</v>
      </c>
      <c r="I47" s="114">
        <f>VLOOKUP($C$46,Servant!$B$5:$AD$29,18,FALSE)+($F47+($F47*0.5*($D47-1)))*(I$3-1)</f>
        <v>1068.4877333333334</v>
      </c>
      <c r="J47" s="114">
        <f>VLOOKUP($C$46,Servant!$B$5:$AD$29,18,FALSE)+($F47+($F47*0.5*($D47-1)))*(J$3-1)</f>
        <v>1502.9754666666668</v>
      </c>
      <c r="K47" s="114">
        <f>VLOOKUP($C$46,Servant!$B$5:$AD$29,18,FALSE)+($F47+($F47*0.5*($D47-1)))*(K$3-1)</f>
        <v>1937.4631999999999</v>
      </c>
      <c r="L47" s="114">
        <f>VLOOKUP($C$46,Servant!$B$5:$AD$29,18,FALSE)+($F47+($F47*0.5*($D47-1)))*(L$3-1)</f>
        <v>2371.9509333333335</v>
      </c>
      <c r="M47" s="114">
        <f>VLOOKUP($C$46,Servant!$B$5:$AD$29,18,FALSE)+($F47+($F47*0.5*($D47-1)))*(M$3-1)</f>
        <v>2806.4386666666664</v>
      </c>
      <c r="N47" s="114">
        <f>VLOOKUP($C$46,Servant!$B$5:$AD$29,18,FALSE)+($F47+($F47*0.5*($D47-1)))*(N$3-1)</f>
        <v>3240.9263999999998</v>
      </c>
      <c r="O47" s="114">
        <f>VLOOKUP($C$46,Servant!$B$5:$AD$29,18,FALSE)+($F47+($F47*0.5*($D47-1)))*(O$3-1)</f>
        <v>3675.4141333333332</v>
      </c>
      <c r="P47" s="114">
        <f>VLOOKUP($C$46,Servant!$B$5:$AD$29,18,FALSE)+($F47+($F47*0.5*($D47-1)))*(P$3-1)</f>
        <v>4109.901866666667</v>
      </c>
      <c r="Q47" s="114">
        <f>VLOOKUP($C$46,Servant!$B$5:$AD$29,18,FALSE)+($F47+($F47*0.5*($D47-1)))*(Q$3-1)</f>
        <v>4544.3896000000004</v>
      </c>
      <c r="R47" s="114">
        <f>VLOOKUP($C$46,Servant!$B$5:$AD$29,18,FALSE)+($F47+($F47*0.5*($D47-1)))*(R$3-1)</f>
        <v>4978.8773333333329</v>
      </c>
      <c r="S47" s="114">
        <f>VLOOKUP($C$46,Servant!$B$5:$AD$29,18,FALSE)+($F47+($F47*0.5*($D47-1)))*(S$3-1)</f>
        <v>5413.3650666666663</v>
      </c>
      <c r="T47" s="114">
        <f>VLOOKUP($C$46,Servant!$B$5:$AD$29,18,FALSE)+($F47+($F47*0.5*($D47-1)))*(T$3-1)</f>
        <v>5847.8527999999997</v>
      </c>
      <c r="U47" s="114">
        <f>VLOOKUP($C$46,Servant!$B$5:$AD$29,18,FALSE)+($F47+($F47*0.5*($D47-1)))*(U$3-1)</f>
        <v>6282.340533333333</v>
      </c>
      <c r="V47" s="114">
        <f>VLOOKUP($C$46,Servant!$B$5:$AD$29,18,FALSE)+($F47+($F47*0.5*($D47-1)))*(V$3-1)</f>
        <v>6716.8282666666664</v>
      </c>
      <c r="W47" s="114">
        <f>VLOOKUP($C$46,Servant!$B$5:$AD$29,18,FALSE)+($F47+($F47*0.5*($D47-1)))*(W$3-1)</f>
        <v>7151.3159999999998</v>
      </c>
      <c r="X47" s="114">
        <f>VLOOKUP($C$46,Servant!$B$5:$AD$29,18,FALSE)+($F47+($F47*0.5*($D47-1)))*(X$3-1)</f>
        <v>7585.8037333333332</v>
      </c>
      <c r="Y47" s="114">
        <f>VLOOKUP($C$46,Servant!$B$5:$AD$29,18,FALSE)+($F47+($F47*0.5*($D47-1)))*(Y$3-1)</f>
        <v>8020.2914666666666</v>
      </c>
      <c r="Z47" s="114">
        <f>VLOOKUP($C$46,Servant!$B$5:$AD$29,18,FALSE)+($F47+($F47*0.5*($D47-1)))*(Z$3-1)</f>
        <v>8454.7792000000009</v>
      </c>
      <c r="AA47" s="114">
        <f>VLOOKUP($C$46,Servant!$B$5:$AD$29,18,FALSE)+($F47+($F47*0.5*($D47-1)))*(AA$3-1)</f>
        <v>8889.2669333333324</v>
      </c>
      <c r="AB47" s="114">
        <f>VLOOKUP($C$46,Servant!$B$5:$AD$29,18,FALSE)+($F47+($F47*0.5*($D47-1)))*(AB$3-1)</f>
        <v>9323.7546666666658</v>
      </c>
      <c r="AC47" s="114">
        <f>VLOOKUP($C$46,Servant!$B$5:$AD$29,18,FALSE)+($F47+($F47*0.5*($D47-1)))*(AC$3-1)</f>
        <v>9758.2423999999992</v>
      </c>
      <c r="AD47" s="114">
        <f>VLOOKUP($C$46,Servant!$B$5:$AD$29,18,FALSE)+($F47+($F47*0.5*($D47-1)))*(AD$3-1)</f>
        <v>10192.730133333333</v>
      </c>
      <c r="AE47" s="114">
        <f>VLOOKUP($C$46,Servant!$B$5:$AD$29,18,FALSE)+($F47+($F47*0.5*($D47-1)))*(AE$3-1)</f>
        <v>10627.217866666666</v>
      </c>
      <c r="AF47" s="114">
        <f>VLOOKUP($C$46,Servant!$B$5:$AD$29,18,FALSE)+($F47+($F47*0.5*($D47-1)))*(AF$3-1)</f>
        <v>11061.705599999999</v>
      </c>
      <c r="AG47" s="114">
        <f>VLOOKUP($C$46,Servant!$B$5:$AD$29,18,FALSE)+($F47+($F47*0.5*($D47-1)))*(AG$3-1)</f>
        <v>11496.193333333333</v>
      </c>
      <c r="AH47" s="114">
        <f>VLOOKUP($C$46,Servant!$B$5:$AD$29,18,FALSE)+($F47+($F47*0.5*($D47-1)))*(AH$3-1)</f>
        <v>11930.681066666666</v>
      </c>
      <c r="AI47" s="114">
        <f>VLOOKUP($C$46,Servant!$B$5:$AD$29,18,FALSE)+($F47+($F47*0.5*($D47-1)))*(AI$3-1)</f>
        <v>12365.168799999999</v>
      </c>
      <c r="AJ47" s="114">
        <f>VLOOKUP($C$46,Servant!$B$5:$AD$29,18,FALSE)+($F47+($F47*0.5*($D47-1)))*(AJ$3-1)</f>
        <v>12799.656533333333</v>
      </c>
      <c r="AK47" s="114">
        <f>VLOOKUP($C$46,Servant!$B$5:$AD$29,18,FALSE)+($F47+($F47*0.5*($D47-1)))*(AK$3-1)</f>
        <v>13234.144266666666</v>
      </c>
    </row>
    <row r="48" spans="2:37" x14ac:dyDescent="0.3">
      <c r="B48" s="309"/>
      <c r="C48" s="300"/>
      <c r="D48" s="128">
        <v>5</v>
      </c>
      <c r="E48" s="122">
        <f>VLOOKUP($C$46,ServantLevelUPdStatus!$B$5:$AD$29,6,FALSE)+(VLOOKUP($C$46,ServantLevelUPdStatus!$B$5:$AD$29,6,FALSE)*0.5*(Simulator_AttkPow!$D48-1))</f>
        <v>521.38527999999997</v>
      </c>
      <c r="F48" s="121">
        <f>F47</f>
        <v>173.79509333333334</v>
      </c>
      <c r="H48" s="114">
        <f>VLOOKUP($C$46,Servant!$B$5:$AD$29,18,FALSE)+($F48+($F48*0.5*($D48-1)))*(H$3-1)</f>
        <v>634</v>
      </c>
      <c r="I48" s="114">
        <f>VLOOKUP($C$46,Servant!$B$5:$AD$29,18,FALSE)+($F48+($F48*0.5*($D48-1)))*(I$3-1)</f>
        <v>1155.38528</v>
      </c>
      <c r="J48" s="114">
        <f>VLOOKUP($C$46,Servant!$B$5:$AD$29,18,FALSE)+($F48+($F48*0.5*($D48-1)))*(J$3-1)</f>
        <v>1676.7705599999999</v>
      </c>
      <c r="K48" s="114">
        <f>VLOOKUP($C$46,Servant!$B$5:$AD$29,18,FALSE)+($F48+($F48*0.5*($D48-1)))*(K$3-1)</f>
        <v>2198.1558399999999</v>
      </c>
      <c r="L48" s="114">
        <f>VLOOKUP($C$46,Servant!$B$5:$AD$29,18,FALSE)+($F48+($F48*0.5*($D48-1)))*(L$3-1)</f>
        <v>2719.5411199999999</v>
      </c>
      <c r="M48" s="114">
        <f>VLOOKUP($C$46,Servant!$B$5:$AD$29,18,FALSE)+($F48+($F48*0.5*($D48-1)))*(M$3-1)</f>
        <v>3240.9263999999998</v>
      </c>
      <c r="N48" s="114">
        <f>VLOOKUP($C$46,Servant!$B$5:$AD$29,18,FALSE)+($F48+($F48*0.5*($D48-1)))*(N$3-1)</f>
        <v>3762.3116799999998</v>
      </c>
      <c r="O48" s="114">
        <f>VLOOKUP($C$46,Servant!$B$5:$AD$29,18,FALSE)+($F48+($F48*0.5*($D48-1)))*(O$3-1)</f>
        <v>4283.6969599999993</v>
      </c>
      <c r="P48" s="114">
        <f>VLOOKUP($C$46,Servant!$B$5:$AD$29,18,FALSE)+($F48+($F48*0.5*($D48-1)))*(P$3-1)</f>
        <v>4805.0822399999997</v>
      </c>
      <c r="Q48" s="114">
        <f>VLOOKUP($C$46,Servant!$B$5:$AD$29,18,FALSE)+($F48+($F48*0.5*($D48-1)))*(Q$3-1)</f>
        <v>5326.4675200000001</v>
      </c>
      <c r="R48" s="114">
        <f>VLOOKUP($C$46,Servant!$B$5:$AD$29,18,FALSE)+($F48+($F48*0.5*($D48-1)))*(R$3-1)</f>
        <v>5847.8527999999997</v>
      </c>
      <c r="S48" s="114">
        <f>VLOOKUP($C$46,Servant!$B$5:$AD$29,18,FALSE)+($F48+($F48*0.5*($D48-1)))*(S$3-1)</f>
        <v>6369.2380799999992</v>
      </c>
      <c r="T48" s="114">
        <f>VLOOKUP($C$46,Servant!$B$5:$AD$29,18,FALSE)+($F48+($F48*0.5*($D48-1)))*(T$3-1)</f>
        <v>6890.6233599999996</v>
      </c>
      <c r="U48" s="114">
        <f>VLOOKUP($C$46,Servant!$B$5:$AD$29,18,FALSE)+($F48+($F48*0.5*($D48-1)))*(U$3-1)</f>
        <v>7412.00864</v>
      </c>
      <c r="V48" s="114">
        <f>VLOOKUP($C$46,Servant!$B$5:$AD$29,18,FALSE)+($F48+($F48*0.5*($D48-1)))*(V$3-1)</f>
        <v>7933.3939199999995</v>
      </c>
      <c r="W48" s="114">
        <f>VLOOKUP($C$46,Servant!$B$5:$AD$29,18,FALSE)+($F48+($F48*0.5*($D48-1)))*(W$3-1)</f>
        <v>8454.779199999999</v>
      </c>
      <c r="X48" s="114">
        <f>VLOOKUP($C$46,Servant!$B$5:$AD$29,18,FALSE)+($F48+($F48*0.5*($D48-1)))*(X$3-1)</f>
        <v>8976.1644799999995</v>
      </c>
      <c r="Y48" s="114">
        <f>VLOOKUP($C$46,Servant!$B$5:$AD$29,18,FALSE)+($F48+($F48*0.5*($D48-1)))*(Y$3-1)</f>
        <v>9497.5497599999999</v>
      </c>
      <c r="Z48" s="114">
        <f>VLOOKUP($C$46,Servant!$B$5:$AD$29,18,FALSE)+($F48+($F48*0.5*($D48-1)))*(Z$3-1)</f>
        <v>10018.93504</v>
      </c>
      <c r="AA48" s="114">
        <f>VLOOKUP($C$46,Servant!$B$5:$AD$29,18,FALSE)+($F48+($F48*0.5*($D48-1)))*(AA$3-1)</f>
        <v>10540.320319999999</v>
      </c>
      <c r="AB48" s="114">
        <f>VLOOKUP($C$46,Servant!$B$5:$AD$29,18,FALSE)+($F48+($F48*0.5*($D48-1)))*(AB$3-1)</f>
        <v>11061.705599999999</v>
      </c>
      <c r="AC48" s="114">
        <f>VLOOKUP($C$46,Servant!$B$5:$AD$29,18,FALSE)+($F48+($F48*0.5*($D48-1)))*(AC$3-1)</f>
        <v>11583.09088</v>
      </c>
      <c r="AD48" s="114">
        <f>VLOOKUP($C$46,Servant!$B$5:$AD$29,18,FALSE)+($F48+($F48*0.5*($D48-1)))*(AD$3-1)</f>
        <v>12104.476159999998</v>
      </c>
      <c r="AE48" s="114">
        <f>VLOOKUP($C$46,Servant!$B$5:$AD$29,18,FALSE)+($F48+($F48*0.5*($D48-1)))*(AE$3-1)</f>
        <v>12625.861439999999</v>
      </c>
      <c r="AF48" s="114">
        <f>VLOOKUP($C$46,Servant!$B$5:$AD$29,18,FALSE)+($F48+($F48*0.5*($D48-1)))*(AF$3-1)</f>
        <v>13147.246719999999</v>
      </c>
      <c r="AG48" s="114">
        <f>VLOOKUP($C$46,Servant!$B$5:$AD$29,18,FALSE)+($F48+($F48*0.5*($D48-1)))*(AG$3-1)</f>
        <v>13668.632</v>
      </c>
      <c r="AH48" s="114">
        <f>VLOOKUP($C$46,Servant!$B$5:$AD$29,18,FALSE)+($F48+($F48*0.5*($D48-1)))*(AH$3-1)</f>
        <v>14190.01728</v>
      </c>
      <c r="AI48" s="114">
        <f>VLOOKUP($C$46,Servant!$B$5:$AD$29,18,FALSE)+($F48+($F48*0.5*($D48-1)))*(AI$3-1)</f>
        <v>14711.402559999999</v>
      </c>
      <c r="AJ48" s="114">
        <f>VLOOKUP($C$46,Servant!$B$5:$AD$29,18,FALSE)+($F48+($F48*0.5*($D48-1)))*(AJ$3-1)</f>
        <v>15232.787839999999</v>
      </c>
      <c r="AK48" s="114">
        <f>VLOOKUP($C$46,Servant!$B$5:$AD$29,18,FALSE)+($F48+($F48*0.5*($D48-1)))*(AK$3-1)</f>
        <v>15754.173119999999</v>
      </c>
    </row>
    <row r="49" spans="2:37" x14ac:dyDescent="0.3">
      <c r="B49" s="309"/>
      <c r="C49" s="317" t="s">
        <v>289</v>
      </c>
      <c r="D49" s="136">
        <v>3</v>
      </c>
      <c r="E49" s="137">
        <f>VLOOKUP($C$49,ServantLevelUPdStatus!$B$5:$AD$29,6,FALSE)+(VLOOKUP($C$49,ServantLevelUPdStatus!$B$5:$AD$29,6,FALSE)*0.5*(Simulator_AttkPow!$D49-1))</f>
        <v>357.61682666666673</v>
      </c>
      <c r="F49" s="137">
        <f>VLOOKUP($C$49,ServantLevelUPdStatus!$B$5:$AD$29,6,FALSE)</f>
        <v>178.80841333333336</v>
      </c>
      <c r="H49" s="138">
        <f>VLOOKUP($C$49,Servant!$B$5:$AD$29,18,FALSE)+($F49+($F49*0.5*($D49-1)))*(H$3-1)</f>
        <v>652</v>
      </c>
      <c r="I49" s="138">
        <f>VLOOKUP($C$49,Servant!$B$5:$AD$29,18,FALSE)+($F49+($F49*0.5*($D49-1)))*(I$3-1)</f>
        <v>1009.6168266666667</v>
      </c>
      <c r="J49" s="138">
        <f>VLOOKUP($C$49,Servant!$B$5:$AD$29,18,FALSE)+($F49+($F49*0.5*($D49-1)))*(J$3-1)</f>
        <v>1367.2336533333335</v>
      </c>
      <c r="K49" s="138">
        <f>VLOOKUP($C$49,Servant!$B$5:$AD$29,18,FALSE)+($F49+($F49*0.5*($D49-1)))*(K$3-1)</f>
        <v>1724.8504800000001</v>
      </c>
      <c r="L49" s="138">
        <f>VLOOKUP($C$49,Servant!$B$5:$AD$29,18,FALSE)+($F49+($F49*0.5*($D49-1)))*(L$3-1)</f>
        <v>2082.4673066666669</v>
      </c>
      <c r="M49" s="138">
        <f>VLOOKUP($C$49,Servant!$B$5:$AD$29,18,FALSE)+($F49+($F49*0.5*($D49-1)))*(M$3-1)</f>
        <v>2440.0841333333337</v>
      </c>
      <c r="N49" s="138">
        <f>VLOOKUP($C$49,Servant!$B$5:$AD$29,18,FALSE)+($F49+($F49*0.5*($D49-1)))*(N$3-1)</f>
        <v>2797.7009600000001</v>
      </c>
      <c r="O49" s="138">
        <f>VLOOKUP($C$49,Servant!$B$5:$AD$29,18,FALSE)+($F49+($F49*0.5*($D49-1)))*(O$3-1)</f>
        <v>3155.317786666667</v>
      </c>
      <c r="P49" s="138">
        <f>VLOOKUP($C$49,Servant!$B$5:$AD$29,18,FALSE)+($F49+($F49*0.5*($D49-1)))*(P$3-1)</f>
        <v>3512.9346133333338</v>
      </c>
      <c r="Q49" s="138">
        <f>VLOOKUP($C$49,Servant!$B$5:$AD$29,18,FALSE)+($F49+($F49*0.5*($D49-1)))*(Q$3-1)</f>
        <v>3870.5514400000006</v>
      </c>
      <c r="R49" s="138">
        <f>VLOOKUP($C$49,Servant!$B$5:$AD$29,18,FALSE)+($F49+($F49*0.5*($D49-1)))*(R$3-1)</f>
        <v>4228.1682666666675</v>
      </c>
      <c r="S49" s="138">
        <f>VLOOKUP($C$49,Servant!$B$5:$AD$29,18,FALSE)+($F49+($F49*0.5*($D49-1)))*(S$3-1)</f>
        <v>4585.7850933333339</v>
      </c>
      <c r="T49" s="138">
        <f>VLOOKUP($C$49,Servant!$B$5:$AD$29,18,FALSE)+($F49+($F49*0.5*($D49-1)))*(T$3-1)</f>
        <v>4943.4019200000002</v>
      </c>
      <c r="U49" s="138">
        <f>VLOOKUP($C$49,Servant!$B$5:$AD$29,18,FALSE)+($F49+($F49*0.5*($D49-1)))*(U$3-1)</f>
        <v>5301.0187466666675</v>
      </c>
      <c r="V49" s="138">
        <f>VLOOKUP($C$49,Servant!$B$5:$AD$29,18,FALSE)+($F49+($F49*0.5*($D49-1)))*(V$3-1)</f>
        <v>5658.6355733333339</v>
      </c>
      <c r="W49" s="138">
        <f>VLOOKUP($C$49,Servant!$B$5:$AD$29,18,FALSE)+($F49+($F49*0.5*($D49-1)))*(W$3-1)</f>
        <v>6016.2524000000012</v>
      </c>
      <c r="X49" s="138">
        <f>VLOOKUP($C$49,Servant!$B$5:$AD$29,18,FALSE)+($F49+($F49*0.5*($D49-1)))*(X$3-1)</f>
        <v>6373.8692266666676</v>
      </c>
      <c r="Y49" s="138">
        <f>VLOOKUP($C$49,Servant!$B$5:$AD$29,18,FALSE)+($F49+($F49*0.5*($D49-1)))*(Y$3-1)</f>
        <v>6731.486053333334</v>
      </c>
      <c r="Z49" s="138">
        <f>VLOOKUP($C$49,Servant!$B$5:$AD$29,18,FALSE)+($F49+($F49*0.5*($D49-1)))*(Z$3-1)</f>
        <v>7089.1028800000013</v>
      </c>
      <c r="AA49" s="138">
        <f>VLOOKUP($C$49,Servant!$B$5:$AD$29,18,FALSE)+($F49+($F49*0.5*($D49-1)))*(AA$3-1)</f>
        <v>7446.7197066666677</v>
      </c>
      <c r="AB49" s="138">
        <f>VLOOKUP($C$49,Servant!$B$5:$AD$29,18,FALSE)+($F49+($F49*0.5*($D49-1)))*(AB$3-1)</f>
        <v>7804.336533333335</v>
      </c>
      <c r="AC49" s="138">
        <f>VLOOKUP($C$49,Servant!$B$5:$AD$29,18,FALSE)+($F49+($F49*0.5*($D49-1)))*(AC$3-1)</f>
        <v>8161.9533600000013</v>
      </c>
      <c r="AD49" s="138">
        <f>VLOOKUP($C$49,Servant!$B$5:$AD$29,18,FALSE)+($F49+($F49*0.5*($D49-1)))*(AD$3-1)</f>
        <v>8519.5701866666677</v>
      </c>
      <c r="AE49" s="138">
        <f>VLOOKUP($C$49,Servant!$B$5:$AD$29,18,FALSE)+($F49+($F49*0.5*($D49-1)))*(AE$3-1)</f>
        <v>8877.1870133333341</v>
      </c>
      <c r="AF49" s="138">
        <f>VLOOKUP($C$49,Servant!$B$5:$AD$29,18,FALSE)+($F49+($F49*0.5*($D49-1)))*(AF$3-1)</f>
        <v>9234.8038400000005</v>
      </c>
      <c r="AG49" s="138">
        <f>VLOOKUP($C$49,Servant!$B$5:$AD$29,18,FALSE)+($F49+($F49*0.5*($D49-1)))*(AG$3-1)</f>
        <v>9592.4206666666687</v>
      </c>
      <c r="AH49" s="138">
        <f>VLOOKUP($C$49,Servant!$B$5:$AD$29,18,FALSE)+($F49+($F49*0.5*($D49-1)))*(AH$3-1)</f>
        <v>9950.0374933333351</v>
      </c>
      <c r="AI49" s="138">
        <f>VLOOKUP($C$49,Servant!$B$5:$AD$29,18,FALSE)+($F49+($F49*0.5*($D49-1)))*(AI$3-1)</f>
        <v>10307.654320000001</v>
      </c>
      <c r="AJ49" s="138">
        <f>VLOOKUP($C$49,Servant!$B$5:$AD$29,18,FALSE)+($F49+($F49*0.5*($D49-1)))*(AJ$3-1)</f>
        <v>10665.271146666668</v>
      </c>
      <c r="AK49" s="138">
        <f>VLOOKUP($C$49,Servant!$B$5:$AD$29,18,FALSE)+($F49+($F49*0.5*($D49-1)))*(AK$3-1)</f>
        <v>11022.887973333334</v>
      </c>
    </row>
    <row r="50" spans="2:37" x14ac:dyDescent="0.3">
      <c r="B50" s="309"/>
      <c r="C50" s="317"/>
      <c r="D50" s="136">
        <v>4</v>
      </c>
      <c r="E50" s="137">
        <f>VLOOKUP($C$49,ServantLevelUPdStatus!$B$5:$AD$29,6,FALSE)+(VLOOKUP($C$49,ServantLevelUPdStatus!$B$5:$AD$29,6,FALSE)*0.5*(Simulator_AttkPow!$D50-1))</f>
        <v>447.02103333333338</v>
      </c>
      <c r="F50" s="139">
        <f>F49</f>
        <v>178.80841333333336</v>
      </c>
      <c r="H50" s="138">
        <f>VLOOKUP($C$49,Servant!$B$5:$AD$29,18,FALSE)+($F50+($F50*0.5*($D50-1)))*(H$3-1)</f>
        <v>652</v>
      </c>
      <c r="I50" s="138">
        <f>VLOOKUP($C$49,Servant!$B$5:$AD$29,18,FALSE)+($F50+($F50*0.5*($D50-1)))*(I$3-1)</f>
        <v>1099.0210333333334</v>
      </c>
      <c r="J50" s="138">
        <f>VLOOKUP($C$49,Servant!$B$5:$AD$29,18,FALSE)+($F50+($F50*0.5*($D50-1)))*(J$3-1)</f>
        <v>1546.0420666666669</v>
      </c>
      <c r="K50" s="138">
        <f>VLOOKUP($C$49,Servant!$B$5:$AD$29,18,FALSE)+($F50+($F50*0.5*($D50-1)))*(K$3-1)</f>
        <v>1993.0631000000001</v>
      </c>
      <c r="L50" s="138">
        <f>VLOOKUP($C$49,Servant!$B$5:$AD$29,18,FALSE)+($F50+($F50*0.5*($D50-1)))*(L$3-1)</f>
        <v>2440.0841333333337</v>
      </c>
      <c r="M50" s="138">
        <f>VLOOKUP($C$49,Servant!$B$5:$AD$29,18,FALSE)+($F50+($F50*0.5*($D50-1)))*(M$3-1)</f>
        <v>2887.1051666666667</v>
      </c>
      <c r="N50" s="138">
        <f>VLOOKUP($C$49,Servant!$B$5:$AD$29,18,FALSE)+($F50+($F50*0.5*($D50-1)))*(N$3-1)</f>
        <v>3334.1262000000002</v>
      </c>
      <c r="O50" s="138">
        <f>VLOOKUP($C$49,Servant!$B$5:$AD$29,18,FALSE)+($F50+($F50*0.5*($D50-1)))*(O$3-1)</f>
        <v>3781.1472333333336</v>
      </c>
      <c r="P50" s="138">
        <f>VLOOKUP($C$49,Servant!$B$5:$AD$29,18,FALSE)+($F50+($F50*0.5*($D50-1)))*(P$3-1)</f>
        <v>4228.1682666666675</v>
      </c>
      <c r="Q50" s="138">
        <f>VLOOKUP($C$49,Servant!$B$5:$AD$29,18,FALSE)+($F50+($F50*0.5*($D50-1)))*(Q$3-1)</f>
        <v>4675.1893</v>
      </c>
      <c r="R50" s="138">
        <f>VLOOKUP($C$49,Servant!$B$5:$AD$29,18,FALSE)+($F50+($F50*0.5*($D50-1)))*(R$3-1)</f>
        <v>5122.2103333333334</v>
      </c>
      <c r="S50" s="138">
        <f>VLOOKUP($C$49,Servant!$B$5:$AD$29,18,FALSE)+($F50+($F50*0.5*($D50-1)))*(S$3-1)</f>
        <v>5569.2313666666669</v>
      </c>
      <c r="T50" s="138">
        <f>VLOOKUP($C$49,Servant!$B$5:$AD$29,18,FALSE)+($F50+($F50*0.5*($D50-1)))*(T$3-1)</f>
        <v>6016.2524000000003</v>
      </c>
      <c r="U50" s="138">
        <f>VLOOKUP($C$49,Servant!$B$5:$AD$29,18,FALSE)+($F50+($F50*0.5*($D50-1)))*(U$3-1)</f>
        <v>6463.2734333333337</v>
      </c>
      <c r="V50" s="138">
        <f>VLOOKUP($C$49,Servant!$B$5:$AD$29,18,FALSE)+($F50+($F50*0.5*($D50-1)))*(V$3-1)</f>
        <v>6910.2944666666672</v>
      </c>
      <c r="W50" s="138">
        <f>VLOOKUP($C$49,Servant!$B$5:$AD$29,18,FALSE)+($F50+($F50*0.5*($D50-1)))*(W$3-1)</f>
        <v>7357.3155000000006</v>
      </c>
      <c r="X50" s="138">
        <f>VLOOKUP($C$49,Servant!$B$5:$AD$29,18,FALSE)+($F50+($F50*0.5*($D50-1)))*(X$3-1)</f>
        <v>7804.336533333334</v>
      </c>
      <c r="Y50" s="138">
        <f>VLOOKUP($C$49,Servant!$B$5:$AD$29,18,FALSE)+($F50+($F50*0.5*($D50-1)))*(Y$3-1)</f>
        <v>8251.3575666666675</v>
      </c>
      <c r="Z50" s="138">
        <f>VLOOKUP($C$49,Servant!$B$5:$AD$29,18,FALSE)+($F50+($F50*0.5*($D50-1)))*(Z$3-1)</f>
        <v>8698.3786</v>
      </c>
      <c r="AA50" s="138">
        <f>VLOOKUP($C$49,Servant!$B$5:$AD$29,18,FALSE)+($F50+($F50*0.5*($D50-1)))*(AA$3-1)</f>
        <v>9145.3996333333344</v>
      </c>
      <c r="AB50" s="138">
        <f>VLOOKUP($C$49,Servant!$B$5:$AD$29,18,FALSE)+($F50+($F50*0.5*($D50-1)))*(AB$3-1)</f>
        <v>9592.4206666666669</v>
      </c>
      <c r="AC50" s="138">
        <f>VLOOKUP($C$49,Servant!$B$5:$AD$29,18,FALSE)+($F50+($F50*0.5*($D50-1)))*(AC$3-1)</f>
        <v>10039.441700000001</v>
      </c>
      <c r="AD50" s="138">
        <f>VLOOKUP($C$49,Servant!$B$5:$AD$29,18,FALSE)+($F50+($F50*0.5*($D50-1)))*(AD$3-1)</f>
        <v>10486.462733333334</v>
      </c>
      <c r="AE50" s="138">
        <f>VLOOKUP($C$49,Servant!$B$5:$AD$29,18,FALSE)+($F50+($F50*0.5*($D50-1)))*(AE$3-1)</f>
        <v>10933.483766666668</v>
      </c>
      <c r="AF50" s="138">
        <f>VLOOKUP($C$49,Servant!$B$5:$AD$29,18,FALSE)+($F50+($F50*0.5*($D50-1)))*(AF$3-1)</f>
        <v>11380.504800000001</v>
      </c>
      <c r="AG50" s="138">
        <f>VLOOKUP($C$49,Servant!$B$5:$AD$29,18,FALSE)+($F50+($F50*0.5*($D50-1)))*(AG$3-1)</f>
        <v>11827.525833333335</v>
      </c>
      <c r="AH50" s="138">
        <f>VLOOKUP($C$49,Servant!$B$5:$AD$29,18,FALSE)+($F50+($F50*0.5*($D50-1)))*(AH$3-1)</f>
        <v>12274.546866666667</v>
      </c>
      <c r="AI50" s="138">
        <f>VLOOKUP($C$49,Servant!$B$5:$AD$29,18,FALSE)+($F50+($F50*0.5*($D50-1)))*(AI$3-1)</f>
        <v>12721.567900000002</v>
      </c>
      <c r="AJ50" s="138">
        <f>VLOOKUP($C$49,Servant!$B$5:$AD$29,18,FALSE)+($F50+($F50*0.5*($D50-1)))*(AJ$3-1)</f>
        <v>13168.588933333334</v>
      </c>
      <c r="AK50" s="138">
        <f>VLOOKUP($C$49,Servant!$B$5:$AD$29,18,FALSE)+($F50+($F50*0.5*($D50-1)))*(AK$3-1)</f>
        <v>13615.609966666669</v>
      </c>
    </row>
    <row r="51" spans="2:37" x14ac:dyDescent="0.3">
      <c r="B51" s="309"/>
      <c r="C51" s="317"/>
      <c r="D51" s="136">
        <v>5</v>
      </c>
      <c r="E51" s="137">
        <f>VLOOKUP($C$49,ServantLevelUPdStatus!$B$5:$AD$29,6,FALSE)+(VLOOKUP($C$49,ServantLevelUPdStatus!$B$5:$AD$29,6,FALSE)*0.5*(Simulator_AttkPow!$D51-1))</f>
        <v>536.42524000000003</v>
      </c>
      <c r="F51" s="139">
        <f>F50</f>
        <v>178.80841333333336</v>
      </c>
      <c r="H51" s="138">
        <f>VLOOKUP($C$49,Servant!$B$5:$AD$29,18,FALSE)+($F51+($F51*0.5*($D51-1)))*(H$3-1)</f>
        <v>652</v>
      </c>
      <c r="I51" s="138">
        <f>VLOOKUP($C$49,Servant!$B$5:$AD$29,18,FALSE)+($F51+($F51*0.5*($D51-1)))*(I$3-1)</f>
        <v>1188.42524</v>
      </c>
      <c r="J51" s="138">
        <f>VLOOKUP($C$49,Servant!$B$5:$AD$29,18,FALSE)+($F51+($F51*0.5*($D51-1)))*(J$3-1)</f>
        <v>1724.8504800000001</v>
      </c>
      <c r="K51" s="138">
        <f>VLOOKUP($C$49,Servant!$B$5:$AD$29,18,FALSE)+($F51+($F51*0.5*($D51-1)))*(K$3-1)</f>
        <v>2261.2757200000001</v>
      </c>
      <c r="L51" s="138">
        <f>VLOOKUP($C$49,Servant!$B$5:$AD$29,18,FALSE)+($F51+($F51*0.5*($D51-1)))*(L$3-1)</f>
        <v>2797.7009600000001</v>
      </c>
      <c r="M51" s="138">
        <f>VLOOKUP($C$49,Servant!$B$5:$AD$29,18,FALSE)+($F51+($F51*0.5*($D51-1)))*(M$3-1)</f>
        <v>3334.1262000000002</v>
      </c>
      <c r="N51" s="138">
        <f>VLOOKUP($C$49,Servant!$B$5:$AD$29,18,FALSE)+($F51+($F51*0.5*($D51-1)))*(N$3-1)</f>
        <v>3870.5514400000002</v>
      </c>
      <c r="O51" s="138">
        <f>VLOOKUP($C$49,Servant!$B$5:$AD$29,18,FALSE)+($F51+($F51*0.5*($D51-1)))*(O$3-1)</f>
        <v>4406.9766799999998</v>
      </c>
      <c r="P51" s="138">
        <f>VLOOKUP($C$49,Servant!$B$5:$AD$29,18,FALSE)+($F51+($F51*0.5*($D51-1)))*(P$3-1)</f>
        <v>4943.4019200000002</v>
      </c>
      <c r="Q51" s="138">
        <f>VLOOKUP($C$49,Servant!$B$5:$AD$29,18,FALSE)+($F51+($F51*0.5*($D51-1)))*(Q$3-1)</f>
        <v>5479.8271600000007</v>
      </c>
      <c r="R51" s="138">
        <f>VLOOKUP($C$49,Servant!$B$5:$AD$29,18,FALSE)+($F51+($F51*0.5*($D51-1)))*(R$3-1)</f>
        <v>6016.2524000000003</v>
      </c>
      <c r="S51" s="138">
        <f>VLOOKUP($C$49,Servant!$B$5:$AD$29,18,FALSE)+($F51+($F51*0.5*($D51-1)))*(S$3-1)</f>
        <v>6552.6776399999999</v>
      </c>
      <c r="T51" s="138">
        <f>VLOOKUP($C$49,Servant!$B$5:$AD$29,18,FALSE)+($F51+($F51*0.5*($D51-1)))*(T$3-1)</f>
        <v>7089.1028800000004</v>
      </c>
      <c r="U51" s="138">
        <f>VLOOKUP($C$49,Servant!$B$5:$AD$29,18,FALSE)+($F51+($F51*0.5*($D51-1)))*(U$3-1)</f>
        <v>7625.5281200000009</v>
      </c>
      <c r="V51" s="138">
        <f>VLOOKUP($C$49,Servant!$B$5:$AD$29,18,FALSE)+($F51+($F51*0.5*($D51-1)))*(V$3-1)</f>
        <v>8161.9533600000004</v>
      </c>
      <c r="W51" s="138">
        <f>VLOOKUP($C$49,Servant!$B$5:$AD$29,18,FALSE)+($F51+($F51*0.5*($D51-1)))*(W$3-1)</f>
        <v>8698.3786</v>
      </c>
      <c r="X51" s="138">
        <f>VLOOKUP($C$49,Servant!$B$5:$AD$29,18,FALSE)+($F51+($F51*0.5*($D51-1)))*(X$3-1)</f>
        <v>9234.8038400000005</v>
      </c>
      <c r="Y51" s="138">
        <f>VLOOKUP($C$49,Servant!$B$5:$AD$29,18,FALSE)+($F51+($F51*0.5*($D51-1)))*(Y$3-1)</f>
        <v>9771.229080000001</v>
      </c>
      <c r="Z51" s="138">
        <f>VLOOKUP($C$49,Servant!$B$5:$AD$29,18,FALSE)+($F51+($F51*0.5*($D51-1)))*(Z$3-1)</f>
        <v>10307.654320000001</v>
      </c>
      <c r="AA51" s="138">
        <f>VLOOKUP($C$49,Servant!$B$5:$AD$29,18,FALSE)+($F51+($F51*0.5*($D51-1)))*(AA$3-1)</f>
        <v>10844.07956</v>
      </c>
      <c r="AB51" s="138">
        <f>VLOOKUP($C$49,Servant!$B$5:$AD$29,18,FALSE)+($F51+($F51*0.5*($D51-1)))*(AB$3-1)</f>
        <v>11380.504800000001</v>
      </c>
      <c r="AC51" s="138">
        <f>VLOOKUP($C$49,Servant!$B$5:$AD$29,18,FALSE)+($F51+($F51*0.5*($D51-1)))*(AC$3-1)</f>
        <v>11916.930040000001</v>
      </c>
      <c r="AD51" s="138">
        <f>VLOOKUP($C$49,Servant!$B$5:$AD$29,18,FALSE)+($F51+($F51*0.5*($D51-1)))*(AD$3-1)</f>
        <v>12453.35528</v>
      </c>
      <c r="AE51" s="138">
        <f>VLOOKUP($C$49,Servant!$B$5:$AD$29,18,FALSE)+($F51+($F51*0.5*($D51-1)))*(AE$3-1)</f>
        <v>12989.78052</v>
      </c>
      <c r="AF51" s="138">
        <f>VLOOKUP($C$49,Servant!$B$5:$AD$29,18,FALSE)+($F51+($F51*0.5*($D51-1)))*(AF$3-1)</f>
        <v>13526.205760000001</v>
      </c>
      <c r="AG51" s="138">
        <f>VLOOKUP($C$49,Servant!$B$5:$AD$29,18,FALSE)+($F51+($F51*0.5*($D51-1)))*(AG$3-1)</f>
        <v>14062.631000000001</v>
      </c>
      <c r="AH51" s="138">
        <f>VLOOKUP($C$49,Servant!$B$5:$AD$29,18,FALSE)+($F51+($F51*0.5*($D51-1)))*(AH$3-1)</f>
        <v>14599.056240000002</v>
      </c>
      <c r="AI51" s="138">
        <f>VLOOKUP($C$49,Servant!$B$5:$AD$29,18,FALSE)+($F51+($F51*0.5*($D51-1)))*(AI$3-1)</f>
        <v>15135.48148</v>
      </c>
      <c r="AJ51" s="138">
        <f>VLOOKUP($C$49,Servant!$B$5:$AD$29,18,FALSE)+($F51+($F51*0.5*($D51-1)))*(AJ$3-1)</f>
        <v>15671.906720000001</v>
      </c>
      <c r="AK51" s="138">
        <f>VLOOKUP($C$49,Servant!$B$5:$AD$29,18,FALSE)+($F51+($F51*0.5*($D51-1)))*(AK$3-1)</f>
        <v>16208.331960000001</v>
      </c>
    </row>
    <row r="52" spans="2:37" x14ac:dyDescent="0.3">
      <c r="B52" s="309"/>
      <c r="C52" s="301" t="s">
        <v>290</v>
      </c>
      <c r="D52" s="129">
        <v>4</v>
      </c>
      <c r="E52" s="124">
        <f>VLOOKUP($C$52,ServantLevelUPdStatus!$B$5:$AD$29,6,FALSE)+(VLOOKUP($C$52,ServantLevelUPdStatus!$B$5:$AD$29,6,FALSE)*0.5*(Simulator_AttkPow!$D52-1))</f>
        <v>536.82666666666671</v>
      </c>
      <c r="F52" s="124">
        <f>VLOOKUP($C$52,ServantLevelUPdStatus!$B$5:$AD$29,6,FALSE)</f>
        <v>214.73066666666668</v>
      </c>
      <c r="H52" s="115">
        <f>VLOOKUP($C$52,Servant!$B$5:$AD$29,18,FALSE)+($F52+($F52*0.5*($D52-1)))*(H$3-1)</f>
        <v>787</v>
      </c>
      <c r="I52" s="115">
        <f>VLOOKUP($C$52,Servant!$B$5:$AD$29,18,FALSE)+($F52+($F52*0.5*($D52-1)))*(I$3-1)</f>
        <v>1323.8266666666668</v>
      </c>
      <c r="J52" s="115">
        <f>VLOOKUP($C$52,Servant!$B$5:$AD$29,18,FALSE)+($F52+($F52*0.5*($D52-1)))*(J$3-1)</f>
        <v>1860.6533333333334</v>
      </c>
      <c r="K52" s="115">
        <f>VLOOKUP($C$52,Servant!$B$5:$AD$29,18,FALSE)+($F52+($F52*0.5*($D52-1)))*(K$3-1)</f>
        <v>2397.48</v>
      </c>
      <c r="L52" s="115">
        <f>VLOOKUP($C$52,Servant!$B$5:$AD$29,18,FALSE)+($F52+($F52*0.5*($D52-1)))*(L$3-1)</f>
        <v>2934.3066666666668</v>
      </c>
      <c r="M52" s="115">
        <f>VLOOKUP($C$52,Servant!$B$5:$AD$29,18,FALSE)+($F52+($F52*0.5*($D52-1)))*(M$3-1)</f>
        <v>3471.1333333333337</v>
      </c>
      <c r="N52" s="115">
        <f>VLOOKUP($C$52,Servant!$B$5:$AD$29,18,FALSE)+($F52+($F52*0.5*($D52-1)))*(N$3-1)</f>
        <v>4007.96</v>
      </c>
      <c r="O52" s="115">
        <f>VLOOKUP($C$52,Servant!$B$5:$AD$29,18,FALSE)+($F52+($F52*0.5*($D52-1)))*(O$3-1)</f>
        <v>4544.7866666666669</v>
      </c>
      <c r="P52" s="115">
        <f>VLOOKUP($C$52,Servant!$B$5:$AD$29,18,FALSE)+($F52+($F52*0.5*($D52-1)))*(P$3-1)</f>
        <v>5081.6133333333337</v>
      </c>
      <c r="Q52" s="115">
        <f>VLOOKUP($C$52,Servant!$B$5:$AD$29,18,FALSE)+($F52+($F52*0.5*($D52-1)))*(Q$3-1)</f>
        <v>5618.4400000000005</v>
      </c>
      <c r="R52" s="115">
        <f>VLOOKUP($C$52,Servant!$B$5:$AD$29,18,FALSE)+($F52+($F52*0.5*($D52-1)))*(R$3-1)</f>
        <v>6155.2666666666673</v>
      </c>
      <c r="S52" s="115">
        <f>VLOOKUP($C$52,Servant!$B$5:$AD$29,18,FALSE)+($F52+($F52*0.5*($D52-1)))*(S$3-1)</f>
        <v>6692.0933333333342</v>
      </c>
      <c r="T52" s="115">
        <f>VLOOKUP($C$52,Servant!$B$5:$AD$29,18,FALSE)+($F52+($F52*0.5*($D52-1)))*(T$3-1)</f>
        <v>7228.92</v>
      </c>
      <c r="U52" s="115">
        <f>VLOOKUP($C$52,Servant!$B$5:$AD$29,18,FALSE)+($F52+($F52*0.5*($D52-1)))*(U$3-1)</f>
        <v>7765.7466666666669</v>
      </c>
      <c r="V52" s="115">
        <f>VLOOKUP($C$52,Servant!$B$5:$AD$29,18,FALSE)+($F52+($F52*0.5*($D52-1)))*(V$3-1)</f>
        <v>8302.5733333333337</v>
      </c>
      <c r="W52" s="115">
        <f>VLOOKUP($C$52,Servant!$B$5:$AD$29,18,FALSE)+($F52+($F52*0.5*($D52-1)))*(W$3-1)</f>
        <v>8839.4000000000015</v>
      </c>
      <c r="X52" s="115">
        <f>VLOOKUP($C$52,Servant!$B$5:$AD$29,18,FALSE)+($F52+($F52*0.5*($D52-1)))*(X$3-1)</f>
        <v>9376.2266666666674</v>
      </c>
      <c r="Y52" s="115">
        <f>VLOOKUP($C$52,Servant!$B$5:$AD$29,18,FALSE)+($F52+($F52*0.5*($D52-1)))*(Y$3-1)</f>
        <v>9913.0533333333333</v>
      </c>
      <c r="Z52" s="115">
        <f>VLOOKUP($C$52,Servant!$B$5:$AD$29,18,FALSE)+($F52+($F52*0.5*($D52-1)))*(Z$3-1)</f>
        <v>10449.880000000001</v>
      </c>
      <c r="AA52" s="115">
        <f>VLOOKUP($C$52,Servant!$B$5:$AD$29,18,FALSE)+($F52+($F52*0.5*($D52-1)))*(AA$3-1)</f>
        <v>10986.706666666667</v>
      </c>
      <c r="AB52" s="115">
        <f>VLOOKUP($C$52,Servant!$B$5:$AD$29,18,FALSE)+($F52+($F52*0.5*($D52-1)))*(AB$3-1)</f>
        <v>11523.533333333335</v>
      </c>
      <c r="AC52" s="115">
        <f>VLOOKUP($C$52,Servant!$B$5:$AD$29,18,FALSE)+($F52+($F52*0.5*($D52-1)))*(AC$3-1)</f>
        <v>12060.36</v>
      </c>
      <c r="AD52" s="115">
        <f>VLOOKUP($C$52,Servant!$B$5:$AD$29,18,FALSE)+($F52+($F52*0.5*($D52-1)))*(AD$3-1)</f>
        <v>12597.186666666668</v>
      </c>
      <c r="AE52" s="115">
        <f>VLOOKUP($C$52,Servant!$B$5:$AD$29,18,FALSE)+($F52+($F52*0.5*($D52-1)))*(AE$3-1)</f>
        <v>13134.013333333334</v>
      </c>
      <c r="AF52" s="115">
        <f>VLOOKUP($C$52,Servant!$B$5:$AD$29,18,FALSE)+($F52+($F52*0.5*($D52-1)))*(AF$3-1)</f>
        <v>13670.84</v>
      </c>
      <c r="AG52" s="115">
        <f>VLOOKUP($C$52,Servant!$B$5:$AD$29,18,FALSE)+($F52+($F52*0.5*($D52-1)))*(AG$3-1)</f>
        <v>14207.666666666668</v>
      </c>
      <c r="AH52" s="115">
        <f>VLOOKUP($C$52,Servant!$B$5:$AD$29,18,FALSE)+($F52+($F52*0.5*($D52-1)))*(AH$3-1)</f>
        <v>14744.493333333334</v>
      </c>
      <c r="AI52" s="115">
        <f>VLOOKUP($C$52,Servant!$B$5:$AD$29,18,FALSE)+($F52+($F52*0.5*($D52-1)))*(AI$3-1)</f>
        <v>15281.320000000002</v>
      </c>
      <c r="AJ52" s="115">
        <f>VLOOKUP($C$52,Servant!$B$5:$AD$29,18,FALSE)+($F52+($F52*0.5*($D52-1)))*(AJ$3-1)</f>
        <v>15818.146666666667</v>
      </c>
      <c r="AK52" s="115">
        <f>VLOOKUP($C$52,Servant!$B$5:$AD$29,18,FALSE)+($F52+($F52*0.5*($D52-1)))*(AK$3-1)</f>
        <v>16354.973333333335</v>
      </c>
    </row>
    <row r="53" spans="2:37" x14ac:dyDescent="0.3">
      <c r="B53" s="309"/>
      <c r="C53" s="302"/>
      <c r="D53" s="129">
        <v>5</v>
      </c>
      <c r="E53" s="124">
        <f>VLOOKUP($C$52,ServantLevelUPdStatus!$B$5:$AD$29,6,FALSE)+(VLOOKUP($C$52,ServantLevelUPdStatus!$B$5:$AD$29,6,FALSE)*0.5*(Simulator_AttkPow!$D53-1))</f>
        <v>644.19200000000001</v>
      </c>
      <c r="F53" s="123">
        <f>F52</f>
        <v>214.73066666666668</v>
      </c>
      <c r="H53" s="115">
        <f>VLOOKUP($C$52,Servant!$B$5:$AD$29,18,FALSE)+($F53+($F53*0.5*($D53-1)))*(H$3-1)</f>
        <v>787</v>
      </c>
      <c r="I53" s="115">
        <f>VLOOKUP($C$52,Servant!$B$5:$AD$29,18,FALSE)+($F53+($F53*0.5*($D53-1)))*(I$3-1)</f>
        <v>1431.192</v>
      </c>
      <c r="J53" s="115">
        <f>VLOOKUP($C$52,Servant!$B$5:$AD$29,18,FALSE)+($F53+($F53*0.5*($D53-1)))*(J$3-1)</f>
        <v>2075.384</v>
      </c>
      <c r="K53" s="115">
        <f>VLOOKUP($C$52,Servant!$B$5:$AD$29,18,FALSE)+($F53+($F53*0.5*($D53-1)))*(K$3-1)</f>
        <v>2719.576</v>
      </c>
      <c r="L53" s="115">
        <f>VLOOKUP($C$52,Servant!$B$5:$AD$29,18,FALSE)+($F53+($F53*0.5*($D53-1)))*(L$3-1)</f>
        <v>3363.768</v>
      </c>
      <c r="M53" s="115">
        <f>VLOOKUP($C$52,Servant!$B$5:$AD$29,18,FALSE)+($F53+($F53*0.5*($D53-1)))*(M$3-1)</f>
        <v>4007.96</v>
      </c>
      <c r="N53" s="115">
        <f>VLOOKUP($C$52,Servant!$B$5:$AD$29,18,FALSE)+($F53+($F53*0.5*($D53-1)))*(N$3-1)</f>
        <v>4652.152</v>
      </c>
      <c r="O53" s="115">
        <f>VLOOKUP($C$52,Servant!$B$5:$AD$29,18,FALSE)+($F53+($F53*0.5*($D53-1)))*(O$3-1)</f>
        <v>5296.3440000000001</v>
      </c>
      <c r="P53" s="115">
        <f>VLOOKUP($C$52,Servant!$B$5:$AD$29,18,FALSE)+($F53+($F53*0.5*($D53-1)))*(P$3-1)</f>
        <v>5940.5360000000001</v>
      </c>
      <c r="Q53" s="115">
        <f>VLOOKUP($C$52,Servant!$B$5:$AD$29,18,FALSE)+($F53+($F53*0.5*($D53-1)))*(Q$3-1)</f>
        <v>6584.7280000000001</v>
      </c>
      <c r="R53" s="115">
        <f>VLOOKUP($C$52,Servant!$B$5:$AD$29,18,FALSE)+($F53+($F53*0.5*($D53-1)))*(R$3-1)</f>
        <v>7228.92</v>
      </c>
      <c r="S53" s="115">
        <f>VLOOKUP($C$52,Servant!$B$5:$AD$29,18,FALSE)+($F53+($F53*0.5*($D53-1)))*(S$3-1)</f>
        <v>7873.1120000000001</v>
      </c>
      <c r="T53" s="115">
        <f>VLOOKUP($C$52,Servant!$B$5:$AD$29,18,FALSE)+($F53+($F53*0.5*($D53-1)))*(T$3-1)</f>
        <v>8517.3040000000001</v>
      </c>
      <c r="U53" s="115">
        <f>VLOOKUP($C$52,Servant!$B$5:$AD$29,18,FALSE)+($F53+($F53*0.5*($D53-1)))*(U$3-1)</f>
        <v>9161.4959999999992</v>
      </c>
      <c r="V53" s="115">
        <f>VLOOKUP($C$52,Servant!$B$5:$AD$29,18,FALSE)+($F53+($F53*0.5*($D53-1)))*(V$3-1)</f>
        <v>9805.6880000000001</v>
      </c>
      <c r="W53" s="115">
        <f>VLOOKUP($C$52,Servant!$B$5:$AD$29,18,FALSE)+($F53+($F53*0.5*($D53-1)))*(W$3-1)</f>
        <v>10449.880000000001</v>
      </c>
      <c r="X53" s="115">
        <f>VLOOKUP($C$52,Servant!$B$5:$AD$29,18,FALSE)+($F53+($F53*0.5*($D53-1)))*(X$3-1)</f>
        <v>11094.072</v>
      </c>
      <c r="Y53" s="115">
        <f>VLOOKUP($C$52,Servant!$B$5:$AD$29,18,FALSE)+($F53+($F53*0.5*($D53-1)))*(Y$3-1)</f>
        <v>11738.263999999999</v>
      </c>
      <c r="Z53" s="115">
        <f>VLOOKUP($C$52,Servant!$B$5:$AD$29,18,FALSE)+($F53+($F53*0.5*($D53-1)))*(Z$3-1)</f>
        <v>12382.456</v>
      </c>
      <c r="AA53" s="115">
        <f>VLOOKUP($C$52,Servant!$B$5:$AD$29,18,FALSE)+($F53+($F53*0.5*($D53-1)))*(AA$3-1)</f>
        <v>13026.648000000001</v>
      </c>
      <c r="AB53" s="115">
        <f>VLOOKUP($C$52,Servant!$B$5:$AD$29,18,FALSE)+($F53+($F53*0.5*($D53-1)))*(AB$3-1)</f>
        <v>13670.84</v>
      </c>
      <c r="AC53" s="115">
        <f>VLOOKUP($C$52,Servant!$B$5:$AD$29,18,FALSE)+($F53+($F53*0.5*($D53-1)))*(AC$3-1)</f>
        <v>14315.031999999999</v>
      </c>
      <c r="AD53" s="115">
        <f>VLOOKUP($C$52,Servant!$B$5:$AD$29,18,FALSE)+($F53+($F53*0.5*($D53-1)))*(AD$3-1)</f>
        <v>14959.224</v>
      </c>
      <c r="AE53" s="115">
        <f>VLOOKUP($C$52,Servant!$B$5:$AD$29,18,FALSE)+($F53+($F53*0.5*($D53-1)))*(AE$3-1)</f>
        <v>15603.416000000001</v>
      </c>
      <c r="AF53" s="115">
        <f>VLOOKUP($C$52,Servant!$B$5:$AD$29,18,FALSE)+($F53+($F53*0.5*($D53-1)))*(AF$3-1)</f>
        <v>16247.608</v>
      </c>
      <c r="AG53" s="115">
        <f>VLOOKUP($C$52,Servant!$B$5:$AD$29,18,FALSE)+($F53+($F53*0.5*($D53-1)))*(AG$3-1)</f>
        <v>16891.8</v>
      </c>
      <c r="AH53" s="115">
        <f>VLOOKUP($C$52,Servant!$B$5:$AD$29,18,FALSE)+($F53+($F53*0.5*($D53-1)))*(AH$3-1)</f>
        <v>17535.991999999998</v>
      </c>
      <c r="AI53" s="115">
        <f>VLOOKUP($C$52,Servant!$B$5:$AD$29,18,FALSE)+($F53+($F53*0.5*($D53-1)))*(AI$3-1)</f>
        <v>18180.184000000001</v>
      </c>
      <c r="AJ53" s="115">
        <f>VLOOKUP($C$52,Servant!$B$5:$AD$29,18,FALSE)+($F53+($F53*0.5*($D53-1)))*(AJ$3-1)</f>
        <v>18824.376</v>
      </c>
      <c r="AK53" s="115">
        <f>VLOOKUP($C$52,Servant!$B$5:$AD$29,18,FALSE)+($F53+($F53*0.5*($D53-1)))*(AK$3-1)</f>
        <v>19468.567999999999</v>
      </c>
    </row>
    <row r="54" spans="2:37" x14ac:dyDescent="0.3">
      <c r="B54" s="309"/>
      <c r="C54" s="303"/>
      <c r="D54" s="129">
        <v>6</v>
      </c>
      <c r="E54" s="124">
        <f>VLOOKUP($C$52,ServantLevelUPdStatus!$B$5:$AD$29,6,FALSE)+(VLOOKUP($C$52,ServantLevelUPdStatus!$B$5:$AD$29,6,FALSE)*0.5*(Simulator_AttkPow!$D54-1))</f>
        <v>751.55733333333342</v>
      </c>
      <c r="F54" s="123">
        <f>F53</f>
        <v>214.73066666666668</v>
      </c>
      <c r="H54" s="115">
        <f>VLOOKUP($C$52,Servant!$B$5:$AD$29,18,FALSE)+($F54+($F54*0.5*($D54-1)))*(H$3-1)</f>
        <v>787</v>
      </c>
      <c r="I54" s="115">
        <f>VLOOKUP($C$52,Servant!$B$5:$AD$29,18,FALSE)+($F54+($F54*0.5*($D54-1)))*(I$3-1)</f>
        <v>1538.5573333333334</v>
      </c>
      <c r="J54" s="115">
        <f>VLOOKUP($C$52,Servant!$B$5:$AD$29,18,FALSE)+($F54+($F54*0.5*($D54-1)))*(J$3-1)</f>
        <v>2290.1146666666668</v>
      </c>
      <c r="K54" s="115">
        <f>VLOOKUP($C$52,Servant!$B$5:$AD$29,18,FALSE)+($F54+($F54*0.5*($D54-1)))*(K$3-1)</f>
        <v>3041.6720000000005</v>
      </c>
      <c r="L54" s="115">
        <f>VLOOKUP($C$52,Servant!$B$5:$AD$29,18,FALSE)+($F54+($F54*0.5*($D54-1)))*(L$3-1)</f>
        <v>3793.2293333333337</v>
      </c>
      <c r="M54" s="115">
        <f>VLOOKUP($C$52,Servant!$B$5:$AD$29,18,FALSE)+($F54+($F54*0.5*($D54-1)))*(M$3-1)</f>
        <v>4544.7866666666669</v>
      </c>
      <c r="N54" s="115">
        <f>VLOOKUP($C$52,Servant!$B$5:$AD$29,18,FALSE)+($F54+($F54*0.5*($D54-1)))*(N$3-1)</f>
        <v>5296.344000000001</v>
      </c>
      <c r="O54" s="115">
        <f>VLOOKUP($C$52,Servant!$B$5:$AD$29,18,FALSE)+($F54+($F54*0.5*($D54-1)))*(O$3-1)</f>
        <v>6047.9013333333342</v>
      </c>
      <c r="P54" s="115">
        <f>VLOOKUP($C$52,Servant!$B$5:$AD$29,18,FALSE)+($F54+($F54*0.5*($D54-1)))*(P$3-1)</f>
        <v>6799.4586666666673</v>
      </c>
      <c r="Q54" s="115">
        <f>VLOOKUP($C$52,Servant!$B$5:$AD$29,18,FALSE)+($F54+($F54*0.5*($D54-1)))*(Q$3-1)</f>
        <v>7551.0160000000005</v>
      </c>
      <c r="R54" s="115">
        <f>VLOOKUP($C$52,Servant!$B$5:$AD$29,18,FALSE)+($F54+($F54*0.5*($D54-1)))*(R$3-1)</f>
        <v>8302.5733333333337</v>
      </c>
      <c r="S54" s="115">
        <f>VLOOKUP($C$52,Servant!$B$5:$AD$29,18,FALSE)+($F54+($F54*0.5*($D54-1)))*(S$3-1)</f>
        <v>9054.1306666666678</v>
      </c>
      <c r="T54" s="115">
        <f>VLOOKUP($C$52,Servant!$B$5:$AD$29,18,FALSE)+($F54+($F54*0.5*($D54-1)))*(T$3-1)</f>
        <v>9805.6880000000019</v>
      </c>
      <c r="U54" s="115">
        <f>VLOOKUP($C$52,Servant!$B$5:$AD$29,18,FALSE)+($F54+($F54*0.5*($D54-1)))*(U$3-1)</f>
        <v>10557.245333333334</v>
      </c>
      <c r="V54" s="115">
        <f>VLOOKUP($C$52,Servant!$B$5:$AD$29,18,FALSE)+($F54+($F54*0.5*($D54-1)))*(V$3-1)</f>
        <v>11308.802666666668</v>
      </c>
      <c r="W54" s="115">
        <f>VLOOKUP($C$52,Servant!$B$5:$AD$29,18,FALSE)+($F54+($F54*0.5*($D54-1)))*(W$3-1)</f>
        <v>12060.36</v>
      </c>
      <c r="X54" s="115">
        <f>VLOOKUP($C$52,Servant!$B$5:$AD$29,18,FALSE)+($F54+($F54*0.5*($D54-1)))*(X$3-1)</f>
        <v>12811.917333333335</v>
      </c>
      <c r="Y54" s="115">
        <f>VLOOKUP($C$52,Servant!$B$5:$AD$29,18,FALSE)+($F54+($F54*0.5*($D54-1)))*(Y$3-1)</f>
        <v>13563.474666666669</v>
      </c>
      <c r="Z54" s="115">
        <f>VLOOKUP($C$52,Servant!$B$5:$AD$29,18,FALSE)+($F54+($F54*0.5*($D54-1)))*(Z$3-1)</f>
        <v>14315.032000000001</v>
      </c>
      <c r="AA54" s="115">
        <f>VLOOKUP($C$52,Servant!$B$5:$AD$29,18,FALSE)+($F54+($F54*0.5*($D54-1)))*(AA$3-1)</f>
        <v>15066.589333333335</v>
      </c>
      <c r="AB54" s="115">
        <f>VLOOKUP($C$52,Servant!$B$5:$AD$29,18,FALSE)+($F54+($F54*0.5*($D54-1)))*(AB$3-1)</f>
        <v>15818.146666666667</v>
      </c>
      <c r="AC54" s="115">
        <f>VLOOKUP($C$52,Servant!$B$5:$AD$29,18,FALSE)+($F54+($F54*0.5*($D54-1)))*(AC$3-1)</f>
        <v>16569.704000000002</v>
      </c>
      <c r="AD54" s="115">
        <f>VLOOKUP($C$52,Servant!$B$5:$AD$29,18,FALSE)+($F54+($F54*0.5*($D54-1)))*(AD$3-1)</f>
        <v>17321.261333333336</v>
      </c>
      <c r="AE54" s="115">
        <f>VLOOKUP($C$52,Servant!$B$5:$AD$29,18,FALSE)+($F54+($F54*0.5*($D54-1)))*(AE$3-1)</f>
        <v>18072.81866666667</v>
      </c>
      <c r="AF54" s="115">
        <f>VLOOKUP($C$52,Servant!$B$5:$AD$29,18,FALSE)+($F54+($F54*0.5*($D54-1)))*(AF$3-1)</f>
        <v>18824.376000000004</v>
      </c>
      <c r="AG54" s="115">
        <f>VLOOKUP($C$52,Servant!$B$5:$AD$29,18,FALSE)+($F54+($F54*0.5*($D54-1)))*(AG$3-1)</f>
        <v>19575.933333333334</v>
      </c>
      <c r="AH54" s="115">
        <f>VLOOKUP($C$52,Servant!$B$5:$AD$29,18,FALSE)+($F54+($F54*0.5*($D54-1)))*(AH$3-1)</f>
        <v>20327.490666666668</v>
      </c>
      <c r="AI54" s="115">
        <f>VLOOKUP($C$52,Servant!$B$5:$AD$29,18,FALSE)+($F54+($F54*0.5*($D54-1)))*(AI$3-1)</f>
        <v>21079.048000000003</v>
      </c>
      <c r="AJ54" s="115">
        <f>VLOOKUP($C$52,Servant!$B$5:$AD$29,18,FALSE)+($F54+($F54*0.5*($D54-1)))*(AJ$3-1)</f>
        <v>21830.605333333337</v>
      </c>
      <c r="AK54" s="115">
        <f>VLOOKUP($C$52,Servant!$B$5:$AD$29,18,FALSE)+($F54+($F54*0.5*($D54-1)))*(AK$3-1)</f>
        <v>22582.162666666671</v>
      </c>
    </row>
    <row r="55" spans="2:37" x14ac:dyDescent="0.3">
      <c r="B55" s="309"/>
      <c r="C55" s="304" t="s">
        <v>291</v>
      </c>
      <c r="D55" s="144">
        <v>4</v>
      </c>
      <c r="E55" s="145">
        <f>VLOOKUP($C$55,ServantLevelUPdStatus!$B$5:$AD$29,6,FALSE)+(VLOOKUP($C$55,ServantLevelUPdStatus!$B$5:$AD$29,6,FALSE)*0.5*(Simulator_AttkPow!$D55-1))</f>
        <v>472.40746666666666</v>
      </c>
      <c r="F55" s="145">
        <f>VLOOKUP($C$55,ServantLevelUPdStatus!$B$5:$AD$29,6,FALSE)</f>
        <v>188.96298666666667</v>
      </c>
      <c r="H55" s="146">
        <f>VLOOKUP($C$55,Servant!$B$5:$AD$29,18,FALSE)+($F55+($F55*0.5*($D55-1)))*(H$3-1)</f>
        <v>692</v>
      </c>
      <c r="I55" s="146">
        <f>VLOOKUP($C$55,Servant!$B$5:$AD$29,18,FALSE)+($F55+($F55*0.5*($D55-1)))*(I$3-1)</f>
        <v>1164.4074666666666</v>
      </c>
      <c r="J55" s="146">
        <f>VLOOKUP($C$55,Servant!$B$5:$AD$29,18,FALSE)+($F55+($F55*0.5*($D55-1)))*(J$3-1)</f>
        <v>1636.8149333333333</v>
      </c>
      <c r="K55" s="146">
        <f>VLOOKUP($C$55,Servant!$B$5:$AD$29,18,FALSE)+($F55+($F55*0.5*($D55-1)))*(K$3-1)</f>
        <v>2109.2224000000001</v>
      </c>
      <c r="L55" s="146">
        <f>VLOOKUP($C$55,Servant!$B$5:$AD$29,18,FALSE)+($F55+($F55*0.5*($D55-1)))*(L$3-1)</f>
        <v>2581.6298666666667</v>
      </c>
      <c r="M55" s="146">
        <f>VLOOKUP($C$55,Servant!$B$5:$AD$29,18,FALSE)+($F55+($F55*0.5*($D55-1)))*(M$3-1)</f>
        <v>3054.0373333333332</v>
      </c>
      <c r="N55" s="146">
        <f>VLOOKUP($C$55,Servant!$B$5:$AD$29,18,FALSE)+($F55+($F55*0.5*($D55-1)))*(N$3-1)</f>
        <v>3526.4448000000002</v>
      </c>
      <c r="O55" s="146">
        <f>VLOOKUP($C$55,Servant!$B$5:$AD$29,18,FALSE)+($F55+($F55*0.5*($D55-1)))*(O$3-1)</f>
        <v>3998.8522666666668</v>
      </c>
      <c r="P55" s="146">
        <f>VLOOKUP($C$55,Servant!$B$5:$AD$29,18,FALSE)+($F55+($F55*0.5*($D55-1)))*(P$3-1)</f>
        <v>4471.2597333333333</v>
      </c>
      <c r="Q55" s="146">
        <f>VLOOKUP($C$55,Servant!$B$5:$AD$29,18,FALSE)+($F55+($F55*0.5*($D55-1)))*(Q$3-1)</f>
        <v>4943.6671999999999</v>
      </c>
      <c r="R55" s="146">
        <f>VLOOKUP($C$55,Servant!$B$5:$AD$29,18,FALSE)+($F55+($F55*0.5*($D55-1)))*(R$3-1)</f>
        <v>5416.0746666666664</v>
      </c>
      <c r="S55" s="146">
        <f>VLOOKUP($C$55,Servant!$B$5:$AD$29,18,FALSE)+($F55+($F55*0.5*($D55-1)))*(S$3-1)</f>
        <v>5888.482133333333</v>
      </c>
      <c r="T55" s="146">
        <f>VLOOKUP($C$55,Servant!$B$5:$AD$29,18,FALSE)+($F55+($F55*0.5*($D55-1)))*(T$3-1)</f>
        <v>6360.8896000000004</v>
      </c>
      <c r="U55" s="146">
        <f>VLOOKUP($C$55,Servant!$B$5:$AD$29,18,FALSE)+($F55+($F55*0.5*($D55-1)))*(U$3-1)</f>
        <v>6833.297066666667</v>
      </c>
      <c r="V55" s="146">
        <f>VLOOKUP($C$55,Servant!$B$5:$AD$29,18,FALSE)+($F55+($F55*0.5*($D55-1)))*(V$3-1)</f>
        <v>7305.7045333333335</v>
      </c>
      <c r="W55" s="146">
        <f>VLOOKUP($C$55,Servant!$B$5:$AD$29,18,FALSE)+($F55+($F55*0.5*($D55-1)))*(W$3-1)</f>
        <v>7778.1120000000001</v>
      </c>
      <c r="X55" s="146">
        <f>VLOOKUP($C$55,Servant!$B$5:$AD$29,18,FALSE)+($F55+($F55*0.5*($D55-1)))*(X$3-1)</f>
        <v>8250.5194666666666</v>
      </c>
      <c r="Y55" s="146">
        <f>VLOOKUP($C$55,Servant!$B$5:$AD$29,18,FALSE)+($F55+($F55*0.5*($D55-1)))*(Y$3-1)</f>
        <v>8722.9269333333323</v>
      </c>
      <c r="Z55" s="146">
        <f>VLOOKUP($C$55,Servant!$B$5:$AD$29,18,FALSE)+($F55+($F55*0.5*($D55-1)))*(Z$3-1)</f>
        <v>9195.3343999999997</v>
      </c>
      <c r="AA55" s="146">
        <f>VLOOKUP($C$55,Servant!$B$5:$AD$29,18,FALSE)+($F55+($F55*0.5*($D55-1)))*(AA$3-1)</f>
        <v>9667.7418666666672</v>
      </c>
      <c r="AB55" s="146">
        <f>VLOOKUP($C$55,Servant!$B$5:$AD$29,18,FALSE)+($F55+($F55*0.5*($D55-1)))*(AB$3-1)</f>
        <v>10140.149333333333</v>
      </c>
      <c r="AC55" s="146">
        <f>VLOOKUP($C$55,Servant!$B$5:$AD$29,18,FALSE)+($F55+($F55*0.5*($D55-1)))*(AC$3-1)</f>
        <v>10612.5568</v>
      </c>
      <c r="AD55" s="146">
        <f>VLOOKUP($C$55,Servant!$B$5:$AD$29,18,FALSE)+($F55+($F55*0.5*($D55-1)))*(AD$3-1)</f>
        <v>11084.964266666666</v>
      </c>
      <c r="AE55" s="146">
        <f>VLOOKUP($C$55,Servant!$B$5:$AD$29,18,FALSE)+($F55+($F55*0.5*($D55-1)))*(AE$3-1)</f>
        <v>11557.371733333333</v>
      </c>
      <c r="AF55" s="146">
        <f>VLOOKUP($C$55,Servant!$B$5:$AD$29,18,FALSE)+($F55+($F55*0.5*($D55-1)))*(AF$3-1)</f>
        <v>12029.779200000001</v>
      </c>
      <c r="AG55" s="146">
        <f>VLOOKUP($C$55,Servant!$B$5:$AD$29,18,FALSE)+($F55+($F55*0.5*($D55-1)))*(AG$3-1)</f>
        <v>12502.186666666666</v>
      </c>
      <c r="AH55" s="146">
        <f>VLOOKUP($C$55,Servant!$B$5:$AD$29,18,FALSE)+($F55+($F55*0.5*($D55-1)))*(AH$3-1)</f>
        <v>12974.594133333334</v>
      </c>
      <c r="AI55" s="146">
        <f>VLOOKUP($C$55,Servant!$B$5:$AD$29,18,FALSE)+($F55+($F55*0.5*($D55-1)))*(AI$3-1)</f>
        <v>13447.0016</v>
      </c>
      <c r="AJ55" s="146">
        <f>VLOOKUP($C$55,Servant!$B$5:$AD$29,18,FALSE)+($F55+($F55*0.5*($D55-1)))*(AJ$3-1)</f>
        <v>13919.409066666667</v>
      </c>
      <c r="AK55" s="146">
        <f>VLOOKUP($C$55,Servant!$B$5:$AD$29,18,FALSE)+($F55+($F55*0.5*($D55-1)))*(AK$3-1)</f>
        <v>14391.816533333333</v>
      </c>
    </row>
    <row r="56" spans="2:37" x14ac:dyDescent="0.3">
      <c r="B56" s="309"/>
      <c r="C56" s="305"/>
      <c r="D56" s="144">
        <v>5</v>
      </c>
      <c r="E56" s="145">
        <f>VLOOKUP($C$55,ServantLevelUPdStatus!$B$5:$AD$29,6,FALSE)+(VLOOKUP($C$55,ServantLevelUPdStatus!$B$5:$AD$29,6,FALSE)*0.5*(Simulator_AttkPow!$D56-1))</f>
        <v>566.88896</v>
      </c>
      <c r="F56" s="147">
        <f>F55</f>
        <v>188.96298666666667</v>
      </c>
      <c r="H56" s="146">
        <f>VLOOKUP($C$55,Servant!$B$5:$AD$29,18,FALSE)+($F56+($F56*0.5*($D56-1)))*(H$3-1)</f>
        <v>692</v>
      </c>
      <c r="I56" s="146">
        <f>VLOOKUP($C$55,Servant!$B$5:$AD$29,18,FALSE)+($F56+($F56*0.5*($D56-1)))*(I$3-1)</f>
        <v>1258.88896</v>
      </c>
      <c r="J56" s="146">
        <f>VLOOKUP($C$55,Servant!$B$5:$AD$29,18,FALSE)+($F56+($F56*0.5*($D56-1)))*(J$3-1)</f>
        <v>1825.77792</v>
      </c>
      <c r="K56" s="146">
        <f>VLOOKUP($C$55,Servant!$B$5:$AD$29,18,FALSE)+($F56+($F56*0.5*($D56-1)))*(K$3-1)</f>
        <v>2392.6668799999998</v>
      </c>
      <c r="L56" s="146">
        <f>VLOOKUP($C$55,Servant!$B$5:$AD$29,18,FALSE)+($F56+($F56*0.5*($D56-1)))*(L$3-1)</f>
        <v>2959.55584</v>
      </c>
      <c r="M56" s="146">
        <f>VLOOKUP($C$55,Servant!$B$5:$AD$29,18,FALSE)+($F56+($F56*0.5*($D56-1)))*(M$3-1)</f>
        <v>3526.4448000000002</v>
      </c>
      <c r="N56" s="146">
        <f>VLOOKUP($C$55,Servant!$B$5:$AD$29,18,FALSE)+($F56+($F56*0.5*($D56-1)))*(N$3-1)</f>
        <v>4093.33376</v>
      </c>
      <c r="O56" s="146">
        <f>VLOOKUP($C$55,Servant!$B$5:$AD$29,18,FALSE)+($F56+($F56*0.5*($D56-1)))*(O$3-1)</f>
        <v>4660.2227199999998</v>
      </c>
      <c r="P56" s="146">
        <f>VLOOKUP($C$55,Servant!$B$5:$AD$29,18,FALSE)+($F56+($F56*0.5*($D56-1)))*(P$3-1)</f>
        <v>5227.11168</v>
      </c>
      <c r="Q56" s="146">
        <f>VLOOKUP($C$55,Servant!$B$5:$AD$29,18,FALSE)+($F56+($F56*0.5*($D56-1)))*(Q$3-1)</f>
        <v>5794.0006400000002</v>
      </c>
      <c r="R56" s="146">
        <f>VLOOKUP($C$55,Servant!$B$5:$AD$29,18,FALSE)+($F56+($F56*0.5*($D56-1)))*(R$3-1)</f>
        <v>6360.8896000000004</v>
      </c>
      <c r="S56" s="146">
        <f>VLOOKUP($C$55,Servant!$B$5:$AD$29,18,FALSE)+($F56+($F56*0.5*($D56-1)))*(S$3-1)</f>
        <v>6927.7785599999997</v>
      </c>
      <c r="T56" s="146">
        <f>VLOOKUP($C$55,Servant!$B$5:$AD$29,18,FALSE)+($F56+($F56*0.5*($D56-1)))*(T$3-1)</f>
        <v>7494.66752</v>
      </c>
      <c r="U56" s="146">
        <f>VLOOKUP($C$55,Servant!$B$5:$AD$29,18,FALSE)+($F56+($F56*0.5*($D56-1)))*(U$3-1)</f>
        <v>8061.5564800000002</v>
      </c>
      <c r="V56" s="146">
        <f>VLOOKUP($C$55,Servant!$B$5:$AD$29,18,FALSE)+($F56+($F56*0.5*($D56-1)))*(V$3-1)</f>
        <v>8628.4454399999995</v>
      </c>
      <c r="W56" s="146">
        <f>VLOOKUP($C$55,Servant!$B$5:$AD$29,18,FALSE)+($F56+($F56*0.5*($D56-1)))*(W$3-1)</f>
        <v>9195.3343999999997</v>
      </c>
      <c r="X56" s="146">
        <f>VLOOKUP($C$55,Servant!$B$5:$AD$29,18,FALSE)+($F56+($F56*0.5*($D56-1)))*(X$3-1)</f>
        <v>9762.22336</v>
      </c>
      <c r="Y56" s="146">
        <f>VLOOKUP($C$55,Servant!$B$5:$AD$29,18,FALSE)+($F56+($F56*0.5*($D56-1)))*(Y$3-1)</f>
        <v>10329.11232</v>
      </c>
      <c r="Z56" s="146">
        <f>VLOOKUP($C$55,Servant!$B$5:$AD$29,18,FALSE)+($F56+($F56*0.5*($D56-1)))*(Z$3-1)</f>
        <v>10896.00128</v>
      </c>
      <c r="AA56" s="146">
        <f>VLOOKUP($C$55,Servant!$B$5:$AD$29,18,FALSE)+($F56+($F56*0.5*($D56-1)))*(AA$3-1)</f>
        <v>11462.890240000001</v>
      </c>
      <c r="AB56" s="146">
        <f>VLOOKUP($C$55,Servant!$B$5:$AD$29,18,FALSE)+($F56+($F56*0.5*($D56-1)))*(AB$3-1)</f>
        <v>12029.779200000001</v>
      </c>
      <c r="AC56" s="146">
        <f>VLOOKUP($C$55,Servant!$B$5:$AD$29,18,FALSE)+($F56+($F56*0.5*($D56-1)))*(AC$3-1)</f>
        <v>12596.668159999999</v>
      </c>
      <c r="AD56" s="146">
        <f>VLOOKUP($C$55,Servant!$B$5:$AD$29,18,FALSE)+($F56+($F56*0.5*($D56-1)))*(AD$3-1)</f>
        <v>13163.557119999999</v>
      </c>
      <c r="AE56" s="146">
        <f>VLOOKUP($C$55,Servant!$B$5:$AD$29,18,FALSE)+($F56+($F56*0.5*($D56-1)))*(AE$3-1)</f>
        <v>13730.44608</v>
      </c>
      <c r="AF56" s="146">
        <f>VLOOKUP($C$55,Servant!$B$5:$AD$29,18,FALSE)+($F56+($F56*0.5*($D56-1)))*(AF$3-1)</f>
        <v>14297.33504</v>
      </c>
      <c r="AG56" s="146">
        <f>VLOOKUP($C$55,Servant!$B$5:$AD$29,18,FALSE)+($F56+($F56*0.5*($D56-1)))*(AG$3-1)</f>
        <v>14864.224</v>
      </c>
      <c r="AH56" s="146">
        <f>VLOOKUP($C$55,Servant!$B$5:$AD$29,18,FALSE)+($F56+($F56*0.5*($D56-1)))*(AH$3-1)</f>
        <v>15431.11296</v>
      </c>
      <c r="AI56" s="146">
        <f>VLOOKUP($C$55,Servant!$B$5:$AD$29,18,FALSE)+($F56+($F56*0.5*($D56-1)))*(AI$3-1)</f>
        <v>15998.001920000001</v>
      </c>
      <c r="AJ56" s="146">
        <f>VLOOKUP($C$55,Servant!$B$5:$AD$29,18,FALSE)+($F56+($F56*0.5*($D56-1)))*(AJ$3-1)</f>
        <v>16564.890879999999</v>
      </c>
      <c r="AK56" s="146">
        <f>VLOOKUP($C$55,Servant!$B$5:$AD$29,18,FALSE)+($F56+($F56*0.5*($D56-1)))*(AK$3-1)</f>
        <v>17131.779839999999</v>
      </c>
    </row>
    <row r="57" spans="2:37" x14ac:dyDescent="0.3">
      <c r="B57" s="309"/>
      <c r="C57" s="306"/>
      <c r="D57" s="144">
        <v>6</v>
      </c>
      <c r="E57" s="145">
        <f>VLOOKUP($C$55,ServantLevelUPdStatus!$B$5:$AD$29,6,FALSE)+(VLOOKUP($C$55,ServantLevelUPdStatus!$B$5:$AD$29,6,FALSE)*0.5*(Simulator_AttkPow!$D57-1))</f>
        <v>661.37045333333333</v>
      </c>
      <c r="F57" s="147">
        <f>F56</f>
        <v>188.96298666666667</v>
      </c>
      <c r="H57" s="146">
        <f>VLOOKUP($C$55,Servant!$B$5:$AD$29,18,FALSE)+($F57+($F57*0.5*($D57-1)))*(H$3-1)</f>
        <v>692</v>
      </c>
      <c r="I57" s="146">
        <f>VLOOKUP($C$55,Servant!$B$5:$AD$29,18,FALSE)+($F57+($F57*0.5*($D57-1)))*(I$3-1)</f>
        <v>1353.3704533333334</v>
      </c>
      <c r="J57" s="146">
        <f>VLOOKUP($C$55,Servant!$B$5:$AD$29,18,FALSE)+($F57+($F57*0.5*($D57-1)))*(J$3-1)</f>
        <v>2014.7409066666667</v>
      </c>
      <c r="K57" s="146">
        <f>VLOOKUP($C$55,Servant!$B$5:$AD$29,18,FALSE)+($F57+($F57*0.5*($D57-1)))*(K$3-1)</f>
        <v>2676.1113599999999</v>
      </c>
      <c r="L57" s="146">
        <f>VLOOKUP($C$55,Servant!$B$5:$AD$29,18,FALSE)+($F57+($F57*0.5*($D57-1)))*(L$3-1)</f>
        <v>3337.4818133333333</v>
      </c>
      <c r="M57" s="146">
        <f>VLOOKUP($C$55,Servant!$B$5:$AD$29,18,FALSE)+($F57+($F57*0.5*($D57-1)))*(M$3-1)</f>
        <v>3998.8522666666668</v>
      </c>
      <c r="N57" s="146">
        <f>VLOOKUP($C$55,Servant!$B$5:$AD$29,18,FALSE)+($F57+($F57*0.5*($D57-1)))*(N$3-1)</f>
        <v>4660.2227199999998</v>
      </c>
      <c r="O57" s="146">
        <f>VLOOKUP($C$55,Servant!$B$5:$AD$29,18,FALSE)+($F57+($F57*0.5*($D57-1)))*(O$3-1)</f>
        <v>5321.5931733333337</v>
      </c>
      <c r="P57" s="146">
        <f>VLOOKUP($C$55,Servant!$B$5:$AD$29,18,FALSE)+($F57+($F57*0.5*($D57-1)))*(P$3-1)</f>
        <v>5982.9636266666666</v>
      </c>
      <c r="Q57" s="146">
        <f>VLOOKUP($C$55,Servant!$B$5:$AD$29,18,FALSE)+($F57+($F57*0.5*($D57-1)))*(Q$3-1)</f>
        <v>6644.3340799999996</v>
      </c>
      <c r="R57" s="146">
        <f>VLOOKUP($C$55,Servant!$B$5:$AD$29,18,FALSE)+($F57+($F57*0.5*($D57-1)))*(R$3-1)</f>
        <v>7305.7045333333335</v>
      </c>
      <c r="S57" s="146">
        <f>VLOOKUP($C$55,Servant!$B$5:$AD$29,18,FALSE)+($F57+($F57*0.5*($D57-1)))*(S$3-1)</f>
        <v>7967.0749866666665</v>
      </c>
      <c r="T57" s="146">
        <f>VLOOKUP($C$55,Servant!$B$5:$AD$29,18,FALSE)+($F57+($F57*0.5*($D57-1)))*(T$3-1)</f>
        <v>8628.4454399999995</v>
      </c>
      <c r="U57" s="146">
        <f>VLOOKUP($C$55,Servant!$B$5:$AD$29,18,FALSE)+($F57+($F57*0.5*($D57-1)))*(U$3-1)</f>
        <v>9289.8158933333325</v>
      </c>
      <c r="V57" s="146">
        <f>VLOOKUP($C$55,Servant!$B$5:$AD$29,18,FALSE)+($F57+($F57*0.5*($D57-1)))*(V$3-1)</f>
        <v>9951.1863466666673</v>
      </c>
      <c r="W57" s="146">
        <f>VLOOKUP($C$55,Servant!$B$5:$AD$29,18,FALSE)+($F57+($F57*0.5*($D57-1)))*(W$3-1)</f>
        <v>10612.5568</v>
      </c>
      <c r="X57" s="146">
        <f>VLOOKUP($C$55,Servant!$B$5:$AD$29,18,FALSE)+($F57+($F57*0.5*($D57-1)))*(X$3-1)</f>
        <v>11273.927253333333</v>
      </c>
      <c r="Y57" s="146">
        <f>VLOOKUP($C$55,Servant!$B$5:$AD$29,18,FALSE)+($F57+($F57*0.5*($D57-1)))*(Y$3-1)</f>
        <v>11935.297706666666</v>
      </c>
      <c r="Z57" s="146">
        <f>VLOOKUP($C$55,Servant!$B$5:$AD$29,18,FALSE)+($F57+($F57*0.5*($D57-1)))*(Z$3-1)</f>
        <v>12596.668159999999</v>
      </c>
      <c r="AA57" s="146">
        <f>VLOOKUP($C$55,Servant!$B$5:$AD$29,18,FALSE)+($F57+($F57*0.5*($D57-1)))*(AA$3-1)</f>
        <v>13258.038613333334</v>
      </c>
      <c r="AB57" s="146">
        <f>VLOOKUP($C$55,Servant!$B$5:$AD$29,18,FALSE)+($F57+($F57*0.5*($D57-1)))*(AB$3-1)</f>
        <v>13919.409066666667</v>
      </c>
      <c r="AC57" s="146">
        <f>VLOOKUP($C$55,Servant!$B$5:$AD$29,18,FALSE)+($F57+($F57*0.5*($D57-1)))*(AC$3-1)</f>
        <v>14580.77952</v>
      </c>
      <c r="AD57" s="146">
        <f>VLOOKUP($C$55,Servant!$B$5:$AD$29,18,FALSE)+($F57+($F57*0.5*($D57-1)))*(AD$3-1)</f>
        <v>15242.149973333333</v>
      </c>
      <c r="AE57" s="146">
        <f>VLOOKUP($C$55,Servant!$B$5:$AD$29,18,FALSE)+($F57+($F57*0.5*($D57-1)))*(AE$3-1)</f>
        <v>15903.520426666666</v>
      </c>
      <c r="AF57" s="146">
        <f>VLOOKUP($C$55,Servant!$B$5:$AD$29,18,FALSE)+($F57+($F57*0.5*($D57-1)))*(AF$3-1)</f>
        <v>16564.890879999999</v>
      </c>
      <c r="AG57" s="146">
        <f>VLOOKUP($C$55,Servant!$B$5:$AD$29,18,FALSE)+($F57+($F57*0.5*($D57-1)))*(AG$3-1)</f>
        <v>17226.261333333332</v>
      </c>
      <c r="AH57" s="146">
        <f>VLOOKUP($C$55,Servant!$B$5:$AD$29,18,FALSE)+($F57+($F57*0.5*($D57-1)))*(AH$3-1)</f>
        <v>17887.631786666665</v>
      </c>
      <c r="AI57" s="146">
        <f>VLOOKUP($C$55,Servant!$B$5:$AD$29,18,FALSE)+($F57+($F57*0.5*($D57-1)))*(AI$3-1)</f>
        <v>18549.002240000002</v>
      </c>
      <c r="AJ57" s="146">
        <f>VLOOKUP($C$55,Servant!$B$5:$AD$29,18,FALSE)+($F57+($F57*0.5*($D57-1)))*(AJ$3-1)</f>
        <v>19210.372693333335</v>
      </c>
      <c r="AK57" s="146">
        <f>VLOOKUP($C$55,Servant!$B$5:$AD$29,18,FALSE)+($F57+($F57*0.5*($D57-1)))*(AK$3-1)</f>
        <v>19871.743146666668</v>
      </c>
    </row>
    <row r="58" spans="2:37" x14ac:dyDescent="0.3">
      <c r="B58" s="309"/>
      <c r="C58" s="301" t="s">
        <v>292</v>
      </c>
      <c r="D58" s="129">
        <v>4</v>
      </c>
      <c r="E58" s="124">
        <f>VLOOKUP($C$58,ServantLevelUPdStatus!$B$5:$AD$29,6,FALSE)+(VLOOKUP($C$58,ServantLevelUPdStatus!$B$5:$AD$29,6,FALSE)*0.5*(Simulator_AttkPow!$D58-1))</f>
        <v>488.51226666666673</v>
      </c>
      <c r="F58" s="124">
        <f>VLOOKUP($C$58,ServantLevelUPdStatus!$B$5:$AD$29,6,FALSE)</f>
        <v>195.40490666666668</v>
      </c>
      <c r="H58" s="115">
        <f>VLOOKUP($C$58,Servant!$B$5:$AD$29,18,FALSE)+($F58+($F58*0.5*($D58-1)))*(H$3-1)</f>
        <v>716</v>
      </c>
      <c r="I58" s="115">
        <f>VLOOKUP($C$58,Servant!$B$5:$AD$29,18,FALSE)+($F58+($F58*0.5*($D58-1)))*(I$3-1)</f>
        <v>1204.5122666666666</v>
      </c>
      <c r="J58" s="115">
        <f>VLOOKUP($C$58,Servant!$B$5:$AD$29,18,FALSE)+($F58+($F58*0.5*($D58-1)))*(J$3-1)</f>
        <v>1693.0245333333335</v>
      </c>
      <c r="K58" s="115">
        <f>VLOOKUP($C$58,Servant!$B$5:$AD$29,18,FALSE)+($F58+($F58*0.5*($D58-1)))*(K$3-1)</f>
        <v>2181.5368000000003</v>
      </c>
      <c r="L58" s="115">
        <f>VLOOKUP($C$58,Servant!$B$5:$AD$29,18,FALSE)+($F58+($F58*0.5*($D58-1)))*(L$3-1)</f>
        <v>2670.0490666666669</v>
      </c>
      <c r="M58" s="115">
        <f>VLOOKUP($C$58,Servant!$B$5:$AD$29,18,FALSE)+($F58+($F58*0.5*($D58-1)))*(M$3-1)</f>
        <v>3158.5613333333336</v>
      </c>
      <c r="N58" s="115">
        <f>VLOOKUP($C$58,Servant!$B$5:$AD$29,18,FALSE)+($F58+($F58*0.5*($D58-1)))*(N$3-1)</f>
        <v>3647.0736000000006</v>
      </c>
      <c r="O58" s="115">
        <f>VLOOKUP($C$58,Servant!$B$5:$AD$29,18,FALSE)+($F58+($F58*0.5*($D58-1)))*(O$3-1)</f>
        <v>4135.5858666666672</v>
      </c>
      <c r="P58" s="115">
        <f>VLOOKUP($C$58,Servant!$B$5:$AD$29,18,FALSE)+($F58+($F58*0.5*($D58-1)))*(P$3-1)</f>
        <v>4624.0981333333339</v>
      </c>
      <c r="Q58" s="115">
        <f>VLOOKUP($C$58,Servant!$B$5:$AD$29,18,FALSE)+($F58+($F58*0.5*($D58-1)))*(Q$3-1)</f>
        <v>5112.6104000000005</v>
      </c>
      <c r="R58" s="115">
        <f>VLOOKUP($C$58,Servant!$B$5:$AD$29,18,FALSE)+($F58+($F58*0.5*($D58-1)))*(R$3-1)</f>
        <v>5601.1226666666671</v>
      </c>
      <c r="S58" s="115">
        <f>VLOOKUP($C$58,Servant!$B$5:$AD$29,18,FALSE)+($F58+($F58*0.5*($D58-1)))*(S$3-1)</f>
        <v>6089.6349333333337</v>
      </c>
      <c r="T58" s="115">
        <f>VLOOKUP($C$58,Servant!$B$5:$AD$29,18,FALSE)+($F58+($F58*0.5*($D58-1)))*(T$3-1)</f>
        <v>6578.1472000000012</v>
      </c>
      <c r="U58" s="115">
        <f>VLOOKUP($C$58,Servant!$B$5:$AD$29,18,FALSE)+($F58+($F58*0.5*($D58-1)))*(U$3-1)</f>
        <v>7066.6594666666679</v>
      </c>
      <c r="V58" s="115">
        <f>VLOOKUP($C$58,Servant!$B$5:$AD$29,18,FALSE)+($F58+($F58*0.5*($D58-1)))*(V$3-1)</f>
        <v>7555.1717333333345</v>
      </c>
      <c r="W58" s="115">
        <f>VLOOKUP($C$58,Servant!$B$5:$AD$29,18,FALSE)+($F58+($F58*0.5*($D58-1)))*(W$3-1)</f>
        <v>8043.6840000000011</v>
      </c>
      <c r="X58" s="115">
        <f>VLOOKUP($C$58,Servant!$B$5:$AD$29,18,FALSE)+($F58+($F58*0.5*($D58-1)))*(X$3-1)</f>
        <v>8532.1962666666677</v>
      </c>
      <c r="Y58" s="115">
        <f>VLOOKUP($C$58,Servant!$B$5:$AD$29,18,FALSE)+($F58+($F58*0.5*($D58-1)))*(Y$3-1)</f>
        <v>9020.7085333333343</v>
      </c>
      <c r="Z58" s="115">
        <f>VLOOKUP($C$58,Servant!$B$5:$AD$29,18,FALSE)+($F58+($F58*0.5*($D58-1)))*(Z$3-1)</f>
        <v>9509.220800000001</v>
      </c>
      <c r="AA58" s="115">
        <f>VLOOKUP($C$58,Servant!$B$5:$AD$29,18,FALSE)+($F58+($F58*0.5*($D58-1)))*(AA$3-1)</f>
        <v>9997.7330666666676</v>
      </c>
      <c r="AB58" s="115">
        <f>VLOOKUP($C$58,Servant!$B$5:$AD$29,18,FALSE)+($F58+($F58*0.5*($D58-1)))*(AB$3-1)</f>
        <v>10486.245333333334</v>
      </c>
      <c r="AC58" s="115">
        <f>VLOOKUP($C$58,Servant!$B$5:$AD$29,18,FALSE)+($F58+($F58*0.5*($D58-1)))*(AC$3-1)</f>
        <v>10974.757600000001</v>
      </c>
      <c r="AD58" s="115">
        <f>VLOOKUP($C$58,Servant!$B$5:$AD$29,18,FALSE)+($F58+($F58*0.5*($D58-1)))*(AD$3-1)</f>
        <v>11463.269866666667</v>
      </c>
      <c r="AE58" s="115">
        <f>VLOOKUP($C$58,Servant!$B$5:$AD$29,18,FALSE)+($F58+($F58*0.5*($D58-1)))*(AE$3-1)</f>
        <v>11951.782133333334</v>
      </c>
      <c r="AF58" s="115">
        <f>VLOOKUP($C$58,Servant!$B$5:$AD$29,18,FALSE)+($F58+($F58*0.5*($D58-1)))*(AF$3-1)</f>
        <v>12440.294400000002</v>
      </c>
      <c r="AG58" s="115">
        <f>VLOOKUP($C$58,Servant!$B$5:$AD$29,18,FALSE)+($F58+($F58*0.5*($D58-1)))*(AG$3-1)</f>
        <v>12928.806666666669</v>
      </c>
      <c r="AH58" s="115">
        <f>VLOOKUP($C$58,Servant!$B$5:$AD$29,18,FALSE)+($F58+($F58*0.5*($D58-1)))*(AH$3-1)</f>
        <v>13417.318933333336</v>
      </c>
      <c r="AI58" s="115">
        <f>VLOOKUP($C$58,Servant!$B$5:$AD$29,18,FALSE)+($F58+($F58*0.5*($D58-1)))*(AI$3-1)</f>
        <v>13905.831200000002</v>
      </c>
      <c r="AJ58" s="115">
        <f>VLOOKUP($C$58,Servant!$B$5:$AD$29,18,FALSE)+($F58+($F58*0.5*($D58-1)))*(AJ$3-1)</f>
        <v>14394.343466666669</v>
      </c>
      <c r="AK58" s="115">
        <f>VLOOKUP($C$58,Servant!$B$5:$AD$29,18,FALSE)+($F58+($F58*0.5*($D58-1)))*(AK$3-1)</f>
        <v>14882.855733333336</v>
      </c>
    </row>
    <row r="59" spans="2:37" x14ac:dyDescent="0.3">
      <c r="B59" s="309"/>
      <c r="C59" s="302"/>
      <c r="D59" s="129">
        <v>5</v>
      </c>
      <c r="E59" s="124">
        <f>VLOOKUP($C$58,ServantLevelUPdStatus!$B$5:$AD$29,6,FALSE)+(VLOOKUP($C$58,ServantLevelUPdStatus!$B$5:$AD$29,6,FALSE)*0.5*(Simulator_AttkPow!$D59-1))</f>
        <v>586.21472000000006</v>
      </c>
      <c r="F59" s="123">
        <f>F58</f>
        <v>195.40490666666668</v>
      </c>
      <c r="H59" s="115">
        <f>VLOOKUP($C$58,Servant!$B$5:$AD$29,18,FALSE)+($F59+($F59*0.5*($D59-1)))*(H$3-1)</f>
        <v>716</v>
      </c>
      <c r="I59" s="115">
        <f>VLOOKUP($C$58,Servant!$B$5:$AD$29,18,FALSE)+($F59+($F59*0.5*($D59-1)))*(I$3-1)</f>
        <v>1302.2147199999999</v>
      </c>
      <c r="J59" s="115">
        <f>VLOOKUP($C$58,Servant!$B$5:$AD$29,18,FALSE)+($F59+($F59*0.5*($D59-1)))*(J$3-1)</f>
        <v>1888.4294400000001</v>
      </c>
      <c r="K59" s="115">
        <f>VLOOKUP($C$58,Servant!$B$5:$AD$29,18,FALSE)+($F59+($F59*0.5*($D59-1)))*(K$3-1)</f>
        <v>2474.6441600000003</v>
      </c>
      <c r="L59" s="115">
        <f>VLOOKUP($C$58,Servant!$B$5:$AD$29,18,FALSE)+($F59+($F59*0.5*($D59-1)))*(L$3-1)</f>
        <v>3060.8588800000002</v>
      </c>
      <c r="M59" s="115">
        <f>VLOOKUP($C$58,Servant!$B$5:$AD$29,18,FALSE)+($F59+($F59*0.5*($D59-1)))*(M$3-1)</f>
        <v>3647.0736000000002</v>
      </c>
      <c r="N59" s="115">
        <f>VLOOKUP($C$58,Servant!$B$5:$AD$29,18,FALSE)+($F59+($F59*0.5*($D59-1)))*(N$3-1)</f>
        <v>4233.2883200000006</v>
      </c>
      <c r="O59" s="115">
        <f>VLOOKUP($C$58,Servant!$B$5:$AD$29,18,FALSE)+($F59+($F59*0.5*($D59-1)))*(O$3-1)</f>
        <v>4819.5030400000005</v>
      </c>
      <c r="P59" s="115">
        <f>VLOOKUP($C$58,Servant!$B$5:$AD$29,18,FALSE)+($F59+($F59*0.5*($D59-1)))*(P$3-1)</f>
        <v>5405.7177600000005</v>
      </c>
      <c r="Q59" s="115">
        <f>VLOOKUP($C$58,Servant!$B$5:$AD$29,18,FALSE)+($F59+($F59*0.5*($D59-1)))*(Q$3-1)</f>
        <v>5991.9324800000004</v>
      </c>
      <c r="R59" s="115">
        <f>VLOOKUP($C$58,Servant!$B$5:$AD$29,18,FALSE)+($F59+($F59*0.5*($D59-1)))*(R$3-1)</f>
        <v>6578.1472000000003</v>
      </c>
      <c r="S59" s="115">
        <f>VLOOKUP($C$58,Servant!$B$5:$AD$29,18,FALSE)+($F59+($F59*0.5*($D59-1)))*(S$3-1)</f>
        <v>7164.3619200000003</v>
      </c>
      <c r="T59" s="115">
        <f>VLOOKUP($C$58,Servant!$B$5:$AD$29,18,FALSE)+($F59+($F59*0.5*($D59-1)))*(T$3-1)</f>
        <v>7750.5766400000011</v>
      </c>
      <c r="U59" s="115">
        <f>VLOOKUP($C$58,Servant!$B$5:$AD$29,18,FALSE)+($F59+($F59*0.5*($D59-1)))*(U$3-1)</f>
        <v>8336.7913600000011</v>
      </c>
      <c r="V59" s="115">
        <f>VLOOKUP($C$58,Servant!$B$5:$AD$29,18,FALSE)+($F59+($F59*0.5*($D59-1)))*(V$3-1)</f>
        <v>8923.006080000001</v>
      </c>
      <c r="W59" s="115">
        <f>VLOOKUP($C$58,Servant!$B$5:$AD$29,18,FALSE)+($F59+($F59*0.5*($D59-1)))*(W$3-1)</f>
        <v>9509.220800000001</v>
      </c>
      <c r="X59" s="115">
        <f>VLOOKUP($C$58,Servant!$B$5:$AD$29,18,FALSE)+($F59+($F59*0.5*($D59-1)))*(X$3-1)</f>
        <v>10095.435520000001</v>
      </c>
      <c r="Y59" s="115">
        <f>VLOOKUP($C$58,Servant!$B$5:$AD$29,18,FALSE)+($F59+($F59*0.5*($D59-1)))*(Y$3-1)</f>
        <v>10681.650240000001</v>
      </c>
      <c r="Z59" s="115">
        <f>VLOOKUP($C$58,Servant!$B$5:$AD$29,18,FALSE)+($F59+($F59*0.5*($D59-1)))*(Z$3-1)</f>
        <v>11267.864960000001</v>
      </c>
      <c r="AA59" s="115">
        <f>VLOOKUP($C$58,Servant!$B$5:$AD$29,18,FALSE)+($F59+($F59*0.5*($D59-1)))*(AA$3-1)</f>
        <v>11854.079680000001</v>
      </c>
      <c r="AB59" s="115">
        <f>VLOOKUP($C$58,Servant!$B$5:$AD$29,18,FALSE)+($F59+($F59*0.5*($D59-1)))*(AB$3-1)</f>
        <v>12440.294400000001</v>
      </c>
      <c r="AC59" s="115">
        <f>VLOOKUP($C$58,Servant!$B$5:$AD$29,18,FALSE)+($F59+($F59*0.5*($D59-1)))*(AC$3-1)</f>
        <v>13026.509120000001</v>
      </c>
      <c r="AD59" s="115">
        <f>VLOOKUP($C$58,Servant!$B$5:$AD$29,18,FALSE)+($F59+($F59*0.5*($D59-1)))*(AD$3-1)</f>
        <v>13612.723840000001</v>
      </c>
      <c r="AE59" s="115">
        <f>VLOOKUP($C$58,Servant!$B$5:$AD$29,18,FALSE)+($F59+($F59*0.5*($D59-1)))*(AE$3-1)</f>
        <v>14198.938560000001</v>
      </c>
      <c r="AF59" s="115">
        <f>VLOOKUP($C$58,Servant!$B$5:$AD$29,18,FALSE)+($F59+($F59*0.5*($D59-1)))*(AF$3-1)</f>
        <v>14785.153280000002</v>
      </c>
      <c r="AG59" s="115">
        <f>VLOOKUP($C$58,Servant!$B$5:$AD$29,18,FALSE)+($F59+($F59*0.5*($D59-1)))*(AG$3-1)</f>
        <v>15371.368000000002</v>
      </c>
      <c r="AH59" s="115">
        <f>VLOOKUP($C$58,Servant!$B$5:$AD$29,18,FALSE)+($F59+($F59*0.5*($D59-1)))*(AH$3-1)</f>
        <v>15957.582720000002</v>
      </c>
      <c r="AI59" s="115">
        <f>VLOOKUP($C$58,Servant!$B$5:$AD$29,18,FALSE)+($F59+($F59*0.5*($D59-1)))*(AI$3-1)</f>
        <v>16543.797440000002</v>
      </c>
      <c r="AJ59" s="115">
        <f>VLOOKUP($C$58,Servant!$B$5:$AD$29,18,FALSE)+($F59+($F59*0.5*($D59-1)))*(AJ$3-1)</f>
        <v>17130.012160000002</v>
      </c>
      <c r="AK59" s="115">
        <f>VLOOKUP($C$58,Servant!$B$5:$AD$29,18,FALSE)+($F59+($F59*0.5*($D59-1)))*(AK$3-1)</f>
        <v>17716.226880000002</v>
      </c>
    </row>
    <row r="60" spans="2:37" x14ac:dyDescent="0.3">
      <c r="B60" s="309"/>
      <c r="C60" s="303"/>
      <c r="D60" s="129">
        <v>6</v>
      </c>
      <c r="E60" s="124">
        <f>VLOOKUP($C$58,ServantLevelUPdStatus!$B$5:$AD$29,6,FALSE)+(VLOOKUP($C$58,ServantLevelUPdStatus!$B$5:$AD$29,6,FALSE)*0.5*(Simulator_AttkPow!$D60-1))</f>
        <v>683.91717333333338</v>
      </c>
      <c r="F60" s="123">
        <f>F59</f>
        <v>195.40490666666668</v>
      </c>
      <c r="H60" s="115">
        <f>VLOOKUP($C$58,Servant!$B$5:$AD$29,18,FALSE)+($F60+($F60*0.5*($D60-1)))*(H$3-1)</f>
        <v>716</v>
      </c>
      <c r="I60" s="115">
        <f>VLOOKUP($C$58,Servant!$B$5:$AD$29,18,FALSE)+($F60+($F60*0.5*($D60-1)))*(I$3-1)</f>
        <v>1399.9171733333333</v>
      </c>
      <c r="J60" s="115">
        <f>VLOOKUP($C$58,Servant!$B$5:$AD$29,18,FALSE)+($F60+($F60*0.5*($D60-1)))*(J$3-1)</f>
        <v>2083.8343466666665</v>
      </c>
      <c r="K60" s="115">
        <f>VLOOKUP($C$58,Servant!$B$5:$AD$29,18,FALSE)+($F60+($F60*0.5*($D60-1)))*(K$3-1)</f>
        <v>2767.7515200000003</v>
      </c>
      <c r="L60" s="115">
        <f>VLOOKUP($C$58,Servant!$B$5:$AD$29,18,FALSE)+($F60+($F60*0.5*($D60-1)))*(L$3-1)</f>
        <v>3451.6686933333335</v>
      </c>
      <c r="M60" s="115">
        <f>VLOOKUP($C$58,Servant!$B$5:$AD$29,18,FALSE)+($F60+($F60*0.5*($D60-1)))*(M$3-1)</f>
        <v>4135.5858666666663</v>
      </c>
      <c r="N60" s="115">
        <f>VLOOKUP($C$58,Servant!$B$5:$AD$29,18,FALSE)+($F60+($F60*0.5*($D60-1)))*(N$3-1)</f>
        <v>4819.5030400000005</v>
      </c>
      <c r="O60" s="115">
        <f>VLOOKUP($C$58,Servant!$B$5:$AD$29,18,FALSE)+($F60+($F60*0.5*($D60-1)))*(O$3-1)</f>
        <v>5503.4202133333338</v>
      </c>
      <c r="P60" s="115">
        <f>VLOOKUP($C$58,Servant!$B$5:$AD$29,18,FALSE)+($F60+($F60*0.5*($D60-1)))*(P$3-1)</f>
        <v>6187.337386666667</v>
      </c>
      <c r="Q60" s="115">
        <f>VLOOKUP($C$58,Servant!$B$5:$AD$29,18,FALSE)+($F60+($F60*0.5*($D60-1)))*(Q$3-1)</f>
        <v>6871.2545600000003</v>
      </c>
      <c r="R60" s="115">
        <f>VLOOKUP($C$58,Servant!$B$5:$AD$29,18,FALSE)+($F60+($F60*0.5*($D60-1)))*(R$3-1)</f>
        <v>7555.1717333333336</v>
      </c>
      <c r="S60" s="115">
        <f>VLOOKUP($C$58,Servant!$B$5:$AD$29,18,FALSE)+($F60+($F60*0.5*($D60-1)))*(S$3-1)</f>
        <v>8239.0889066666678</v>
      </c>
      <c r="T60" s="115">
        <f>VLOOKUP($C$58,Servant!$B$5:$AD$29,18,FALSE)+($F60+($F60*0.5*($D60-1)))*(T$3-1)</f>
        <v>8923.006080000001</v>
      </c>
      <c r="U60" s="115">
        <f>VLOOKUP($C$58,Servant!$B$5:$AD$29,18,FALSE)+($F60+($F60*0.5*($D60-1)))*(U$3-1)</f>
        <v>9606.9232533333343</v>
      </c>
      <c r="V60" s="115">
        <f>VLOOKUP($C$58,Servant!$B$5:$AD$29,18,FALSE)+($F60+($F60*0.5*($D60-1)))*(V$3-1)</f>
        <v>10290.840426666668</v>
      </c>
      <c r="W60" s="115">
        <f>VLOOKUP($C$58,Servant!$B$5:$AD$29,18,FALSE)+($F60+($F60*0.5*($D60-1)))*(W$3-1)</f>
        <v>10974.757600000001</v>
      </c>
      <c r="X60" s="115">
        <f>VLOOKUP($C$58,Servant!$B$5:$AD$29,18,FALSE)+($F60+($F60*0.5*($D60-1)))*(X$3-1)</f>
        <v>11658.674773333334</v>
      </c>
      <c r="Y60" s="115">
        <f>VLOOKUP($C$58,Servant!$B$5:$AD$29,18,FALSE)+($F60+($F60*0.5*($D60-1)))*(Y$3-1)</f>
        <v>12342.591946666667</v>
      </c>
      <c r="Z60" s="115">
        <f>VLOOKUP($C$58,Servant!$B$5:$AD$29,18,FALSE)+($F60+($F60*0.5*($D60-1)))*(Z$3-1)</f>
        <v>13026.509120000001</v>
      </c>
      <c r="AA60" s="115">
        <f>VLOOKUP($C$58,Servant!$B$5:$AD$29,18,FALSE)+($F60+($F60*0.5*($D60-1)))*(AA$3-1)</f>
        <v>13710.426293333334</v>
      </c>
      <c r="AB60" s="115">
        <f>VLOOKUP($C$58,Servant!$B$5:$AD$29,18,FALSE)+($F60+($F60*0.5*($D60-1)))*(AB$3-1)</f>
        <v>14394.343466666667</v>
      </c>
      <c r="AC60" s="115">
        <f>VLOOKUP($C$58,Servant!$B$5:$AD$29,18,FALSE)+($F60+($F60*0.5*($D60-1)))*(AC$3-1)</f>
        <v>15078.26064</v>
      </c>
      <c r="AD60" s="115">
        <f>VLOOKUP($C$58,Servant!$B$5:$AD$29,18,FALSE)+($F60+($F60*0.5*($D60-1)))*(AD$3-1)</f>
        <v>15762.177813333334</v>
      </c>
      <c r="AE60" s="115">
        <f>VLOOKUP($C$58,Servant!$B$5:$AD$29,18,FALSE)+($F60+($F60*0.5*($D60-1)))*(AE$3-1)</f>
        <v>16446.094986666667</v>
      </c>
      <c r="AF60" s="115">
        <f>VLOOKUP($C$58,Servant!$B$5:$AD$29,18,FALSE)+($F60+($F60*0.5*($D60-1)))*(AF$3-1)</f>
        <v>17130.012160000002</v>
      </c>
      <c r="AG60" s="115">
        <f>VLOOKUP($C$58,Servant!$B$5:$AD$29,18,FALSE)+($F60+($F60*0.5*($D60-1)))*(AG$3-1)</f>
        <v>17813.929333333333</v>
      </c>
      <c r="AH60" s="115">
        <f>VLOOKUP($C$58,Servant!$B$5:$AD$29,18,FALSE)+($F60+($F60*0.5*($D60-1)))*(AH$3-1)</f>
        <v>18497.846506666669</v>
      </c>
      <c r="AI60" s="115">
        <f>VLOOKUP($C$58,Servant!$B$5:$AD$29,18,FALSE)+($F60+($F60*0.5*($D60-1)))*(AI$3-1)</f>
        <v>19181.76368</v>
      </c>
      <c r="AJ60" s="115">
        <f>VLOOKUP($C$58,Servant!$B$5:$AD$29,18,FALSE)+($F60+($F60*0.5*($D60-1)))*(AJ$3-1)</f>
        <v>19865.680853333335</v>
      </c>
      <c r="AK60" s="115">
        <f>VLOOKUP($C$58,Servant!$B$5:$AD$29,18,FALSE)+($F60+($F60*0.5*($D60-1)))*(AK$3-1)</f>
        <v>20549.598026666667</v>
      </c>
    </row>
    <row r="61" spans="2:37" x14ac:dyDescent="0.3">
      <c r="B61" s="309"/>
      <c r="C61" s="304" t="s">
        <v>293</v>
      </c>
      <c r="D61" s="144">
        <v>4</v>
      </c>
      <c r="E61" s="145">
        <f>VLOOKUP($C$61,ServantLevelUPdStatus!$B$5:$AD$29,6,FALSE)+(VLOOKUP($C$61,ServantLevelUPdStatus!$B$5:$AD$29,6,FALSE)*0.5*(Simulator_AttkPow!$D61-1))</f>
        <v>558.29973333333339</v>
      </c>
      <c r="F61" s="145">
        <f>VLOOKUP($C$61,ServantLevelUPdStatus!$B$5:$AD$29,6,FALSE)</f>
        <v>223.31989333333334</v>
      </c>
      <c r="H61" s="146">
        <f>VLOOKUP($C$61,Servant!$B$5:$AD$29,18,FALSE)+($F61+($F61*0.5*($D61-1)))*(H$3-1)</f>
        <v>818</v>
      </c>
      <c r="I61" s="146">
        <f>VLOOKUP($C$61,Servant!$B$5:$AD$29,18,FALSE)+($F61+($F61*0.5*($D61-1)))*(I$3-1)</f>
        <v>1376.2997333333333</v>
      </c>
      <c r="J61" s="146">
        <f>VLOOKUP($C$61,Servant!$B$5:$AD$29,18,FALSE)+($F61+($F61*0.5*($D61-1)))*(J$3-1)</f>
        <v>1934.5994666666668</v>
      </c>
      <c r="K61" s="146">
        <f>VLOOKUP($C$61,Servant!$B$5:$AD$29,18,FALSE)+($F61+($F61*0.5*($D61-1)))*(K$3-1)</f>
        <v>2492.8992000000003</v>
      </c>
      <c r="L61" s="146">
        <f>VLOOKUP($C$61,Servant!$B$5:$AD$29,18,FALSE)+($F61+($F61*0.5*($D61-1)))*(L$3-1)</f>
        <v>3051.1989333333336</v>
      </c>
      <c r="M61" s="146">
        <f>VLOOKUP($C$61,Servant!$B$5:$AD$29,18,FALSE)+($F61+($F61*0.5*($D61-1)))*(M$3-1)</f>
        <v>3609.4986666666668</v>
      </c>
      <c r="N61" s="146">
        <f>VLOOKUP($C$61,Servant!$B$5:$AD$29,18,FALSE)+($F61+($F61*0.5*($D61-1)))*(N$3-1)</f>
        <v>4167.7984000000006</v>
      </c>
      <c r="O61" s="146">
        <f>VLOOKUP($C$61,Servant!$B$5:$AD$29,18,FALSE)+($F61+($F61*0.5*($D61-1)))*(O$3-1)</f>
        <v>4726.0981333333339</v>
      </c>
      <c r="P61" s="146">
        <f>VLOOKUP($C$61,Servant!$B$5:$AD$29,18,FALSE)+($F61+($F61*0.5*($D61-1)))*(P$3-1)</f>
        <v>5284.3978666666671</v>
      </c>
      <c r="Q61" s="146">
        <f>VLOOKUP($C$61,Servant!$B$5:$AD$29,18,FALSE)+($F61+($F61*0.5*($D61-1)))*(Q$3-1)</f>
        <v>5842.6976000000004</v>
      </c>
      <c r="R61" s="146">
        <f>VLOOKUP($C$61,Servant!$B$5:$AD$29,18,FALSE)+($F61+($F61*0.5*($D61-1)))*(R$3-1)</f>
        <v>6400.9973333333337</v>
      </c>
      <c r="S61" s="146">
        <f>VLOOKUP($C$61,Servant!$B$5:$AD$29,18,FALSE)+($F61+($F61*0.5*($D61-1)))*(S$3-1)</f>
        <v>6959.297066666667</v>
      </c>
      <c r="T61" s="146">
        <f>VLOOKUP($C$61,Servant!$B$5:$AD$29,18,FALSE)+($F61+($F61*0.5*($D61-1)))*(T$3-1)</f>
        <v>7517.5968000000012</v>
      </c>
      <c r="U61" s="146">
        <f>VLOOKUP($C$61,Servant!$B$5:$AD$29,18,FALSE)+($F61+($F61*0.5*($D61-1)))*(U$3-1)</f>
        <v>8075.8965333333344</v>
      </c>
      <c r="V61" s="146">
        <f>VLOOKUP($C$61,Servant!$B$5:$AD$29,18,FALSE)+($F61+($F61*0.5*($D61-1)))*(V$3-1)</f>
        <v>8634.1962666666677</v>
      </c>
      <c r="W61" s="146">
        <f>VLOOKUP($C$61,Servant!$B$5:$AD$29,18,FALSE)+($F61+($F61*0.5*($D61-1)))*(W$3-1)</f>
        <v>9192.496000000001</v>
      </c>
      <c r="X61" s="146">
        <f>VLOOKUP($C$61,Servant!$B$5:$AD$29,18,FALSE)+($F61+($F61*0.5*($D61-1)))*(X$3-1)</f>
        <v>9750.7957333333343</v>
      </c>
      <c r="Y61" s="146">
        <f>VLOOKUP($C$61,Servant!$B$5:$AD$29,18,FALSE)+($F61+($F61*0.5*($D61-1)))*(Y$3-1)</f>
        <v>10309.095466666668</v>
      </c>
      <c r="Z61" s="146">
        <f>VLOOKUP($C$61,Servant!$B$5:$AD$29,18,FALSE)+($F61+($F61*0.5*($D61-1)))*(Z$3-1)</f>
        <v>10867.395200000001</v>
      </c>
      <c r="AA61" s="146">
        <f>VLOOKUP($C$61,Servant!$B$5:$AD$29,18,FALSE)+($F61+($F61*0.5*($D61-1)))*(AA$3-1)</f>
        <v>11425.694933333334</v>
      </c>
      <c r="AB61" s="146">
        <f>VLOOKUP($C$61,Servant!$B$5:$AD$29,18,FALSE)+($F61+($F61*0.5*($D61-1)))*(AB$3-1)</f>
        <v>11983.994666666667</v>
      </c>
      <c r="AC61" s="146">
        <f>VLOOKUP($C$61,Servant!$B$5:$AD$29,18,FALSE)+($F61+($F61*0.5*($D61-1)))*(AC$3-1)</f>
        <v>12542.294400000001</v>
      </c>
      <c r="AD61" s="146">
        <f>VLOOKUP($C$61,Servant!$B$5:$AD$29,18,FALSE)+($F61+($F61*0.5*($D61-1)))*(AD$3-1)</f>
        <v>13100.594133333334</v>
      </c>
      <c r="AE61" s="146">
        <f>VLOOKUP($C$61,Servant!$B$5:$AD$29,18,FALSE)+($F61+($F61*0.5*($D61-1)))*(AE$3-1)</f>
        <v>13658.893866666667</v>
      </c>
      <c r="AF61" s="146">
        <f>VLOOKUP($C$61,Servant!$B$5:$AD$29,18,FALSE)+($F61+($F61*0.5*($D61-1)))*(AF$3-1)</f>
        <v>14217.193600000002</v>
      </c>
      <c r="AG61" s="146">
        <f>VLOOKUP($C$61,Servant!$B$5:$AD$29,18,FALSE)+($F61+($F61*0.5*($D61-1)))*(AG$3-1)</f>
        <v>14775.493333333336</v>
      </c>
      <c r="AH61" s="146">
        <f>VLOOKUP($C$61,Servant!$B$5:$AD$29,18,FALSE)+($F61+($F61*0.5*($D61-1)))*(AH$3-1)</f>
        <v>15333.793066666669</v>
      </c>
      <c r="AI61" s="146">
        <f>VLOOKUP($C$61,Servant!$B$5:$AD$29,18,FALSE)+($F61+($F61*0.5*($D61-1)))*(AI$3-1)</f>
        <v>15892.092800000002</v>
      </c>
      <c r="AJ61" s="146">
        <f>VLOOKUP($C$61,Servant!$B$5:$AD$29,18,FALSE)+($F61+($F61*0.5*($D61-1)))*(AJ$3-1)</f>
        <v>16450.392533333335</v>
      </c>
      <c r="AK61" s="146">
        <f>VLOOKUP($C$61,Servant!$B$5:$AD$29,18,FALSE)+($F61+($F61*0.5*($D61-1)))*(AK$3-1)</f>
        <v>17008.692266666669</v>
      </c>
    </row>
    <row r="62" spans="2:37" x14ac:dyDescent="0.3">
      <c r="B62" s="309"/>
      <c r="C62" s="305"/>
      <c r="D62" s="144">
        <v>5</v>
      </c>
      <c r="E62" s="145">
        <f>VLOOKUP($C$61,ServantLevelUPdStatus!$B$5:$AD$29,6,FALSE)+(VLOOKUP($C$61,ServantLevelUPdStatus!$B$5:$AD$29,6,FALSE)*0.5*(Simulator_AttkPow!$D62-1))</f>
        <v>669.95968000000005</v>
      </c>
      <c r="F62" s="147">
        <f>F61</f>
        <v>223.31989333333334</v>
      </c>
      <c r="H62" s="146">
        <f>VLOOKUP($C$61,Servant!$B$5:$AD$29,18,FALSE)+($F62+($F62*0.5*($D62-1)))*(H$3-1)</f>
        <v>818</v>
      </c>
      <c r="I62" s="146">
        <f>VLOOKUP($C$61,Servant!$B$5:$AD$29,18,FALSE)+($F62+($F62*0.5*($D62-1)))*(I$3-1)</f>
        <v>1487.9596799999999</v>
      </c>
      <c r="J62" s="146">
        <f>VLOOKUP($C$61,Servant!$B$5:$AD$29,18,FALSE)+($F62+($F62*0.5*($D62-1)))*(J$3-1)</f>
        <v>2157.9193599999999</v>
      </c>
      <c r="K62" s="146">
        <f>VLOOKUP($C$61,Servant!$B$5:$AD$29,18,FALSE)+($F62+($F62*0.5*($D62-1)))*(K$3-1)</f>
        <v>2827.8790400000003</v>
      </c>
      <c r="L62" s="146">
        <f>VLOOKUP($C$61,Servant!$B$5:$AD$29,18,FALSE)+($F62+($F62*0.5*($D62-1)))*(L$3-1)</f>
        <v>3497.8387200000002</v>
      </c>
      <c r="M62" s="146">
        <f>VLOOKUP($C$61,Servant!$B$5:$AD$29,18,FALSE)+($F62+($F62*0.5*($D62-1)))*(M$3-1)</f>
        <v>4167.7983999999997</v>
      </c>
      <c r="N62" s="146">
        <f>VLOOKUP($C$61,Servant!$B$5:$AD$29,18,FALSE)+($F62+($F62*0.5*($D62-1)))*(N$3-1)</f>
        <v>4837.7580800000005</v>
      </c>
      <c r="O62" s="146">
        <f>VLOOKUP($C$61,Servant!$B$5:$AD$29,18,FALSE)+($F62+($F62*0.5*($D62-1)))*(O$3-1)</f>
        <v>5507.7177600000005</v>
      </c>
      <c r="P62" s="146">
        <f>VLOOKUP($C$61,Servant!$B$5:$AD$29,18,FALSE)+($F62+($F62*0.5*($D62-1)))*(P$3-1)</f>
        <v>6177.6774400000004</v>
      </c>
      <c r="Q62" s="146">
        <f>VLOOKUP($C$61,Servant!$B$5:$AD$29,18,FALSE)+($F62+($F62*0.5*($D62-1)))*(Q$3-1)</f>
        <v>6847.6371200000003</v>
      </c>
      <c r="R62" s="146">
        <f>VLOOKUP($C$61,Servant!$B$5:$AD$29,18,FALSE)+($F62+($F62*0.5*($D62-1)))*(R$3-1)</f>
        <v>7517.5968000000003</v>
      </c>
      <c r="S62" s="146">
        <f>VLOOKUP($C$61,Servant!$B$5:$AD$29,18,FALSE)+($F62+($F62*0.5*($D62-1)))*(S$3-1)</f>
        <v>8187.5564800000002</v>
      </c>
      <c r="T62" s="146">
        <f>VLOOKUP($C$61,Servant!$B$5:$AD$29,18,FALSE)+($F62+($F62*0.5*($D62-1)))*(T$3-1)</f>
        <v>8857.516160000001</v>
      </c>
      <c r="U62" s="146">
        <f>VLOOKUP($C$61,Servant!$B$5:$AD$29,18,FALSE)+($F62+($F62*0.5*($D62-1)))*(U$3-1)</f>
        <v>9527.475840000001</v>
      </c>
      <c r="V62" s="146">
        <f>VLOOKUP($C$61,Servant!$B$5:$AD$29,18,FALSE)+($F62+($F62*0.5*($D62-1)))*(V$3-1)</f>
        <v>10197.435520000001</v>
      </c>
      <c r="W62" s="146">
        <f>VLOOKUP($C$61,Servant!$B$5:$AD$29,18,FALSE)+($F62+($F62*0.5*($D62-1)))*(W$3-1)</f>
        <v>10867.395200000001</v>
      </c>
      <c r="X62" s="146">
        <f>VLOOKUP($C$61,Servant!$B$5:$AD$29,18,FALSE)+($F62+($F62*0.5*($D62-1)))*(X$3-1)</f>
        <v>11537.354880000001</v>
      </c>
      <c r="Y62" s="146">
        <f>VLOOKUP($C$61,Servant!$B$5:$AD$29,18,FALSE)+($F62+($F62*0.5*($D62-1)))*(Y$3-1)</f>
        <v>12207.314560000001</v>
      </c>
      <c r="Z62" s="146">
        <f>VLOOKUP($C$61,Servant!$B$5:$AD$29,18,FALSE)+($F62+($F62*0.5*($D62-1)))*(Z$3-1)</f>
        <v>12877.274240000001</v>
      </c>
      <c r="AA62" s="146">
        <f>VLOOKUP($C$61,Servant!$B$5:$AD$29,18,FALSE)+($F62+($F62*0.5*($D62-1)))*(AA$3-1)</f>
        <v>13547.233920000001</v>
      </c>
      <c r="AB62" s="146">
        <f>VLOOKUP($C$61,Servant!$B$5:$AD$29,18,FALSE)+($F62+($F62*0.5*($D62-1)))*(AB$3-1)</f>
        <v>14217.193600000001</v>
      </c>
      <c r="AC62" s="146">
        <f>VLOOKUP($C$61,Servant!$B$5:$AD$29,18,FALSE)+($F62+($F62*0.5*($D62-1)))*(AC$3-1)</f>
        <v>14887.15328</v>
      </c>
      <c r="AD62" s="146">
        <f>VLOOKUP($C$61,Servant!$B$5:$AD$29,18,FALSE)+($F62+($F62*0.5*($D62-1)))*(AD$3-1)</f>
        <v>15557.11296</v>
      </c>
      <c r="AE62" s="146">
        <f>VLOOKUP($C$61,Servant!$B$5:$AD$29,18,FALSE)+($F62+($F62*0.5*($D62-1)))*(AE$3-1)</f>
        <v>16227.07264</v>
      </c>
      <c r="AF62" s="146">
        <f>VLOOKUP($C$61,Servant!$B$5:$AD$29,18,FALSE)+($F62+($F62*0.5*($D62-1)))*(AF$3-1)</f>
        <v>16897.032320000002</v>
      </c>
      <c r="AG62" s="146">
        <f>VLOOKUP($C$61,Servant!$B$5:$AD$29,18,FALSE)+($F62+($F62*0.5*($D62-1)))*(AG$3-1)</f>
        <v>17566.992000000002</v>
      </c>
      <c r="AH62" s="146">
        <f>VLOOKUP($C$61,Servant!$B$5:$AD$29,18,FALSE)+($F62+($F62*0.5*($D62-1)))*(AH$3-1)</f>
        <v>18236.951680000002</v>
      </c>
      <c r="AI62" s="146">
        <f>VLOOKUP($C$61,Servant!$B$5:$AD$29,18,FALSE)+($F62+($F62*0.5*($D62-1)))*(AI$3-1)</f>
        <v>18906.911360000002</v>
      </c>
      <c r="AJ62" s="146">
        <f>VLOOKUP($C$61,Servant!$B$5:$AD$29,18,FALSE)+($F62+($F62*0.5*($D62-1)))*(AJ$3-1)</f>
        <v>19576.871040000002</v>
      </c>
      <c r="AK62" s="146">
        <f>VLOOKUP($C$61,Servant!$B$5:$AD$29,18,FALSE)+($F62+($F62*0.5*($D62-1)))*(AK$3-1)</f>
        <v>20246.830720000002</v>
      </c>
    </row>
    <row r="63" spans="2:37" x14ac:dyDescent="0.3">
      <c r="B63" s="309"/>
      <c r="C63" s="306"/>
      <c r="D63" s="144">
        <v>6</v>
      </c>
      <c r="E63" s="145">
        <f>VLOOKUP($C$61,ServantLevelUPdStatus!$B$5:$AD$29,6,FALSE)+(VLOOKUP($C$61,ServantLevelUPdStatus!$B$5:$AD$29,6,FALSE)*0.5*(Simulator_AttkPow!$D63-1))</f>
        <v>781.6196266666667</v>
      </c>
      <c r="F63" s="147">
        <f>F62</f>
        <v>223.31989333333334</v>
      </c>
      <c r="H63" s="146">
        <f>VLOOKUP($C$61,Servant!$B$5:$AD$29,18,FALSE)+($F63+($F63*0.5*($D63-1)))*(H$3-1)</f>
        <v>818</v>
      </c>
      <c r="I63" s="146">
        <f>VLOOKUP($C$61,Servant!$B$5:$AD$29,18,FALSE)+($F63+($F63*0.5*($D63-1)))*(I$3-1)</f>
        <v>1599.6196266666666</v>
      </c>
      <c r="J63" s="146">
        <f>VLOOKUP($C$61,Servant!$B$5:$AD$29,18,FALSE)+($F63+($F63*0.5*($D63-1)))*(J$3-1)</f>
        <v>2381.2392533333332</v>
      </c>
      <c r="K63" s="146">
        <f>VLOOKUP($C$61,Servant!$B$5:$AD$29,18,FALSE)+($F63+($F63*0.5*($D63-1)))*(K$3-1)</f>
        <v>3162.8588800000002</v>
      </c>
      <c r="L63" s="146">
        <f>VLOOKUP($C$61,Servant!$B$5:$AD$29,18,FALSE)+($F63+($F63*0.5*($D63-1)))*(L$3-1)</f>
        <v>3944.4785066666668</v>
      </c>
      <c r="M63" s="146">
        <f>VLOOKUP($C$61,Servant!$B$5:$AD$29,18,FALSE)+($F63+($F63*0.5*($D63-1)))*(M$3-1)</f>
        <v>4726.098133333333</v>
      </c>
      <c r="N63" s="146">
        <f>VLOOKUP($C$61,Servant!$B$5:$AD$29,18,FALSE)+($F63+($F63*0.5*($D63-1)))*(N$3-1)</f>
        <v>5507.7177600000005</v>
      </c>
      <c r="O63" s="146">
        <f>VLOOKUP($C$61,Servant!$B$5:$AD$29,18,FALSE)+($F63+($F63*0.5*($D63-1)))*(O$3-1)</f>
        <v>6289.337386666667</v>
      </c>
      <c r="P63" s="146">
        <f>VLOOKUP($C$61,Servant!$B$5:$AD$29,18,FALSE)+($F63+($F63*0.5*($D63-1)))*(P$3-1)</f>
        <v>7070.9570133333336</v>
      </c>
      <c r="Q63" s="146">
        <f>VLOOKUP($C$61,Servant!$B$5:$AD$29,18,FALSE)+($F63+($F63*0.5*($D63-1)))*(Q$3-1)</f>
        <v>7852.5766400000002</v>
      </c>
      <c r="R63" s="146">
        <f>VLOOKUP($C$61,Servant!$B$5:$AD$29,18,FALSE)+($F63+($F63*0.5*($D63-1)))*(R$3-1)</f>
        <v>8634.1962666666659</v>
      </c>
      <c r="S63" s="146">
        <f>VLOOKUP($C$61,Servant!$B$5:$AD$29,18,FALSE)+($F63+($F63*0.5*($D63-1)))*(S$3-1)</f>
        <v>9415.8158933333343</v>
      </c>
      <c r="T63" s="146">
        <f>VLOOKUP($C$61,Servant!$B$5:$AD$29,18,FALSE)+($F63+($F63*0.5*($D63-1)))*(T$3-1)</f>
        <v>10197.435520000001</v>
      </c>
      <c r="U63" s="146">
        <f>VLOOKUP($C$61,Servant!$B$5:$AD$29,18,FALSE)+($F63+($F63*0.5*($D63-1)))*(U$3-1)</f>
        <v>10979.055146666667</v>
      </c>
      <c r="V63" s="146">
        <f>VLOOKUP($C$61,Servant!$B$5:$AD$29,18,FALSE)+($F63+($F63*0.5*($D63-1)))*(V$3-1)</f>
        <v>11760.674773333334</v>
      </c>
      <c r="W63" s="146">
        <f>VLOOKUP($C$61,Servant!$B$5:$AD$29,18,FALSE)+($F63+($F63*0.5*($D63-1)))*(W$3-1)</f>
        <v>12542.294400000001</v>
      </c>
      <c r="X63" s="146">
        <f>VLOOKUP($C$61,Servant!$B$5:$AD$29,18,FALSE)+($F63+($F63*0.5*($D63-1)))*(X$3-1)</f>
        <v>13323.914026666667</v>
      </c>
      <c r="Y63" s="146">
        <f>VLOOKUP($C$61,Servant!$B$5:$AD$29,18,FALSE)+($F63+($F63*0.5*($D63-1)))*(Y$3-1)</f>
        <v>14105.533653333334</v>
      </c>
      <c r="Z63" s="146">
        <f>VLOOKUP($C$61,Servant!$B$5:$AD$29,18,FALSE)+($F63+($F63*0.5*($D63-1)))*(Z$3-1)</f>
        <v>14887.15328</v>
      </c>
      <c r="AA63" s="146">
        <f>VLOOKUP($C$61,Servant!$B$5:$AD$29,18,FALSE)+($F63+($F63*0.5*($D63-1)))*(AA$3-1)</f>
        <v>15668.772906666667</v>
      </c>
      <c r="AB63" s="146">
        <f>VLOOKUP($C$61,Servant!$B$5:$AD$29,18,FALSE)+($F63+($F63*0.5*($D63-1)))*(AB$3-1)</f>
        <v>16450.392533333332</v>
      </c>
      <c r="AC63" s="146">
        <f>VLOOKUP($C$61,Servant!$B$5:$AD$29,18,FALSE)+($F63+($F63*0.5*($D63-1)))*(AC$3-1)</f>
        <v>17232.012160000002</v>
      </c>
      <c r="AD63" s="146">
        <f>VLOOKUP($C$61,Servant!$B$5:$AD$29,18,FALSE)+($F63+($F63*0.5*($D63-1)))*(AD$3-1)</f>
        <v>18013.631786666669</v>
      </c>
      <c r="AE63" s="146">
        <f>VLOOKUP($C$61,Servant!$B$5:$AD$29,18,FALSE)+($F63+($F63*0.5*($D63-1)))*(AE$3-1)</f>
        <v>18795.251413333335</v>
      </c>
      <c r="AF63" s="146">
        <f>VLOOKUP($C$61,Servant!$B$5:$AD$29,18,FALSE)+($F63+($F63*0.5*($D63-1)))*(AF$3-1)</f>
        <v>19576.871040000002</v>
      </c>
      <c r="AG63" s="146">
        <f>VLOOKUP($C$61,Servant!$B$5:$AD$29,18,FALSE)+($F63+($F63*0.5*($D63-1)))*(AG$3-1)</f>
        <v>20358.490666666668</v>
      </c>
      <c r="AH63" s="146">
        <f>VLOOKUP($C$61,Servant!$B$5:$AD$29,18,FALSE)+($F63+($F63*0.5*($D63-1)))*(AH$3-1)</f>
        <v>21140.110293333335</v>
      </c>
      <c r="AI63" s="146">
        <f>VLOOKUP($C$61,Servant!$B$5:$AD$29,18,FALSE)+($F63+($F63*0.5*($D63-1)))*(AI$3-1)</f>
        <v>21921.729920000002</v>
      </c>
      <c r="AJ63" s="146">
        <f>VLOOKUP($C$61,Servant!$B$5:$AD$29,18,FALSE)+($F63+($F63*0.5*($D63-1)))*(AJ$3-1)</f>
        <v>22703.349546666668</v>
      </c>
      <c r="AK63" s="146">
        <f>VLOOKUP($C$61,Servant!$B$5:$AD$29,18,FALSE)+($F63+($F63*0.5*($D63-1)))*(AK$3-1)</f>
        <v>23484.969173333335</v>
      </c>
    </row>
    <row r="64" spans="2:37" x14ac:dyDescent="0.3">
      <c r="B64" s="309"/>
      <c r="C64" s="301" t="s">
        <v>294</v>
      </c>
      <c r="D64" s="129">
        <v>4</v>
      </c>
      <c r="E64" s="124">
        <f>VLOOKUP($C$64,ServantLevelUPdStatus!$B$5:$AD$29,6,FALSE)+(VLOOKUP($C$64,ServantLevelUPdStatus!$B$5:$AD$29,6,FALSE)*0.5*(Simulator_AttkPow!$D64-1))</f>
        <v>520.72186666666676</v>
      </c>
      <c r="F64" s="124">
        <f>VLOOKUP($C$64,ServantLevelUPdStatus!$B$5:$AD$29,6,FALSE)</f>
        <v>208.28874666666667</v>
      </c>
      <c r="H64" s="115">
        <f>VLOOKUP($C$64,Servant!$B$5:$AD$29,18,FALSE)+($F64+($F64*0.5*($D64-1)))*(H$3-1)</f>
        <v>763</v>
      </c>
      <c r="I64" s="115">
        <f>VLOOKUP($C$64,Servant!$B$5:$AD$29,18,FALSE)+($F64+($F64*0.5*($D64-1)))*(I$3-1)</f>
        <v>1283.7218666666668</v>
      </c>
      <c r="J64" s="115">
        <f>VLOOKUP($C$64,Servant!$B$5:$AD$29,18,FALSE)+($F64+($F64*0.5*($D64-1)))*(J$3-1)</f>
        <v>1804.4437333333335</v>
      </c>
      <c r="K64" s="115">
        <f>VLOOKUP($C$64,Servant!$B$5:$AD$29,18,FALSE)+($F64+($F64*0.5*($D64-1)))*(K$3-1)</f>
        <v>2325.1656000000003</v>
      </c>
      <c r="L64" s="115">
        <f>VLOOKUP($C$64,Servant!$B$5:$AD$29,18,FALSE)+($F64+($F64*0.5*($D64-1)))*(L$3-1)</f>
        <v>2845.887466666667</v>
      </c>
      <c r="M64" s="115">
        <f>VLOOKUP($C$64,Servant!$B$5:$AD$29,18,FALSE)+($F64+($F64*0.5*($D64-1)))*(M$3-1)</f>
        <v>3366.6093333333338</v>
      </c>
      <c r="N64" s="115">
        <f>VLOOKUP($C$64,Servant!$B$5:$AD$29,18,FALSE)+($F64+($F64*0.5*($D64-1)))*(N$3-1)</f>
        <v>3887.3312000000005</v>
      </c>
      <c r="O64" s="115">
        <f>VLOOKUP($C$64,Servant!$B$5:$AD$29,18,FALSE)+($F64+($F64*0.5*($D64-1)))*(O$3-1)</f>
        <v>4408.0530666666673</v>
      </c>
      <c r="P64" s="115">
        <f>VLOOKUP($C$64,Servant!$B$5:$AD$29,18,FALSE)+($F64+($F64*0.5*($D64-1)))*(P$3-1)</f>
        <v>4928.774933333334</v>
      </c>
      <c r="Q64" s="115">
        <f>VLOOKUP($C$64,Servant!$B$5:$AD$29,18,FALSE)+($F64+($F64*0.5*($D64-1)))*(Q$3-1)</f>
        <v>5449.4968000000008</v>
      </c>
      <c r="R64" s="115">
        <f>VLOOKUP($C$64,Servant!$B$5:$AD$29,18,FALSE)+($F64+($F64*0.5*($D64-1)))*(R$3-1)</f>
        <v>5970.2186666666676</v>
      </c>
      <c r="S64" s="115">
        <f>VLOOKUP($C$64,Servant!$B$5:$AD$29,18,FALSE)+($F64+($F64*0.5*($D64-1)))*(S$3-1)</f>
        <v>6490.9405333333343</v>
      </c>
      <c r="T64" s="115">
        <f>VLOOKUP($C$64,Servant!$B$5:$AD$29,18,FALSE)+($F64+($F64*0.5*($D64-1)))*(T$3-1)</f>
        <v>7011.6624000000011</v>
      </c>
      <c r="U64" s="115">
        <f>VLOOKUP($C$64,Servant!$B$5:$AD$29,18,FALSE)+($F64+($F64*0.5*($D64-1)))*(U$3-1)</f>
        <v>7532.3842666666678</v>
      </c>
      <c r="V64" s="115">
        <f>VLOOKUP($C$64,Servant!$B$5:$AD$29,18,FALSE)+($F64+($F64*0.5*($D64-1)))*(V$3-1)</f>
        <v>8053.1061333333346</v>
      </c>
      <c r="W64" s="115">
        <f>VLOOKUP($C$64,Servant!$B$5:$AD$29,18,FALSE)+($F64+($F64*0.5*($D64-1)))*(W$3-1)</f>
        <v>8573.8280000000013</v>
      </c>
      <c r="X64" s="115">
        <f>VLOOKUP($C$64,Servant!$B$5:$AD$29,18,FALSE)+($F64+($F64*0.5*($D64-1)))*(X$3-1)</f>
        <v>9094.5498666666681</v>
      </c>
      <c r="Y64" s="115">
        <f>VLOOKUP($C$64,Servant!$B$5:$AD$29,18,FALSE)+($F64+($F64*0.5*($D64-1)))*(Y$3-1)</f>
        <v>9615.2717333333349</v>
      </c>
      <c r="Z64" s="115">
        <f>VLOOKUP($C$64,Servant!$B$5:$AD$29,18,FALSE)+($F64+($F64*0.5*($D64-1)))*(Z$3-1)</f>
        <v>10135.993600000002</v>
      </c>
      <c r="AA64" s="115">
        <f>VLOOKUP($C$64,Servant!$B$5:$AD$29,18,FALSE)+($F64+($F64*0.5*($D64-1)))*(AA$3-1)</f>
        <v>10656.715466666668</v>
      </c>
      <c r="AB64" s="115">
        <f>VLOOKUP($C$64,Servant!$B$5:$AD$29,18,FALSE)+($F64+($F64*0.5*($D64-1)))*(AB$3-1)</f>
        <v>11177.437333333335</v>
      </c>
      <c r="AC64" s="115">
        <f>VLOOKUP($C$64,Servant!$B$5:$AD$29,18,FALSE)+($F64+($F64*0.5*($D64-1)))*(AC$3-1)</f>
        <v>11698.159200000002</v>
      </c>
      <c r="AD64" s="115">
        <f>VLOOKUP($C$64,Servant!$B$5:$AD$29,18,FALSE)+($F64+($F64*0.5*($D64-1)))*(AD$3-1)</f>
        <v>12218.881066666669</v>
      </c>
      <c r="AE64" s="115">
        <f>VLOOKUP($C$64,Servant!$B$5:$AD$29,18,FALSE)+($F64+($F64*0.5*($D64-1)))*(AE$3-1)</f>
        <v>12739.602933333335</v>
      </c>
      <c r="AF64" s="115">
        <f>VLOOKUP($C$64,Servant!$B$5:$AD$29,18,FALSE)+($F64+($F64*0.5*($D64-1)))*(AF$3-1)</f>
        <v>13260.324800000002</v>
      </c>
      <c r="AG64" s="115">
        <f>VLOOKUP($C$64,Servant!$B$5:$AD$29,18,FALSE)+($F64+($F64*0.5*($D64-1)))*(AG$3-1)</f>
        <v>13781.046666666669</v>
      </c>
      <c r="AH64" s="115">
        <f>VLOOKUP($C$64,Servant!$B$5:$AD$29,18,FALSE)+($F64+($F64*0.5*($D64-1)))*(AH$3-1)</f>
        <v>14301.768533333336</v>
      </c>
      <c r="AI64" s="115">
        <f>VLOOKUP($C$64,Servant!$B$5:$AD$29,18,FALSE)+($F64+($F64*0.5*($D64-1)))*(AI$3-1)</f>
        <v>14822.490400000002</v>
      </c>
      <c r="AJ64" s="115">
        <f>VLOOKUP($C$64,Servant!$B$5:$AD$29,18,FALSE)+($F64+($F64*0.5*($D64-1)))*(AJ$3-1)</f>
        <v>15343.212266666669</v>
      </c>
      <c r="AK64" s="115">
        <f>VLOOKUP($C$64,Servant!$B$5:$AD$29,18,FALSE)+($F64+($F64*0.5*($D64-1)))*(AK$3-1)</f>
        <v>15863.934133333336</v>
      </c>
    </row>
    <row r="65" spans="2:37" x14ac:dyDescent="0.3">
      <c r="B65" s="309"/>
      <c r="C65" s="302"/>
      <c r="D65" s="129">
        <v>5</v>
      </c>
      <c r="E65" s="124">
        <f>VLOOKUP($C$64,ServantLevelUPdStatus!$B$5:$AD$29,6,FALSE)+(VLOOKUP($C$64,ServantLevelUPdStatus!$B$5:$AD$29,6,FALSE)*0.5*(Simulator_AttkPow!$D65-1))</f>
        <v>624.86624000000006</v>
      </c>
      <c r="F65" s="123">
        <f>F64</f>
        <v>208.28874666666667</v>
      </c>
      <c r="H65" s="115">
        <f>VLOOKUP($C$64,Servant!$B$5:$AD$29,18,FALSE)+($F65+($F65*0.5*($D65-1)))*(H$3-1)</f>
        <v>763</v>
      </c>
      <c r="I65" s="115">
        <f>VLOOKUP($C$64,Servant!$B$5:$AD$29,18,FALSE)+($F65+($F65*0.5*($D65-1)))*(I$3-1)</f>
        <v>1387.8662400000001</v>
      </c>
      <c r="J65" s="115">
        <f>VLOOKUP($C$64,Servant!$B$5:$AD$29,18,FALSE)+($F65+($F65*0.5*($D65-1)))*(J$3-1)</f>
        <v>2012.7324800000001</v>
      </c>
      <c r="K65" s="115">
        <f>VLOOKUP($C$64,Servant!$B$5:$AD$29,18,FALSE)+($F65+($F65*0.5*($D65-1)))*(K$3-1)</f>
        <v>2637.59872</v>
      </c>
      <c r="L65" s="115">
        <f>VLOOKUP($C$64,Servant!$B$5:$AD$29,18,FALSE)+($F65+($F65*0.5*($D65-1)))*(L$3-1)</f>
        <v>3262.4649600000002</v>
      </c>
      <c r="M65" s="115">
        <f>VLOOKUP($C$64,Servant!$B$5:$AD$29,18,FALSE)+($F65+($F65*0.5*($D65-1)))*(M$3-1)</f>
        <v>3887.3312000000005</v>
      </c>
      <c r="N65" s="115">
        <f>VLOOKUP($C$64,Servant!$B$5:$AD$29,18,FALSE)+($F65+($F65*0.5*($D65-1)))*(N$3-1)</f>
        <v>4512.1974399999999</v>
      </c>
      <c r="O65" s="115">
        <f>VLOOKUP($C$64,Servant!$B$5:$AD$29,18,FALSE)+($F65+($F65*0.5*($D65-1)))*(O$3-1)</f>
        <v>5137.0636800000002</v>
      </c>
      <c r="P65" s="115">
        <f>VLOOKUP($C$64,Servant!$B$5:$AD$29,18,FALSE)+($F65+($F65*0.5*($D65-1)))*(P$3-1)</f>
        <v>5761.9299200000005</v>
      </c>
      <c r="Q65" s="115">
        <f>VLOOKUP($C$64,Servant!$B$5:$AD$29,18,FALSE)+($F65+($F65*0.5*($D65-1)))*(Q$3-1)</f>
        <v>6386.7961600000008</v>
      </c>
      <c r="R65" s="115">
        <f>VLOOKUP($C$64,Servant!$B$5:$AD$29,18,FALSE)+($F65+($F65*0.5*($D65-1)))*(R$3-1)</f>
        <v>7011.6624000000011</v>
      </c>
      <c r="S65" s="115">
        <f>VLOOKUP($C$64,Servant!$B$5:$AD$29,18,FALSE)+($F65+($F65*0.5*($D65-1)))*(S$3-1)</f>
        <v>7636.5286400000005</v>
      </c>
      <c r="T65" s="115">
        <f>VLOOKUP($C$64,Servant!$B$5:$AD$29,18,FALSE)+($F65+($F65*0.5*($D65-1)))*(T$3-1)</f>
        <v>8261.3948799999998</v>
      </c>
      <c r="U65" s="115">
        <f>VLOOKUP($C$64,Servant!$B$5:$AD$29,18,FALSE)+($F65+($F65*0.5*($D65-1)))*(U$3-1)</f>
        <v>8886.261120000001</v>
      </c>
      <c r="V65" s="115">
        <f>VLOOKUP($C$64,Servant!$B$5:$AD$29,18,FALSE)+($F65+($F65*0.5*($D65-1)))*(V$3-1)</f>
        <v>9511.1273600000004</v>
      </c>
      <c r="W65" s="115">
        <f>VLOOKUP($C$64,Servant!$B$5:$AD$29,18,FALSE)+($F65+($F65*0.5*($D65-1)))*(W$3-1)</f>
        <v>10135.993600000002</v>
      </c>
      <c r="X65" s="115">
        <f>VLOOKUP($C$64,Servant!$B$5:$AD$29,18,FALSE)+($F65+($F65*0.5*($D65-1)))*(X$3-1)</f>
        <v>10760.859840000001</v>
      </c>
      <c r="Y65" s="115">
        <f>VLOOKUP($C$64,Servant!$B$5:$AD$29,18,FALSE)+($F65+($F65*0.5*($D65-1)))*(Y$3-1)</f>
        <v>11385.72608</v>
      </c>
      <c r="Z65" s="115">
        <f>VLOOKUP($C$64,Servant!$B$5:$AD$29,18,FALSE)+($F65+($F65*0.5*($D65-1)))*(Z$3-1)</f>
        <v>12010.592320000002</v>
      </c>
      <c r="AA65" s="115">
        <f>VLOOKUP($C$64,Servant!$B$5:$AD$29,18,FALSE)+($F65+($F65*0.5*($D65-1)))*(AA$3-1)</f>
        <v>12635.458560000001</v>
      </c>
      <c r="AB65" s="115">
        <f>VLOOKUP($C$64,Servant!$B$5:$AD$29,18,FALSE)+($F65+($F65*0.5*($D65-1)))*(AB$3-1)</f>
        <v>13260.324800000002</v>
      </c>
      <c r="AC65" s="115">
        <f>VLOOKUP($C$64,Servant!$B$5:$AD$29,18,FALSE)+($F65+($F65*0.5*($D65-1)))*(AC$3-1)</f>
        <v>13885.191040000002</v>
      </c>
      <c r="AD65" s="115">
        <f>VLOOKUP($C$64,Servant!$B$5:$AD$29,18,FALSE)+($F65+($F65*0.5*($D65-1)))*(AD$3-1)</f>
        <v>14510.057280000001</v>
      </c>
      <c r="AE65" s="115">
        <f>VLOOKUP($C$64,Servant!$B$5:$AD$29,18,FALSE)+($F65+($F65*0.5*($D65-1)))*(AE$3-1)</f>
        <v>15134.923520000002</v>
      </c>
      <c r="AF65" s="115">
        <f>VLOOKUP($C$64,Servant!$B$5:$AD$29,18,FALSE)+($F65+($F65*0.5*($D65-1)))*(AF$3-1)</f>
        <v>15759.789760000001</v>
      </c>
      <c r="AG65" s="115">
        <f>VLOOKUP($C$64,Servant!$B$5:$AD$29,18,FALSE)+($F65+($F65*0.5*($D65-1)))*(AG$3-1)</f>
        <v>16384.656000000003</v>
      </c>
      <c r="AH65" s="115">
        <f>VLOOKUP($C$64,Servant!$B$5:$AD$29,18,FALSE)+($F65+($F65*0.5*($D65-1)))*(AH$3-1)</f>
        <v>17009.522240000002</v>
      </c>
      <c r="AI65" s="115">
        <f>VLOOKUP($C$64,Servant!$B$5:$AD$29,18,FALSE)+($F65+($F65*0.5*($D65-1)))*(AI$3-1)</f>
        <v>17634.388480000001</v>
      </c>
      <c r="AJ65" s="115">
        <f>VLOOKUP($C$64,Servant!$B$5:$AD$29,18,FALSE)+($F65+($F65*0.5*($D65-1)))*(AJ$3-1)</f>
        <v>18259.254720000001</v>
      </c>
      <c r="AK65" s="115">
        <f>VLOOKUP($C$64,Servant!$B$5:$AD$29,18,FALSE)+($F65+($F65*0.5*($D65-1)))*(AK$3-1)</f>
        <v>18884.12096</v>
      </c>
    </row>
    <row r="66" spans="2:37" x14ac:dyDescent="0.3">
      <c r="B66" s="309"/>
      <c r="C66" s="303"/>
      <c r="D66" s="129">
        <v>6</v>
      </c>
      <c r="E66" s="124">
        <f>VLOOKUP($C$64,ServantLevelUPdStatus!$B$5:$AD$29,6,FALSE)+(VLOOKUP($C$64,ServantLevelUPdStatus!$B$5:$AD$29,6,FALSE)*0.5*(Simulator_AttkPow!$D66-1))</f>
        <v>729.01061333333337</v>
      </c>
      <c r="F66" s="123">
        <f>F65</f>
        <v>208.28874666666667</v>
      </c>
      <c r="H66" s="115">
        <f>VLOOKUP($C$64,Servant!$B$5:$AD$29,18,FALSE)+($F66+($F66*0.5*($D66-1)))*(H$3-1)</f>
        <v>763</v>
      </c>
      <c r="I66" s="115">
        <f>VLOOKUP($C$64,Servant!$B$5:$AD$29,18,FALSE)+($F66+($F66*0.5*($D66-1)))*(I$3-1)</f>
        <v>1492.0106133333334</v>
      </c>
      <c r="J66" s="115">
        <f>VLOOKUP($C$64,Servant!$B$5:$AD$29,18,FALSE)+($F66+($F66*0.5*($D66-1)))*(J$3-1)</f>
        <v>2221.0212266666667</v>
      </c>
      <c r="K66" s="115">
        <f>VLOOKUP($C$64,Servant!$B$5:$AD$29,18,FALSE)+($F66+($F66*0.5*($D66-1)))*(K$3-1)</f>
        <v>2950.0318400000001</v>
      </c>
      <c r="L66" s="115">
        <f>VLOOKUP($C$64,Servant!$B$5:$AD$29,18,FALSE)+($F66+($F66*0.5*($D66-1)))*(L$3-1)</f>
        <v>3679.0424533333335</v>
      </c>
      <c r="M66" s="115">
        <f>VLOOKUP($C$64,Servant!$B$5:$AD$29,18,FALSE)+($F66+($F66*0.5*($D66-1)))*(M$3-1)</f>
        <v>4408.0530666666673</v>
      </c>
      <c r="N66" s="115">
        <f>VLOOKUP($C$64,Servant!$B$5:$AD$29,18,FALSE)+($F66+($F66*0.5*($D66-1)))*(N$3-1)</f>
        <v>5137.0636800000002</v>
      </c>
      <c r="O66" s="115">
        <f>VLOOKUP($C$64,Servant!$B$5:$AD$29,18,FALSE)+($F66+($F66*0.5*($D66-1)))*(O$3-1)</f>
        <v>5866.0742933333331</v>
      </c>
      <c r="P66" s="115">
        <f>VLOOKUP($C$64,Servant!$B$5:$AD$29,18,FALSE)+($F66+($F66*0.5*($D66-1)))*(P$3-1)</f>
        <v>6595.0849066666669</v>
      </c>
      <c r="Q66" s="115">
        <f>VLOOKUP($C$64,Servant!$B$5:$AD$29,18,FALSE)+($F66+($F66*0.5*($D66-1)))*(Q$3-1)</f>
        <v>7324.0955200000008</v>
      </c>
      <c r="R66" s="115">
        <f>VLOOKUP($C$64,Servant!$B$5:$AD$29,18,FALSE)+($F66+($F66*0.5*($D66-1)))*(R$3-1)</f>
        <v>8053.1061333333337</v>
      </c>
      <c r="S66" s="115">
        <f>VLOOKUP($C$64,Servant!$B$5:$AD$29,18,FALSE)+($F66+($F66*0.5*($D66-1)))*(S$3-1)</f>
        <v>8782.1167466666666</v>
      </c>
      <c r="T66" s="115">
        <f>VLOOKUP($C$64,Servant!$B$5:$AD$29,18,FALSE)+($F66+($F66*0.5*($D66-1)))*(T$3-1)</f>
        <v>9511.1273600000004</v>
      </c>
      <c r="U66" s="115">
        <f>VLOOKUP($C$64,Servant!$B$5:$AD$29,18,FALSE)+($F66+($F66*0.5*($D66-1)))*(U$3-1)</f>
        <v>10240.137973333334</v>
      </c>
      <c r="V66" s="115">
        <f>VLOOKUP($C$64,Servant!$B$5:$AD$29,18,FALSE)+($F66+($F66*0.5*($D66-1)))*(V$3-1)</f>
        <v>10969.148586666666</v>
      </c>
      <c r="W66" s="115">
        <f>VLOOKUP($C$64,Servant!$B$5:$AD$29,18,FALSE)+($F66+($F66*0.5*($D66-1)))*(W$3-1)</f>
        <v>11698.1592</v>
      </c>
      <c r="X66" s="115">
        <f>VLOOKUP($C$64,Servant!$B$5:$AD$29,18,FALSE)+($F66+($F66*0.5*($D66-1)))*(X$3-1)</f>
        <v>12427.169813333334</v>
      </c>
      <c r="Y66" s="115">
        <f>VLOOKUP($C$64,Servant!$B$5:$AD$29,18,FALSE)+($F66+($F66*0.5*($D66-1)))*(Y$3-1)</f>
        <v>13156.180426666668</v>
      </c>
      <c r="Z66" s="115">
        <f>VLOOKUP($C$64,Servant!$B$5:$AD$29,18,FALSE)+($F66+($F66*0.5*($D66-1)))*(Z$3-1)</f>
        <v>13885.191040000002</v>
      </c>
      <c r="AA66" s="115">
        <f>VLOOKUP($C$64,Servant!$B$5:$AD$29,18,FALSE)+($F66+($F66*0.5*($D66-1)))*(AA$3-1)</f>
        <v>14614.201653333334</v>
      </c>
      <c r="AB66" s="115">
        <f>VLOOKUP($C$64,Servant!$B$5:$AD$29,18,FALSE)+($F66+($F66*0.5*($D66-1)))*(AB$3-1)</f>
        <v>15343.212266666667</v>
      </c>
      <c r="AC66" s="115">
        <f>VLOOKUP($C$64,Servant!$B$5:$AD$29,18,FALSE)+($F66+($F66*0.5*($D66-1)))*(AC$3-1)</f>
        <v>16072.222880000001</v>
      </c>
      <c r="AD66" s="115">
        <f>VLOOKUP($C$64,Servant!$B$5:$AD$29,18,FALSE)+($F66+($F66*0.5*($D66-1)))*(AD$3-1)</f>
        <v>16801.233493333333</v>
      </c>
      <c r="AE66" s="115">
        <f>VLOOKUP($C$64,Servant!$B$5:$AD$29,18,FALSE)+($F66+($F66*0.5*($D66-1)))*(AE$3-1)</f>
        <v>17530.244106666669</v>
      </c>
      <c r="AF66" s="115">
        <f>VLOOKUP($C$64,Servant!$B$5:$AD$29,18,FALSE)+($F66+($F66*0.5*($D66-1)))*(AF$3-1)</f>
        <v>18259.254720000001</v>
      </c>
      <c r="AG66" s="115">
        <f>VLOOKUP($C$64,Servant!$B$5:$AD$29,18,FALSE)+($F66+($F66*0.5*($D66-1)))*(AG$3-1)</f>
        <v>18988.265333333333</v>
      </c>
      <c r="AH66" s="115">
        <f>VLOOKUP($C$64,Servant!$B$5:$AD$29,18,FALSE)+($F66+($F66*0.5*($D66-1)))*(AH$3-1)</f>
        <v>19717.275946666668</v>
      </c>
      <c r="AI66" s="115">
        <f>VLOOKUP($C$64,Servant!$B$5:$AD$29,18,FALSE)+($F66+($F66*0.5*($D66-1)))*(AI$3-1)</f>
        <v>20446.28656</v>
      </c>
      <c r="AJ66" s="115">
        <f>VLOOKUP($C$64,Servant!$B$5:$AD$29,18,FALSE)+($F66+($F66*0.5*($D66-1)))*(AJ$3-1)</f>
        <v>21175.297173333332</v>
      </c>
      <c r="AK66" s="115">
        <f>VLOOKUP($C$64,Servant!$B$5:$AD$29,18,FALSE)+($F66+($F66*0.5*($D66-1)))*(AK$3-1)</f>
        <v>21904.307786666668</v>
      </c>
    </row>
    <row r="67" spans="2:37" x14ac:dyDescent="0.3">
      <c r="B67" s="309"/>
      <c r="C67" s="304" t="s">
        <v>295</v>
      </c>
      <c r="D67" s="144">
        <v>4</v>
      </c>
      <c r="E67" s="145">
        <f>VLOOKUP($C$67,ServantLevelUPdStatus!$B$5:$AD$29,6,FALSE)+(VLOOKUP($C$67,ServantLevelUPdStatus!$B$5:$AD$29,6,FALSE)*0.5*(Simulator_AttkPow!$D67-1))</f>
        <v>504.61706666666674</v>
      </c>
      <c r="F67" s="145">
        <f>VLOOKUP($C$67,ServantLevelUPdStatus!$B$5:$AD$29,6,FALSE)</f>
        <v>201.84682666666669</v>
      </c>
      <c r="H67" s="146">
        <f>VLOOKUP($C$67,Servant!$B$5:$AD$29,18,FALSE)+($F67+($F67*0.5*($D67-1)))*(H$3-1)</f>
        <v>739</v>
      </c>
      <c r="I67" s="146">
        <f>VLOOKUP($C$67,Servant!$B$5:$AD$29,18,FALSE)+($F67+($F67*0.5*($D67-1)))*(I$3-1)</f>
        <v>1243.6170666666667</v>
      </c>
      <c r="J67" s="146">
        <f>VLOOKUP($C$67,Servant!$B$5:$AD$29,18,FALSE)+($F67+($F67*0.5*($D67-1)))*(J$3-1)</f>
        <v>1748.2341333333334</v>
      </c>
      <c r="K67" s="146">
        <f>VLOOKUP($C$67,Servant!$B$5:$AD$29,18,FALSE)+($F67+($F67*0.5*($D67-1)))*(K$3-1)</f>
        <v>2252.8512000000001</v>
      </c>
      <c r="L67" s="146">
        <f>VLOOKUP($C$67,Servant!$B$5:$AD$29,18,FALSE)+($F67+($F67*0.5*($D67-1)))*(L$3-1)</f>
        <v>2757.4682666666668</v>
      </c>
      <c r="M67" s="146">
        <f>VLOOKUP($C$67,Servant!$B$5:$AD$29,18,FALSE)+($F67+($F67*0.5*($D67-1)))*(M$3-1)</f>
        <v>3262.0853333333339</v>
      </c>
      <c r="N67" s="146">
        <f>VLOOKUP($C$67,Servant!$B$5:$AD$29,18,FALSE)+($F67+($F67*0.5*($D67-1)))*(N$3-1)</f>
        <v>3766.7024000000006</v>
      </c>
      <c r="O67" s="146">
        <f>VLOOKUP($C$67,Servant!$B$5:$AD$29,18,FALSE)+($F67+($F67*0.5*($D67-1)))*(O$3-1)</f>
        <v>4271.3194666666677</v>
      </c>
      <c r="P67" s="146">
        <f>VLOOKUP($C$67,Servant!$B$5:$AD$29,18,FALSE)+($F67+($F67*0.5*($D67-1)))*(P$3-1)</f>
        <v>4775.9365333333335</v>
      </c>
      <c r="Q67" s="146">
        <f>VLOOKUP($C$67,Servant!$B$5:$AD$29,18,FALSE)+($F67+($F67*0.5*($D67-1)))*(Q$3-1)</f>
        <v>5280.5536000000011</v>
      </c>
      <c r="R67" s="146">
        <f>VLOOKUP($C$67,Servant!$B$5:$AD$29,18,FALSE)+($F67+($F67*0.5*($D67-1)))*(R$3-1)</f>
        <v>5785.1706666666678</v>
      </c>
      <c r="S67" s="146">
        <f>VLOOKUP($C$67,Servant!$B$5:$AD$29,18,FALSE)+($F67+($F67*0.5*($D67-1)))*(S$3-1)</f>
        <v>6289.7877333333345</v>
      </c>
      <c r="T67" s="146">
        <f>VLOOKUP($C$67,Servant!$B$5:$AD$29,18,FALSE)+($F67+($F67*0.5*($D67-1)))*(T$3-1)</f>
        <v>6794.4048000000012</v>
      </c>
      <c r="U67" s="146">
        <f>VLOOKUP($C$67,Servant!$B$5:$AD$29,18,FALSE)+($F67+($F67*0.5*($D67-1)))*(U$3-1)</f>
        <v>7299.0218666666678</v>
      </c>
      <c r="V67" s="146">
        <f>VLOOKUP($C$67,Servant!$B$5:$AD$29,18,FALSE)+($F67+($F67*0.5*($D67-1)))*(V$3-1)</f>
        <v>7803.6389333333345</v>
      </c>
      <c r="W67" s="146">
        <f>VLOOKUP($C$67,Servant!$B$5:$AD$29,18,FALSE)+($F67+($F67*0.5*($D67-1)))*(W$3-1)</f>
        <v>8308.2560000000012</v>
      </c>
      <c r="X67" s="146">
        <f>VLOOKUP($C$67,Servant!$B$5:$AD$29,18,FALSE)+($F67+($F67*0.5*($D67-1)))*(X$3-1)</f>
        <v>8812.873066666667</v>
      </c>
      <c r="Y67" s="146">
        <f>VLOOKUP($C$67,Servant!$B$5:$AD$29,18,FALSE)+($F67+($F67*0.5*($D67-1)))*(Y$3-1)</f>
        <v>9317.4901333333346</v>
      </c>
      <c r="Z67" s="146">
        <f>VLOOKUP($C$67,Servant!$B$5:$AD$29,18,FALSE)+($F67+($F67*0.5*($D67-1)))*(Z$3-1)</f>
        <v>9822.1072000000022</v>
      </c>
      <c r="AA67" s="146">
        <f>VLOOKUP($C$67,Servant!$B$5:$AD$29,18,FALSE)+($F67+($F67*0.5*($D67-1)))*(AA$3-1)</f>
        <v>10326.724266666668</v>
      </c>
      <c r="AB67" s="146">
        <f>VLOOKUP($C$67,Servant!$B$5:$AD$29,18,FALSE)+($F67+($F67*0.5*($D67-1)))*(AB$3-1)</f>
        <v>10831.341333333336</v>
      </c>
      <c r="AC67" s="146">
        <f>VLOOKUP($C$67,Servant!$B$5:$AD$29,18,FALSE)+($F67+($F67*0.5*($D67-1)))*(AC$3-1)</f>
        <v>11335.958400000001</v>
      </c>
      <c r="AD67" s="146">
        <f>VLOOKUP($C$67,Servant!$B$5:$AD$29,18,FALSE)+($F67+($F67*0.5*($D67-1)))*(AD$3-1)</f>
        <v>11840.575466666669</v>
      </c>
      <c r="AE67" s="146">
        <f>VLOOKUP($C$67,Servant!$B$5:$AD$29,18,FALSE)+($F67+($F67*0.5*($D67-1)))*(AE$3-1)</f>
        <v>12345.192533333335</v>
      </c>
      <c r="AF67" s="146">
        <f>VLOOKUP($C$67,Servant!$B$5:$AD$29,18,FALSE)+($F67+($F67*0.5*($D67-1)))*(AF$3-1)</f>
        <v>12849.809600000002</v>
      </c>
      <c r="AG67" s="146">
        <f>VLOOKUP($C$67,Servant!$B$5:$AD$29,18,FALSE)+($F67+($F67*0.5*($D67-1)))*(AG$3-1)</f>
        <v>13354.426666666668</v>
      </c>
      <c r="AH67" s="146">
        <f>VLOOKUP($C$67,Servant!$B$5:$AD$29,18,FALSE)+($F67+($F67*0.5*($D67-1)))*(AH$3-1)</f>
        <v>13859.043733333336</v>
      </c>
      <c r="AI67" s="146">
        <f>VLOOKUP($C$67,Servant!$B$5:$AD$29,18,FALSE)+($F67+($F67*0.5*($D67-1)))*(AI$3-1)</f>
        <v>14363.660800000001</v>
      </c>
      <c r="AJ67" s="146">
        <f>VLOOKUP($C$67,Servant!$B$5:$AD$29,18,FALSE)+($F67+($F67*0.5*($D67-1)))*(AJ$3-1)</f>
        <v>14868.277866666669</v>
      </c>
      <c r="AK67" s="146">
        <f>VLOOKUP($C$67,Servant!$B$5:$AD$29,18,FALSE)+($F67+($F67*0.5*($D67-1)))*(AK$3-1)</f>
        <v>15372.894933333335</v>
      </c>
    </row>
    <row r="68" spans="2:37" x14ac:dyDescent="0.3">
      <c r="B68" s="309"/>
      <c r="C68" s="305"/>
      <c r="D68" s="144">
        <v>5</v>
      </c>
      <c r="E68" s="145">
        <f>VLOOKUP($C$67,ServantLevelUPdStatus!$B$5:$AD$29,6,FALSE)+(VLOOKUP($C$67,ServantLevelUPdStatus!$B$5:$AD$29,6,FALSE)*0.5*(Simulator_AttkPow!$D68-1))</f>
        <v>605.54048000000012</v>
      </c>
      <c r="F68" s="147">
        <f>F67</f>
        <v>201.84682666666669</v>
      </c>
      <c r="H68" s="146">
        <f>VLOOKUP($C$67,Servant!$B$5:$AD$29,18,FALSE)+($F68+($F68*0.5*($D68-1)))*(H$3-1)</f>
        <v>739</v>
      </c>
      <c r="I68" s="146">
        <f>VLOOKUP($C$67,Servant!$B$5:$AD$29,18,FALSE)+($F68+($F68*0.5*($D68-1)))*(I$3-1)</f>
        <v>1344.5404800000001</v>
      </c>
      <c r="J68" s="146">
        <f>VLOOKUP($C$67,Servant!$B$5:$AD$29,18,FALSE)+($F68+($F68*0.5*($D68-1)))*(J$3-1)</f>
        <v>1950.0809600000002</v>
      </c>
      <c r="K68" s="146">
        <f>VLOOKUP($C$67,Servant!$B$5:$AD$29,18,FALSE)+($F68+($F68*0.5*($D68-1)))*(K$3-1)</f>
        <v>2555.6214400000003</v>
      </c>
      <c r="L68" s="146">
        <f>VLOOKUP($C$67,Servant!$B$5:$AD$29,18,FALSE)+($F68+($F68*0.5*($D68-1)))*(L$3-1)</f>
        <v>3161.1619200000005</v>
      </c>
      <c r="M68" s="146">
        <f>VLOOKUP($C$67,Servant!$B$5:$AD$29,18,FALSE)+($F68+($F68*0.5*($D68-1)))*(M$3-1)</f>
        <v>3766.7024000000006</v>
      </c>
      <c r="N68" s="146">
        <f>VLOOKUP($C$67,Servant!$B$5:$AD$29,18,FALSE)+($F68+($F68*0.5*($D68-1)))*(N$3-1)</f>
        <v>4372.2428800000007</v>
      </c>
      <c r="O68" s="146">
        <f>VLOOKUP($C$67,Servant!$B$5:$AD$29,18,FALSE)+($F68+($F68*0.5*($D68-1)))*(O$3-1)</f>
        <v>4977.7833600000013</v>
      </c>
      <c r="P68" s="146">
        <f>VLOOKUP($C$67,Servant!$B$5:$AD$29,18,FALSE)+($F68+($F68*0.5*($D68-1)))*(P$3-1)</f>
        <v>5583.3238400000009</v>
      </c>
      <c r="Q68" s="146">
        <f>VLOOKUP($C$67,Servant!$B$5:$AD$29,18,FALSE)+($F68+($F68*0.5*($D68-1)))*(Q$3-1)</f>
        <v>6188.8643200000006</v>
      </c>
      <c r="R68" s="146">
        <f>VLOOKUP($C$67,Servant!$B$5:$AD$29,18,FALSE)+($F68+($F68*0.5*($D68-1)))*(R$3-1)</f>
        <v>6794.4048000000012</v>
      </c>
      <c r="S68" s="146">
        <f>VLOOKUP($C$67,Servant!$B$5:$AD$29,18,FALSE)+($F68+($F68*0.5*($D68-1)))*(S$3-1)</f>
        <v>7399.9452800000017</v>
      </c>
      <c r="T68" s="146">
        <f>VLOOKUP($C$67,Servant!$B$5:$AD$29,18,FALSE)+($F68+($F68*0.5*($D68-1)))*(T$3-1)</f>
        <v>8005.4857600000014</v>
      </c>
      <c r="U68" s="146">
        <f>VLOOKUP($C$67,Servant!$B$5:$AD$29,18,FALSE)+($F68+($F68*0.5*($D68-1)))*(U$3-1)</f>
        <v>8611.0262400000011</v>
      </c>
      <c r="V68" s="146">
        <f>VLOOKUP($C$67,Servant!$B$5:$AD$29,18,FALSE)+($F68+($F68*0.5*($D68-1)))*(V$3-1)</f>
        <v>9216.5667200000025</v>
      </c>
      <c r="W68" s="146">
        <f>VLOOKUP($C$67,Servant!$B$5:$AD$29,18,FALSE)+($F68+($F68*0.5*($D68-1)))*(W$3-1)</f>
        <v>9822.1072000000022</v>
      </c>
      <c r="X68" s="146">
        <f>VLOOKUP($C$67,Servant!$B$5:$AD$29,18,FALSE)+($F68+($F68*0.5*($D68-1)))*(X$3-1)</f>
        <v>10427.647680000002</v>
      </c>
      <c r="Y68" s="146">
        <f>VLOOKUP($C$67,Servant!$B$5:$AD$29,18,FALSE)+($F68+($F68*0.5*($D68-1)))*(Y$3-1)</f>
        <v>11033.188160000002</v>
      </c>
      <c r="Z68" s="146">
        <f>VLOOKUP($C$67,Servant!$B$5:$AD$29,18,FALSE)+($F68+($F68*0.5*($D68-1)))*(Z$3-1)</f>
        <v>11638.728640000001</v>
      </c>
      <c r="AA68" s="146">
        <f>VLOOKUP($C$67,Servant!$B$5:$AD$29,18,FALSE)+($F68+($F68*0.5*($D68-1)))*(AA$3-1)</f>
        <v>12244.269120000003</v>
      </c>
      <c r="AB68" s="146">
        <f>VLOOKUP($C$67,Servant!$B$5:$AD$29,18,FALSE)+($F68+($F68*0.5*($D68-1)))*(AB$3-1)</f>
        <v>12849.809600000002</v>
      </c>
      <c r="AC68" s="146">
        <f>VLOOKUP($C$67,Servant!$B$5:$AD$29,18,FALSE)+($F68+($F68*0.5*($D68-1)))*(AC$3-1)</f>
        <v>13455.350080000002</v>
      </c>
      <c r="AD68" s="146">
        <f>VLOOKUP($C$67,Servant!$B$5:$AD$29,18,FALSE)+($F68+($F68*0.5*($D68-1)))*(AD$3-1)</f>
        <v>14060.890560000003</v>
      </c>
      <c r="AE68" s="146">
        <f>VLOOKUP($C$67,Servant!$B$5:$AD$29,18,FALSE)+($F68+($F68*0.5*($D68-1)))*(AE$3-1)</f>
        <v>14666.431040000003</v>
      </c>
      <c r="AF68" s="146">
        <f>VLOOKUP($C$67,Servant!$B$5:$AD$29,18,FALSE)+($F68+($F68*0.5*($D68-1)))*(AF$3-1)</f>
        <v>15271.971520000003</v>
      </c>
      <c r="AG68" s="146">
        <f>VLOOKUP($C$67,Servant!$B$5:$AD$29,18,FALSE)+($F68+($F68*0.5*($D68-1)))*(AG$3-1)</f>
        <v>15877.512000000002</v>
      </c>
      <c r="AH68" s="146">
        <f>VLOOKUP($C$67,Servant!$B$5:$AD$29,18,FALSE)+($F68+($F68*0.5*($D68-1)))*(AH$3-1)</f>
        <v>16483.052480000002</v>
      </c>
      <c r="AI68" s="146">
        <f>VLOOKUP($C$67,Servant!$B$5:$AD$29,18,FALSE)+($F68+($F68*0.5*($D68-1)))*(AI$3-1)</f>
        <v>17088.592960000002</v>
      </c>
      <c r="AJ68" s="146">
        <f>VLOOKUP($C$67,Servant!$B$5:$AD$29,18,FALSE)+($F68+($F68*0.5*($D68-1)))*(AJ$3-1)</f>
        <v>17694.133440000005</v>
      </c>
      <c r="AK68" s="146">
        <f>VLOOKUP($C$67,Servant!$B$5:$AD$29,18,FALSE)+($F68+($F68*0.5*($D68-1)))*(AK$3-1)</f>
        <v>18299.673920000005</v>
      </c>
    </row>
    <row r="69" spans="2:37" x14ac:dyDescent="0.3">
      <c r="B69" s="309"/>
      <c r="C69" s="306"/>
      <c r="D69" s="144">
        <v>6</v>
      </c>
      <c r="E69" s="145">
        <f>VLOOKUP($C$67,ServantLevelUPdStatus!$B$5:$AD$29,6,FALSE)+(VLOOKUP($C$67,ServantLevelUPdStatus!$B$5:$AD$29,6,FALSE)*0.5*(Simulator_AttkPow!$D69-1))</f>
        <v>706.46389333333332</v>
      </c>
      <c r="F69" s="147">
        <f>F68</f>
        <v>201.84682666666669</v>
      </c>
      <c r="H69" s="146">
        <f>VLOOKUP($C$67,Servant!$B$5:$AD$29,18,FALSE)+($F69+($F69*0.5*($D69-1)))*(H$3-1)</f>
        <v>739</v>
      </c>
      <c r="I69" s="146">
        <f>VLOOKUP($C$67,Servant!$B$5:$AD$29,18,FALSE)+($F69+($F69*0.5*($D69-1)))*(I$3-1)</f>
        <v>1445.4638933333333</v>
      </c>
      <c r="J69" s="146">
        <f>VLOOKUP($C$67,Servant!$B$5:$AD$29,18,FALSE)+($F69+($F69*0.5*($D69-1)))*(J$3-1)</f>
        <v>2151.9277866666666</v>
      </c>
      <c r="K69" s="146">
        <f>VLOOKUP($C$67,Servant!$B$5:$AD$29,18,FALSE)+($F69+($F69*0.5*($D69-1)))*(K$3-1)</f>
        <v>2858.3916799999997</v>
      </c>
      <c r="L69" s="146">
        <f>VLOOKUP($C$67,Servant!$B$5:$AD$29,18,FALSE)+($F69+($F69*0.5*($D69-1)))*(L$3-1)</f>
        <v>3564.8555733333333</v>
      </c>
      <c r="M69" s="146">
        <f>VLOOKUP($C$67,Servant!$B$5:$AD$29,18,FALSE)+($F69+($F69*0.5*($D69-1)))*(M$3-1)</f>
        <v>4271.3194666666668</v>
      </c>
      <c r="N69" s="146">
        <f>VLOOKUP($C$67,Servant!$B$5:$AD$29,18,FALSE)+($F69+($F69*0.5*($D69-1)))*(N$3-1)</f>
        <v>4977.7833599999994</v>
      </c>
      <c r="O69" s="146">
        <f>VLOOKUP($C$67,Servant!$B$5:$AD$29,18,FALSE)+($F69+($F69*0.5*($D69-1)))*(O$3-1)</f>
        <v>5684.247253333333</v>
      </c>
      <c r="P69" s="146">
        <f>VLOOKUP($C$67,Servant!$B$5:$AD$29,18,FALSE)+($F69+($F69*0.5*($D69-1)))*(P$3-1)</f>
        <v>6390.7111466666665</v>
      </c>
      <c r="Q69" s="146">
        <f>VLOOKUP($C$67,Servant!$B$5:$AD$29,18,FALSE)+($F69+($F69*0.5*($D69-1)))*(Q$3-1)</f>
        <v>7097.1750400000001</v>
      </c>
      <c r="R69" s="146">
        <f>VLOOKUP($C$67,Servant!$B$5:$AD$29,18,FALSE)+($F69+($F69*0.5*($D69-1)))*(R$3-1)</f>
        <v>7803.6389333333336</v>
      </c>
      <c r="S69" s="146">
        <f>VLOOKUP($C$67,Servant!$B$5:$AD$29,18,FALSE)+($F69+($F69*0.5*($D69-1)))*(S$3-1)</f>
        <v>8510.1028266666654</v>
      </c>
      <c r="T69" s="146">
        <f>VLOOKUP($C$67,Servant!$B$5:$AD$29,18,FALSE)+($F69+($F69*0.5*($D69-1)))*(T$3-1)</f>
        <v>9216.5667199999989</v>
      </c>
      <c r="U69" s="146">
        <f>VLOOKUP($C$67,Servant!$B$5:$AD$29,18,FALSE)+($F69+($F69*0.5*($D69-1)))*(U$3-1)</f>
        <v>9923.0306133333324</v>
      </c>
      <c r="V69" s="146">
        <f>VLOOKUP($C$67,Servant!$B$5:$AD$29,18,FALSE)+($F69+($F69*0.5*($D69-1)))*(V$3-1)</f>
        <v>10629.494506666666</v>
      </c>
      <c r="W69" s="146">
        <f>VLOOKUP($C$67,Servant!$B$5:$AD$29,18,FALSE)+($F69+($F69*0.5*($D69-1)))*(W$3-1)</f>
        <v>11335.9584</v>
      </c>
      <c r="X69" s="146">
        <f>VLOOKUP($C$67,Servant!$B$5:$AD$29,18,FALSE)+($F69+($F69*0.5*($D69-1)))*(X$3-1)</f>
        <v>12042.422293333333</v>
      </c>
      <c r="Y69" s="146">
        <f>VLOOKUP($C$67,Servant!$B$5:$AD$29,18,FALSE)+($F69+($F69*0.5*($D69-1)))*(Y$3-1)</f>
        <v>12748.886186666667</v>
      </c>
      <c r="Z69" s="146">
        <f>VLOOKUP($C$67,Servant!$B$5:$AD$29,18,FALSE)+($F69+($F69*0.5*($D69-1)))*(Z$3-1)</f>
        <v>13455.35008</v>
      </c>
      <c r="AA69" s="146">
        <f>VLOOKUP($C$67,Servant!$B$5:$AD$29,18,FALSE)+($F69+($F69*0.5*($D69-1)))*(AA$3-1)</f>
        <v>14161.813973333334</v>
      </c>
      <c r="AB69" s="146">
        <f>VLOOKUP($C$67,Servant!$B$5:$AD$29,18,FALSE)+($F69+($F69*0.5*($D69-1)))*(AB$3-1)</f>
        <v>14868.277866666667</v>
      </c>
      <c r="AC69" s="146">
        <f>VLOOKUP($C$67,Servant!$B$5:$AD$29,18,FALSE)+($F69+($F69*0.5*($D69-1)))*(AC$3-1)</f>
        <v>15574.741759999999</v>
      </c>
      <c r="AD69" s="146">
        <f>VLOOKUP($C$67,Servant!$B$5:$AD$29,18,FALSE)+($F69+($F69*0.5*($D69-1)))*(AD$3-1)</f>
        <v>16281.205653333333</v>
      </c>
      <c r="AE69" s="146">
        <f>VLOOKUP($C$67,Servant!$B$5:$AD$29,18,FALSE)+($F69+($F69*0.5*($D69-1)))*(AE$3-1)</f>
        <v>16987.669546666664</v>
      </c>
      <c r="AF69" s="146">
        <f>VLOOKUP($C$67,Servant!$B$5:$AD$29,18,FALSE)+($F69+($F69*0.5*($D69-1)))*(AF$3-1)</f>
        <v>17694.133439999998</v>
      </c>
      <c r="AG69" s="146">
        <f>VLOOKUP($C$67,Servant!$B$5:$AD$29,18,FALSE)+($F69+($F69*0.5*($D69-1)))*(AG$3-1)</f>
        <v>18400.597333333331</v>
      </c>
      <c r="AH69" s="146">
        <f>VLOOKUP($C$67,Servant!$B$5:$AD$29,18,FALSE)+($F69+($F69*0.5*($D69-1)))*(AH$3-1)</f>
        <v>19107.061226666665</v>
      </c>
      <c r="AI69" s="146">
        <f>VLOOKUP($C$67,Servant!$B$5:$AD$29,18,FALSE)+($F69+($F69*0.5*($D69-1)))*(AI$3-1)</f>
        <v>19813.525119999998</v>
      </c>
      <c r="AJ69" s="146">
        <f>VLOOKUP($C$67,Servant!$B$5:$AD$29,18,FALSE)+($F69+($F69*0.5*($D69-1)))*(AJ$3-1)</f>
        <v>20519.989013333332</v>
      </c>
      <c r="AK69" s="146">
        <f>VLOOKUP($C$67,Servant!$B$5:$AD$29,18,FALSE)+($F69+($F69*0.5*($D69-1)))*(AK$3-1)</f>
        <v>21226.452906666666</v>
      </c>
    </row>
    <row r="70" spans="2:37" x14ac:dyDescent="0.3">
      <c r="B70" s="309"/>
      <c r="C70" s="301" t="s">
        <v>296</v>
      </c>
      <c r="D70" s="129">
        <v>4</v>
      </c>
      <c r="E70" s="124">
        <f>VLOOKUP($C$70,ServantLevelUPdStatus!$B$5:$AD$29,6,FALSE)+(VLOOKUP($C$70,ServantLevelUPdStatus!$B$5:$AD$29,6,FALSE)*0.5*(Simulator_AttkPow!$D70-1))</f>
        <v>456.30266666666671</v>
      </c>
      <c r="F70" s="124">
        <f>VLOOKUP($C$70,ServantLevelUPdStatus!$B$5:$AD$29,6,FALSE)</f>
        <v>182.52106666666668</v>
      </c>
      <c r="H70" s="115">
        <f>VLOOKUP($C$70,Servant!$B$5:$AD$29,18,FALSE)+($F70+($F70*0.5*($D70-1)))*(H$3-1)</f>
        <v>668</v>
      </c>
      <c r="I70" s="115">
        <f>VLOOKUP($C$70,Servant!$B$5:$AD$29,18,FALSE)+($F70+($F70*0.5*($D70-1)))*(I$3-1)</f>
        <v>1124.3026666666667</v>
      </c>
      <c r="J70" s="115">
        <f>VLOOKUP($C$70,Servant!$B$5:$AD$29,18,FALSE)+($F70+($F70*0.5*($D70-1)))*(J$3-1)</f>
        <v>1580.6053333333334</v>
      </c>
      <c r="K70" s="115">
        <f>VLOOKUP($C$70,Servant!$B$5:$AD$29,18,FALSE)+($F70+($F70*0.5*($D70-1)))*(K$3-1)</f>
        <v>2036.9080000000001</v>
      </c>
      <c r="L70" s="115">
        <f>VLOOKUP($C$70,Servant!$B$5:$AD$29,18,FALSE)+($F70+($F70*0.5*($D70-1)))*(L$3-1)</f>
        <v>2493.2106666666668</v>
      </c>
      <c r="M70" s="115">
        <f>VLOOKUP($C$70,Servant!$B$5:$AD$29,18,FALSE)+($F70+($F70*0.5*($D70-1)))*(M$3-1)</f>
        <v>2949.5133333333333</v>
      </c>
      <c r="N70" s="115">
        <f>VLOOKUP($C$70,Servant!$B$5:$AD$29,18,FALSE)+($F70+($F70*0.5*($D70-1)))*(N$3-1)</f>
        <v>3405.8160000000003</v>
      </c>
      <c r="O70" s="115">
        <f>VLOOKUP($C$70,Servant!$B$5:$AD$29,18,FALSE)+($F70+($F70*0.5*($D70-1)))*(O$3-1)</f>
        <v>3862.1186666666672</v>
      </c>
      <c r="P70" s="115">
        <f>VLOOKUP($C$70,Servant!$B$5:$AD$29,18,FALSE)+($F70+($F70*0.5*($D70-1)))*(P$3-1)</f>
        <v>4318.4213333333337</v>
      </c>
      <c r="Q70" s="115">
        <f>VLOOKUP($C$70,Servant!$B$5:$AD$29,18,FALSE)+($F70+($F70*0.5*($D70-1)))*(Q$3-1)</f>
        <v>4774.7240000000002</v>
      </c>
      <c r="R70" s="115">
        <f>VLOOKUP($C$70,Servant!$B$5:$AD$29,18,FALSE)+($F70+($F70*0.5*($D70-1)))*(R$3-1)</f>
        <v>5231.0266666666666</v>
      </c>
      <c r="S70" s="115">
        <f>VLOOKUP($C$70,Servant!$B$5:$AD$29,18,FALSE)+($F70+($F70*0.5*($D70-1)))*(S$3-1)</f>
        <v>5687.329333333334</v>
      </c>
      <c r="T70" s="115">
        <f>VLOOKUP($C$70,Servant!$B$5:$AD$29,18,FALSE)+($F70+($F70*0.5*($D70-1)))*(T$3-1)</f>
        <v>6143.6320000000005</v>
      </c>
      <c r="U70" s="115">
        <f>VLOOKUP($C$70,Servant!$B$5:$AD$29,18,FALSE)+($F70+($F70*0.5*($D70-1)))*(U$3-1)</f>
        <v>6599.934666666667</v>
      </c>
      <c r="V70" s="115">
        <f>VLOOKUP($C$70,Servant!$B$5:$AD$29,18,FALSE)+($F70+($F70*0.5*($D70-1)))*(V$3-1)</f>
        <v>7056.2373333333344</v>
      </c>
      <c r="W70" s="115">
        <f>VLOOKUP($C$70,Servant!$B$5:$AD$29,18,FALSE)+($F70+($F70*0.5*($D70-1)))*(W$3-1)</f>
        <v>7512.5400000000009</v>
      </c>
      <c r="X70" s="115">
        <f>VLOOKUP($C$70,Servant!$B$5:$AD$29,18,FALSE)+($F70+($F70*0.5*($D70-1)))*(X$3-1)</f>
        <v>7968.8426666666674</v>
      </c>
      <c r="Y70" s="115">
        <f>VLOOKUP($C$70,Servant!$B$5:$AD$29,18,FALSE)+($F70+($F70*0.5*($D70-1)))*(Y$3-1)</f>
        <v>8425.1453333333338</v>
      </c>
      <c r="Z70" s="115">
        <f>VLOOKUP($C$70,Servant!$B$5:$AD$29,18,FALSE)+($F70+($F70*0.5*($D70-1)))*(Z$3-1)</f>
        <v>8881.4480000000003</v>
      </c>
      <c r="AA70" s="115">
        <f>VLOOKUP($C$70,Servant!$B$5:$AD$29,18,FALSE)+($F70+($F70*0.5*($D70-1)))*(AA$3-1)</f>
        <v>9337.7506666666668</v>
      </c>
      <c r="AB70" s="115">
        <f>VLOOKUP($C$70,Servant!$B$5:$AD$29,18,FALSE)+($F70+($F70*0.5*($D70-1)))*(AB$3-1)</f>
        <v>9794.0533333333333</v>
      </c>
      <c r="AC70" s="115">
        <f>VLOOKUP($C$70,Servant!$B$5:$AD$29,18,FALSE)+($F70+($F70*0.5*($D70-1)))*(AC$3-1)</f>
        <v>10250.356000000002</v>
      </c>
      <c r="AD70" s="115">
        <f>VLOOKUP($C$70,Servant!$B$5:$AD$29,18,FALSE)+($F70+($F70*0.5*($D70-1)))*(AD$3-1)</f>
        <v>10706.658666666668</v>
      </c>
      <c r="AE70" s="115">
        <f>VLOOKUP($C$70,Servant!$B$5:$AD$29,18,FALSE)+($F70+($F70*0.5*($D70-1)))*(AE$3-1)</f>
        <v>11162.961333333335</v>
      </c>
      <c r="AF70" s="115">
        <f>VLOOKUP($C$70,Servant!$B$5:$AD$29,18,FALSE)+($F70+($F70*0.5*($D70-1)))*(AF$3-1)</f>
        <v>11619.264000000001</v>
      </c>
      <c r="AG70" s="115">
        <f>VLOOKUP($C$70,Servant!$B$5:$AD$29,18,FALSE)+($F70+($F70*0.5*($D70-1)))*(AG$3-1)</f>
        <v>12075.566666666668</v>
      </c>
      <c r="AH70" s="115">
        <f>VLOOKUP($C$70,Servant!$B$5:$AD$29,18,FALSE)+($F70+($F70*0.5*($D70-1)))*(AH$3-1)</f>
        <v>12531.869333333334</v>
      </c>
      <c r="AI70" s="115">
        <f>VLOOKUP($C$70,Servant!$B$5:$AD$29,18,FALSE)+($F70+($F70*0.5*($D70-1)))*(AI$3-1)</f>
        <v>12988.172</v>
      </c>
      <c r="AJ70" s="115">
        <f>VLOOKUP($C$70,Servant!$B$5:$AD$29,18,FALSE)+($F70+($F70*0.5*($D70-1)))*(AJ$3-1)</f>
        <v>13444.474666666669</v>
      </c>
      <c r="AK70" s="115">
        <f>VLOOKUP($C$70,Servant!$B$5:$AD$29,18,FALSE)+($F70+($F70*0.5*($D70-1)))*(AK$3-1)</f>
        <v>13900.777333333335</v>
      </c>
    </row>
    <row r="71" spans="2:37" x14ac:dyDescent="0.3">
      <c r="B71" s="309"/>
      <c r="C71" s="302"/>
      <c r="D71" s="129">
        <v>5</v>
      </c>
      <c r="E71" s="124">
        <f>VLOOKUP($C$70,ServantLevelUPdStatus!$B$5:$AD$29,6,FALSE)+(VLOOKUP($C$70,ServantLevelUPdStatus!$B$5:$AD$29,6,FALSE)*0.5*(Simulator_AttkPow!$D71-1))</f>
        <v>547.56320000000005</v>
      </c>
      <c r="F71" s="123">
        <f>F70</f>
        <v>182.52106666666668</v>
      </c>
      <c r="H71" s="115">
        <f>VLOOKUP($C$70,Servant!$B$5:$AD$29,18,FALSE)+($F71+($F71*0.5*($D71-1)))*(H$3-1)</f>
        <v>668</v>
      </c>
      <c r="I71" s="115">
        <f>VLOOKUP($C$70,Servant!$B$5:$AD$29,18,FALSE)+($F71+($F71*0.5*($D71-1)))*(I$3-1)</f>
        <v>1215.5632000000001</v>
      </c>
      <c r="J71" s="115">
        <f>VLOOKUP($C$70,Servant!$B$5:$AD$29,18,FALSE)+($F71+($F71*0.5*($D71-1)))*(J$3-1)</f>
        <v>1763.1264000000001</v>
      </c>
      <c r="K71" s="115">
        <f>VLOOKUP($C$70,Servant!$B$5:$AD$29,18,FALSE)+($F71+($F71*0.5*($D71-1)))*(K$3-1)</f>
        <v>2310.6896000000002</v>
      </c>
      <c r="L71" s="115">
        <f>VLOOKUP($C$70,Servant!$B$5:$AD$29,18,FALSE)+($F71+($F71*0.5*($D71-1)))*(L$3-1)</f>
        <v>2858.2528000000002</v>
      </c>
      <c r="M71" s="115">
        <f>VLOOKUP($C$70,Servant!$B$5:$AD$29,18,FALSE)+($F71+($F71*0.5*($D71-1)))*(M$3-1)</f>
        <v>3405.8160000000003</v>
      </c>
      <c r="N71" s="115">
        <f>VLOOKUP($C$70,Servant!$B$5:$AD$29,18,FALSE)+($F71+($F71*0.5*($D71-1)))*(N$3-1)</f>
        <v>3953.3792000000003</v>
      </c>
      <c r="O71" s="115">
        <f>VLOOKUP($C$70,Servant!$B$5:$AD$29,18,FALSE)+($F71+($F71*0.5*($D71-1)))*(O$3-1)</f>
        <v>4500.9423999999999</v>
      </c>
      <c r="P71" s="115">
        <f>VLOOKUP($C$70,Servant!$B$5:$AD$29,18,FALSE)+($F71+($F71*0.5*($D71-1)))*(P$3-1)</f>
        <v>5048.5056000000004</v>
      </c>
      <c r="Q71" s="115">
        <f>VLOOKUP($C$70,Servant!$B$5:$AD$29,18,FALSE)+($F71+($F71*0.5*($D71-1)))*(Q$3-1)</f>
        <v>5596.0688000000009</v>
      </c>
      <c r="R71" s="115">
        <f>VLOOKUP($C$70,Servant!$B$5:$AD$29,18,FALSE)+($F71+($F71*0.5*($D71-1)))*(R$3-1)</f>
        <v>6143.6320000000005</v>
      </c>
      <c r="S71" s="115">
        <f>VLOOKUP($C$70,Servant!$B$5:$AD$29,18,FALSE)+($F71+($F71*0.5*($D71-1)))*(S$3-1)</f>
        <v>6691.1952000000001</v>
      </c>
      <c r="T71" s="115">
        <f>VLOOKUP($C$70,Servant!$B$5:$AD$29,18,FALSE)+($F71+($F71*0.5*($D71-1)))*(T$3-1)</f>
        <v>7238.7584000000006</v>
      </c>
      <c r="U71" s="115">
        <f>VLOOKUP($C$70,Servant!$B$5:$AD$29,18,FALSE)+($F71+($F71*0.5*($D71-1)))*(U$3-1)</f>
        <v>7786.3216000000011</v>
      </c>
      <c r="V71" s="115">
        <f>VLOOKUP($C$70,Servant!$B$5:$AD$29,18,FALSE)+($F71+($F71*0.5*($D71-1)))*(V$3-1)</f>
        <v>8333.8847999999998</v>
      </c>
      <c r="W71" s="115">
        <f>VLOOKUP($C$70,Servant!$B$5:$AD$29,18,FALSE)+($F71+($F71*0.5*($D71-1)))*(W$3-1)</f>
        <v>8881.4480000000003</v>
      </c>
      <c r="X71" s="115">
        <f>VLOOKUP($C$70,Servant!$B$5:$AD$29,18,FALSE)+($F71+($F71*0.5*($D71-1)))*(X$3-1)</f>
        <v>9429.0112000000008</v>
      </c>
      <c r="Y71" s="115">
        <f>VLOOKUP($C$70,Servant!$B$5:$AD$29,18,FALSE)+($F71+($F71*0.5*($D71-1)))*(Y$3-1)</f>
        <v>9976.5744000000013</v>
      </c>
      <c r="Z71" s="115">
        <f>VLOOKUP($C$70,Servant!$B$5:$AD$29,18,FALSE)+($F71+($F71*0.5*($D71-1)))*(Z$3-1)</f>
        <v>10524.137600000002</v>
      </c>
      <c r="AA71" s="115">
        <f>VLOOKUP($C$70,Servant!$B$5:$AD$29,18,FALSE)+($F71+($F71*0.5*($D71-1)))*(AA$3-1)</f>
        <v>11071.700800000001</v>
      </c>
      <c r="AB71" s="115">
        <f>VLOOKUP($C$70,Servant!$B$5:$AD$29,18,FALSE)+($F71+($F71*0.5*($D71-1)))*(AB$3-1)</f>
        <v>11619.264000000001</v>
      </c>
      <c r="AC71" s="115">
        <f>VLOOKUP($C$70,Servant!$B$5:$AD$29,18,FALSE)+($F71+($F71*0.5*($D71-1)))*(AC$3-1)</f>
        <v>12166.827200000002</v>
      </c>
      <c r="AD71" s="115">
        <f>VLOOKUP($C$70,Servant!$B$5:$AD$29,18,FALSE)+($F71+($F71*0.5*($D71-1)))*(AD$3-1)</f>
        <v>12714.3904</v>
      </c>
      <c r="AE71" s="115">
        <f>VLOOKUP($C$70,Servant!$B$5:$AD$29,18,FALSE)+($F71+($F71*0.5*($D71-1)))*(AE$3-1)</f>
        <v>13261.953600000001</v>
      </c>
      <c r="AF71" s="115">
        <f>VLOOKUP($C$70,Servant!$B$5:$AD$29,18,FALSE)+($F71+($F71*0.5*($D71-1)))*(AF$3-1)</f>
        <v>13809.516800000001</v>
      </c>
      <c r="AG71" s="115">
        <f>VLOOKUP($C$70,Servant!$B$5:$AD$29,18,FALSE)+($F71+($F71*0.5*($D71-1)))*(AG$3-1)</f>
        <v>14357.080000000002</v>
      </c>
      <c r="AH71" s="115">
        <f>VLOOKUP($C$70,Servant!$B$5:$AD$29,18,FALSE)+($F71+($F71*0.5*($D71-1)))*(AH$3-1)</f>
        <v>14904.643200000002</v>
      </c>
      <c r="AI71" s="115">
        <f>VLOOKUP($C$70,Servant!$B$5:$AD$29,18,FALSE)+($F71+($F71*0.5*($D71-1)))*(AI$3-1)</f>
        <v>15452.206400000001</v>
      </c>
      <c r="AJ71" s="115">
        <f>VLOOKUP($C$70,Servant!$B$5:$AD$29,18,FALSE)+($F71+($F71*0.5*($D71-1)))*(AJ$3-1)</f>
        <v>15999.769600000001</v>
      </c>
      <c r="AK71" s="115">
        <f>VLOOKUP($C$70,Servant!$B$5:$AD$29,18,FALSE)+($F71+($F71*0.5*($D71-1)))*(AK$3-1)</f>
        <v>16547.332800000004</v>
      </c>
    </row>
    <row r="72" spans="2:37" x14ac:dyDescent="0.3">
      <c r="B72" s="309"/>
      <c r="C72" s="303"/>
      <c r="D72" s="129">
        <v>6</v>
      </c>
      <c r="E72" s="124">
        <f>VLOOKUP($C$70,ServantLevelUPdStatus!$B$5:$AD$29,6,FALSE)+(VLOOKUP($C$70,ServantLevelUPdStatus!$B$5:$AD$29,6,FALSE)*0.5*(Simulator_AttkPow!$D72-1))</f>
        <v>638.82373333333339</v>
      </c>
      <c r="F72" s="123">
        <f>F71</f>
        <v>182.52106666666668</v>
      </c>
      <c r="H72" s="115">
        <f>VLOOKUP($C$70,Servant!$B$5:$AD$29,18,FALSE)+($F72+($F72*0.5*($D72-1)))*(H$3-1)</f>
        <v>668</v>
      </c>
      <c r="I72" s="115">
        <f>VLOOKUP($C$70,Servant!$B$5:$AD$29,18,FALSE)+($F72+($F72*0.5*($D72-1)))*(I$3-1)</f>
        <v>1306.8237333333334</v>
      </c>
      <c r="J72" s="115">
        <f>VLOOKUP($C$70,Servant!$B$5:$AD$29,18,FALSE)+($F72+($F72*0.5*($D72-1)))*(J$3-1)</f>
        <v>1945.6474666666668</v>
      </c>
      <c r="K72" s="115">
        <f>VLOOKUP($C$70,Servant!$B$5:$AD$29,18,FALSE)+($F72+($F72*0.5*($D72-1)))*(K$3-1)</f>
        <v>2584.4712</v>
      </c>
      <c r="L72" s="115">
        <f>VLOOKUP($C$70,Servant!$B$5:$AD$29,18,FALSE)+($F72+($F72*0.5*($D72-1)))*(L$3-1)</f>
        <v>3223.2949333333336</v>
      </c>
      <c r="M72" s="115">
        <f>VLOOKUP($C$70,Servant!$B$5:$AD$29,18,FALSE)+($F72+($F72*0.5*($D72-1)))*(M$3-1)</f>
        <v>3862.1186666666672</v>
      </c>
      <c r="N72" s="115">
        <f>VLOOKUP($C$70,Servant!$B$5:$AD$29,18,FALSE)+($F72+($F72*0.5*($D72-1)))*(N$3-1)</f>
        <v>4500.9423999999999</v>
      </c>
      <c r="O72" s="115">
        <f>VLOOKUP($C$70,Servant!$B$5:$AD$29,18,FALSE)+($F72+($F72*0.5*($D72-1)))*(O$3-1)</f>
        <v>5139.7661333333335</v>
      </c>
      <c r="P72" s="115">
        <f>VLOOKUP($C$70,Servant!$B$5:$AD$29,18,FALSE)+($F72+($F72*0.5*($D72-1)))*(P$3-1)</f>
        <v>5778.5898666666671</v>
      </c>
      <c r="Q72" s="115">
        <f>VLOOKUP($C$70,Servant!$B$5:$AD$29,18,FALSE)+($F72+($F72*0.5*($D72-1)))*(Q$3-1)</f>
        <v>6417.4136000000008</v>
      </c>
      <c r="R72" s="115">
        <f>VLOOKUP($C$70,Servant!$B$5:$AD$29,18,FALSE)+($F72+($F72*0.5*($D72-1)))*(R$3-1)</f>
        <v>7056.2373333333344</v>
      </c>
      <c r="S72" s="115">
        <f>VLOOKUP($C$70,Servant!$B$5:$AD$29,18,FALSE)+($F72+($F72*0.5*($D72-1)))*(S$3-1)</f>
        <v>7695.0610666666671</v>
      </c>
      <c r="T72" s="115">
        <f>VLOOKUP($C$70,Servant!$B$5:$AD$29,18,FALSE)+($F72+($F72*0.5*($D72-1)))*(T$3-1)</f>
        <v>8333.8847999999998</v>
      </c>
      <c r="U72" s="115">
        <f>VLOOKUP($C$70,Servant!$B$5:$AD$29,18,FALSE)+($F72+($F72*0.5*($D72-1)))*(U$3-1)</f>
        <v>8972.7085333333343</v>
      </c>
      <c r="V72" s="115">
        <f>VLOOKUP($C$70,Servant!$B$5:$AD$29,18,FALSE)+($F72+($F72*0.5*($D72-1)))*(V$3-1)</f>
        <v>9611.5322666666671</v>
      </c>
      <c r="W72" s="115">
        <f>VLOOKUP($C$70,Servant!$B$5:$AD$29,18,FALSE)+($F72+($F72*0.5*($D72-1)))*(W$3-1)</f>
        <v>10250.356000000002</v>
      </c>
      <c r="X72" s="115">
        <f>VLOOKUP($C$70,Servant!$B$5:$AD$29,18,FALSE)+($F72+($F72*0.5*($D72-1)))*(X$3-1)</f>
        <v>10889.179733333334</v>
      </c>
      <c r="Y72" s="115">
        <f>VLOOKUP($C$70,Servant!$B$5:$AD$29,18,FALSE)+($F72+($F72*0.5*($D72-1)))*(Y$3-1)</f>
        <v>11528.003466666667</v>
      </c>
      <c r="Z72" s="115">
        <f>VLOOKUP($C$70,Servant!$B$5:$AD$29,18,FALSE)+($F72+($F72*0.5*($D72-1)))*(Z$3-1)</f>
        <v>12166.827200000002</v>
      </c>
      <c r="AA72" s="115">
        <f>VLOOKUP($C$70,Servant!$B$5:$AD$29,18,FALSE)+($F72+($F72*0.5*($D72-1)))*(AA$3-1)</f>
        <v>12805.650933333334</v>
      </c>
      <c r="AB72" s="115">
        <f>VLOOKUP($C$70,Servant!$B$5:$AD$29,18,FALSE)+($F72+($F72*0.5*($D72-1)))*(AB$3-1)</f>
        <v>13444.474666666669</v>
      </c>
      <c r="AC72" s="115">
        <f>VLOOKUP($C$70,Servant!$B$5:$AD$29,18,FALSE)+($F72+($F72*0.5*($D72-1)))*(AC$3-1)</f>
        <v>14083.298400000001</v>
      </c>
      <c r="AD72" s="115">
        <f>VLOOKUP($C$70,Servant!$B$5:$AD$29,18,FALSE)+($F72+($F72*0.5*($D72-1)))*(AD$3-1)</f>
        <v>14722.122133333334</v>
      </c>
      <c r="AE72" s="115">
        <f>VLOOKUP($C$70,Servant!$B$5:$AD$29,18,FALSE)+($F72+($F72*0.5*($D72-1)))*(AE$3-1)</f>
        <v>15360.945866666669</v>
      </c>
      <c r="AF72" s="115">
        <f>VLOOKUP($C$70,Servant!$B$5:$AD$29,18,FALSE)+($F72+($F72*0.5*($D72-1)))*(AF$3-1)</f>
        <v>15999.769600000001</v>
      </c>
      <c r="AG72" s="115">
        <f>VLOOKUP($C$70,Servant!$B$5:$AD$29,18,FALSE)+($F72+($F72*0.5*($D72-1)))*(AG$3-1)</f>
        <v>16638.593333333334</v>
      </c>
      <c r="AH72" s="115">
        <f>VLOOKUP($C$70,Servant!$B$5:$AD$29,18,FALSE)+($F72+($F72*0.5*($D72-1)))*(AH$3-1)</f>
        <v>17277.417066666669</v>
      </c>
      <c r="AI72" s="115">
        <f>VLOOKUP($C$70,Servant!$B$5:$AD$29,18,FALSE)+($F72+($F72*0.5*($D72-1)))*(AI$3-1)</f>
        <v>17916.240800000003</v>
      </c>
      <c r="AJ72" s="115">
        <f>VLOOKUP($C$70,Servant!$B$5:$AD$29,18,FALSE)+($F72+($F72*0.5*($D72-1)))*(AJ$3-1)</f>
        <v>18555.064533333334</v>
      </c>
      <c r="AK72" s="115">
        <f>VLOOKUP($C$70,Servant!$B$5:$AD$29,18,FALSE)+($F72+($F72*0.5*($D72-1)))*(AK$3-1)</f>
        <v>19193.888266666669</v>
      </c>
    </row>
    <row r="73" spans="2:37" x14ac:dyDescent="0.3">
      <c r="B73" s="309"/>
      <c r="C73" s="304" t="s">
        <v>297</v>
      </c>
      <c r="D73" s="144">
        <v>4</v>
      </c>
      <c r="E73" s="145">
        <f>VLOOKUP($C$73,ServantLevelUPdStatus!$B$5:$AD$29,6,FALSE)+(VLOOKUP($C$73,ServantLevelUPdStatus!$B$5:$AD$29,6,FALSE)*0.5*(Simulator_AttkPow!$D73-1))</f>
        <v>488.51226666666673</v>
      </c>
      <c r="F73" s="145">
        <f>VLOOKUP($C$73,ServantLevelUPdStatus!$B$5:$AD$29,6,FALSE)</f>
        <v>195.40490666666668</v>
      </c>
      <c r="H73" s="146">
        <f>VLOOKUP($C$73,Servant!$B$5:$AD$29,18,FALSE)+($F73+($F73*0.5*($D73-1)))*(H$3-1)</f>
        <v>716</v>
      </c>
      <c r="I73" s="146">
        <f>VLOOKUP($C$73,Servant!$B$5:$AD$29,18,FALSE)+($F73+($F73*0.5*($D73-1)))*(I$3-1)</f>
        <v>1204.5122666666666</v>
      </c>
      <c r="J73" s="146">
        <f>VLOOKUP($C$73,Servant!$B$5:$AD$29,18,FALSE)+($F73+($F73*0.5*($D73-1)))*(J$3-1)</f>
        <v>1693.0245333333335</v>
      </c>
      <c r="K73" s="146">
        <f>VLOOKUP($C$73,Servant!$B$5:$AD$29,18,FALSE)+($F73+($F73*0.5*($D73-1)))*(K$3-1)</f>
        <v>2181.5368000000003</v>
      </c>
      <c r="L73" s="146">
        <f>VLOOKUP($C$73,Servant!$B$5:$AD$29,18,FALSE)+($F73+($F73*0.5*($D73-1)))*(L$3-1)</f>
        <v>2670.0490666666669</v>
      </c>
      <c r="M73" s="146">
        <f>VLOOKUP($C$73,Servant!$B$5:$AD$29,18,FALSE)+($F73+($F73*0.5*($D73-1)))*(M$3-1)</f>
        <v>3158.5613333333336</v>
      </c>
      <c r="N73" s="146">
        <f>VLOOKUP($C$73,Servant!$B$5:$AD$29,18,FALSE)+($F73+($F73*0.5*($D73-1)))*(N$3-1)</f>
        <v>3647.0736000000006</v>
      </c>
      <c r="O73" s="146">
        <f>VLOOKUP($C$73,Servant!$B$5:$AD$29,18,FALSE)+($F73+($F73*0.5*($D73-1)))*(O$3-1)</f>
        <v>4135.5858666666672</v>
      </c>
      <c r="P73" s="146">
        <f>VLOOKUP($C$73,Servant!$B$5:$AD$29,18,FALSE)+($F73+($F73*0.5*($D73-1)))*(P$3-1)</f>
        <v>4624.0981333333339</v>
      </c>
      <c r="Q73" s="146">
        <f>VLOOKUP($C$73,Servant!$B$5:$AD$29,18,FALSE)+($F73+($F73*0.5*($D73-1)))*(Q$3-1)</f>
        <v>5112.6104000000005</v>
      </c>
      <c r="R73" s="146">
        <f>VLOOKUP($C$73,Servant!$B$5:$AD$29,18,FALSE)+($F73+($F73*0.5*($D73-1)))*(R$3-1)</f>
        <v>5601.1226666666671</v>
      </c>
      <c r="S73" s="146">
        <f>VLOOKUP($C$73,Servant!$B$5:$AD$29,18,FALSE)+($F73+($F73*0.5*($D73-1)))*(S$3-1)</f>
        <v>6089.6349333333337</v>
      </c>
      <c r="T73" s="146">
        <f>VLOOKUP($C$73,Servant!$B$5:$AD$29,18,FALSE)+($F73+($F73*0.5*($D73-1)))*(T$3-1)</f>
        <v>6578.1472000000012</v>
      </c>
      <c r="U73" s="146">
        <f>VLOOKUP($C$73,Servant!$B$5:$AD$29,18,FALSE)+($F73+($F73*0.5*($D73-1)))*(U$3-1)</f>
        <v>7066.6594666666679</v>
      </c>
      <c r="V73" s="146">
        <f>VLOOKUP($C$73,Servant!$B$5:$AD$29,18,FALSE)+($F73+($F73*0.5*($D73-1)))*(V$3-1)</f>
        <v>7555.1717333333345</v>
      </c>
      <c r="W73" s="146">
        <f>VLOOKUP($C$73,Servant!$B$5:$AD$29,18,FALSE)+($F73+($F73*0.5*($D73-1)))*(W$3-1)</f>
        <v>8043.6840000000011</v>
      </c>
      <c r="X73" s="146">
        <f>VLOOKUP($C$73,Servant!$B$5:$AD$29,18,FALSE)+($F73+($F73*0.5*($D73-1)))*(X$3-1)</f>
        <v>8532.1962666666677</v>
      </c>
      <c r="Y73" s="146">
        <f>VLOOKUP($C$73,Servant!$B$5:$AD$29,18,FALSE)+($F73+($F73*0.5*($D73-1)))*(Y$3-1)</f>
        <v>9020.7085333333343</v>
      </c>
      <c r="Z73" s="146">
        <f>VLOOKUP($C$73,Servant!$B$5:$AD$29,18,FALSE)+($F73+($F73*0.5*($D73-1)))*(Z$3-1)</f>
        <v>9509.220800000001</v>
      </c>
      <c r="AA73" s="146">
        <f>VLOOKUP($C$73,Servant!$B$5:$AD$29,18,FALSE)+($F73+($F73*0.5*($D73-1)))*(AA$3-1)</f>
        <v>9997.7330666666676</v>
      </c>
      <c r="AB73" s="146">
        <f>VLOOKUP($C$73,Servant!$B$5:$AD$29,18,FALSE)+($F73+($F73*0.5*($D73-1)))*(AB$3-1)</f>
        <v>10486.245333333334</v>
      </c>
      <c r="AC73" s="146">
        <f>VLOOKUP($C$73,Servant!$B$5:$AD$29,18,FALSE)+($F73+($F73*0.5*($D73-1)))*(AC$3-1)</f>
        <v>10974.757600000001</v>
      </c>
      <c r="AD73" s="146">
        <f>VLOOKUP($C$73,Servant!$B$5:$AD$29,18,FALSE)+($F73+($F73*0.5*($D73-1)))*(AD$3-1)</f>
        <v>11463.269866666667</v>
      </c>
      <c r="AE73" s="146">
        <f>VLOOKUP($C$73,Servant!$B$5:$AD$29,18,FALSE)+($F73+($F73*0.5*($D73-1)))*(AE$3-1)</f>
        <v>11951.782133333334</v>
      </c>
      <c r="AF73" s="146">
        <f>VLOOKUP($C$73,Servant!$B$5:$AD$29,18,FALSE)+($F73+($F73*0.5*($D73-1)))*(AF$3-1)</f>
        <v>12440.294400000002</v>
      </c>
      <c r="AG73" s="146">
        <f>VLOOKUP($C$73,Servant!$B$5:$AD$29,18,FALSE)+($F73+($F73*0.5*($D73-1)))*(AG$3-1)</f>
        <v>12928.806666666669</v>
      </c>
      <c r="AH73" s="146">
        <f>VLOOKUP($C$73,Servant!$B$5:$AD$29,18,FALSE)+($F73+($F73*0.5*($D73-1)))*(AH$3-1)</f>
        <v>13417.318933333336</v>
      </c>
      <c r="AI73" s="146">
        <f>VLOOKUP($C$73,Servant!$B$5:$AD$29,18,FALSE)+($F73+($F73*0.5*($D73-1)))*(AI$3-1)</f>
        <v>13905.831200000002</v>
      </c>
      <c r="AJ73" s="146">
        <f>VLOOKUP($C$73,Servant!$B$5:$AD$29,18,FALSE)+($F73+($F73*0.5*($D73-1)))*(AJ$3-1)</f>
        <v>14394.343466666669</v>
      </c>
      <c r="AK73" s="146">
        <f>VLOOKUP($C$73,Servant!$B$5:$AD$29,18,FALSE)+($F73+($F73*0.5*($D73-1)))*(AK$3-1)</f>
        <v>14882.855733333336</v>
      </c>
    </row>
    <row r="74" spans="2:37" x14ac:dyDescent="0.3">
      <c r="B74" s="309"/>
      <c r="C74" s="305"/>
      <c r="D74" s="144">
        <v>5</v>
      </c>
      <c r="E74" s="145">
        <f>VLOOKUP($C$73,ServantLevelUPdStatus!$B$5:$AD$29,6,FALSE)+(VLOOKUP($C$73,ServantLevelUPdStatus!$B$5:$AD$29,6,FALSE)*0.5*(Simulator_AttkPow!$D74-1))</f>
        <v>586.21472000000006</v>
      </c>
      <c r="F74" s="147">
        <f>F73</f>
        <v>195.40490666666668</v>
      </c>
      <c r="H74" s="146">
        <f>VLOOKUP($C$73,Servant!$B$5:$AD$29,18,FALSE)+($F74+($F74*0.5*($D74-1)))*(H$3-1)</f>
        <v>716</v>
      </c>
      <c r="I74" s="146">
        <f>VLOOKUP($C$73,Servant!$B$5:$AD$29,18,FALSE)+($F74+($F74*0.5*($D74-1)))*(I$3-1)</f>
        <v>1302.2147199999999</v>
      </c>
      <c r="J74" s="146">
        <f>VLOOKUP($C$73,Servant!$B$5:$AD$29,18,FALSE)+($F74+($F74*0.5*($D74-1)))*(J$3-1)</f>
        <v>1888.4294400000001</v>
      </c>
      <c r="K74" s="146">
        <f>VLOOKUP($C$73,Servant!$B$5:$AD$29,18,FALSE)+($F74+($F74*0.5*($D74-1)))*(K$3-1)</f>
        <v>2474.6441600000003</v>
      </c>
      <c r="L74" s="146">
        <f>VLOOKUP($C$73,Servant!$B$5:$AD$29,18,FALSE)+($F74+($F74*0.5*($D74-1)))*(L$3-1)</f>
        <v>3060.8588800000002</v>
      </c>
      <c r="M74" s="146">
        <f>VLOOKUP($C$73,Servant!$B$5:$AD$29,18,FALSE)+($F74+($F74*0.5*($D74-1)))*(M$3-1)</f>
        <v>3647.0736000000002</v>
      </c>
      <c r="N74" s="146">
        <f>VLOOKUP($C$73,Servant!$B$5:$AD$29,18,FALSE)+($F74+($F74*0.5*($D74-1)))*(N$3-1)</f>
        <v>4233.2883200000006</v>
      </c>
      <c r="O74" s="146">
        <f>VLOOKUP($C$73,Servant!$B$5:$AD$29,18,FALSE)+($F74+($F74*0.5*($D74-1)))*(O$3-1)</f>
        <v>4819.5030400000005</v>
      </c>
      <c r="P74" s="146">
        <f>VLOOKUP($C$73,Servant!$B$5:$AD$29,18,FALSE)+($F74+($F74*0.5*($D74-1)))*(P$3-1)</f>
        <v>5405.7177600000005</v>
      </c>
      <c r="Q74" s="146">
        <f>VLOOKUP($C$73,Servant!$B$5:$AD$29,18,FALSE)+($F74+($F74*0.5*($D74-1)))*(Q$3-1)</f>
        <v>5991.9324800000004</v>
      </c>
      <c r="R74" s="146">
        <f>VLOOKUP($C$73,Servant!$B$5:$AD$29,18,FALSE)+($F74+($F74*0.5*($D74-1)))*(R$3-1)</f>
        <v>6578.1472000000003</v>
      </c>
      <c r="S74" s="146">
        <f>VLOOKUP($C$73,Servant!$B$5:$AD$29,18,FALSE)+($F74+($F74*0.5*($D74-1)))*(S$3-1)</f>
        <v>7164.3619200000003</v>
      </c>
      <c r="T74" s="146">
        <f>VLOOKUP($C$73,Servant!$B$5:$AD$29,18,FALSE)+($F74+($F74*0.5*($D74-1)))*(T$3-1)</f>
        <v>7750.5766400000011</v>
      </c>
      <c r="U74" s="146">
        <f>VLOOKUP($C$73,Servant!$B$5:$AD$29,18,FALSE)+($F74+($F74*0.5*($D74-1)))*(U$3-1)</f>
        <v>8336.7913600000011</v>
      </c>
      <c r="V74" s="146">
        <f>VLOOKUP($C$73,Servant!$B$5:$AD$29,18,FALSE)+($F74+($F74*0.5*($D74-1)))*(V$3-1)</f>
        <v>8923.006080000001</v>
      </c>
      <c r="W74" s="146">
        <f>VLOOKUP($C$73,Servant!$B$5:$AD$29,18,FALSE)+($F74+($F74*0.5*($D74-1)))*(W$3-1)</f>
        <v>9509.220800000001</v>
      </c>
      <c r="X74" s="146">
        <f>VLOOKUP($C$73,Servant!$B$5:$AD$29,18,FALSE)+($F74+($F74*0.5*($D74-1)))*(X$3-1)</f>
        <v>10095.435520000001</v>
      </c>
      <c r="Y74" s="146">
        <f>VLOOKUP($C$73,Servant!$B$5:$AD$29,18,FALSE)+($F74+($F74*0.5*($D74-1)))*(Y$3-1)</f>
        <v>10681.650240000001</v>
      </c>
      <c r="Z74" s="146">
        <f>VLOOKUP($C$73,Servant!$B$5:$AD$29,18,FALSE)+($F74+($F74*0.5*($D74-1)))*(Z$3-1)</f>
        <v>11267.864960000001</v>
      </c>
      <c r="AA74" s="146">
        <f>VLOOKUP($C$73,Servant!$B$5:$AD$29,18,FALSE)+($F74+($F74*0.5*($D74-1)))*(AA$3-1)</f>
        <v>11854.079680000001</v>
      </c>
      <c r="AB74" s="146">
        <f>VLOOKUP($C$73,Servant!$B$5:$AD$29,18,FALSE)+($F74+($F74*0.5*($D74-1)))*(AB$3-1)</f>
        <v>12440.294400000001</v>
      </c>
      <c r="AC74" s="146">
        <f>VLOOKUP($C$73,Servant!$B$5:$AD$29,18,FALSE)+($F74+($F74*0.5*($D74-1)))*(AC$3-1)</f>
        <v>13026.509120000001</v>
      </c>
      <c r="AD74" s="146">
        <f>VLOOKUP($C$73,Servant!$B$5:$AD$29,18,FALSE)+($F74+($F74*0.5*($D74-1)))*(AD$3-1)</f>
        <v>13612.723840000001</v>
      </c>
      <c r="AE74" s="146">
        <f>VLOOKUP($C$73,Servant!$B$5:$AD$29,18,FALSE)+($F74+($F74*0.5*($D74-1)))*(AE$3-1)</f>
        <v>14198.938560000001</v>
      </c>
      <c r="AF74" s="146">
        <f>VLOOKUP($C$73,Servant!$B$5:$AD$29,18,FALSE)+($F74+($F74*0.5*($D74-1)))*(AF$3-1)</f>
        <v>14785.153280000002</v>
      </c>
      <c r="AG74" s="146">
        <f>VLOOKUP($C$73,Servant!$B$5:$AD$29,18,FALSE)+($F74+($F74*0.5*($D74-1)))*(AG$3-1)</f>
        <v>15371.368000000002</v>
      </c>
      <c r="AH74" s="146">
        <f>VLOOKUP($C$73,Servant!$B$5:$AD$29,18,FALSE)+($F74+($F74*0.5*($D74-1)))*(AH$3-1)</f>
        <v>15957.582720000002</v>
      </c>
      <c r="AI74" s="146">
        <f>VLOOKUP($C$73,Servant!$B$5:$AD$29,18,FALSE)+($F74+($F74*0.5*($D74-1)))*(AI$3-1)</f>
        <v>16543.797440000002</v>
      </c>
      <c r="AJ74" s="146">
        <f>VLOOKUP($C$73,Servant!$B$5:$AD$29,18,FALSE)+($F74+($F74*0.5*($D74-1)))*(AJ$3-1)</f>
        <v>17130.012160000002</v>
      </c>
      <c r="AK74" s="146">
        <f>VLOOKUP($C$73,Servant!$B$5:$AD$29,18,FALSE)+($F74+($F74*0.5*($D74-1)))*(AK$3-1)</f>
        <v>17716.226880000002</v>
      </c>
    </row>
    <row r="75" spans="2:37" x14ac:dyDescent="0.3">
      <c r="B75" s="309"/>
      <c r="C75" s="306"/>
      <c r="D75" s="144">
        <v>6</v>
      </c>
      <c r="E75" s="145">
        <f>VLOOKUP($C$73,ServantLevelUPdStatus!$B$5:$AD$29,6,FALSE)+(VLOOKUP($C$73,ServantLevelUPdStatus!$B$5:$AD$29,6,FALSE)*0.5*(Simulator_AttkPow!$D75-1))</f>
        <v>683.91717333333338</v>
      </c>
      <c r="F75" s="147">
        <f>F74</f>
        <v>195.40490666666668</v>
      </c>
      <c r="H75" s="146">
        <f>VLOOKUP($C$73,Servant!$B$5:$AD$29,18,FALSE)+($F75+($F75*0.5*($D75-1)))*(H$3-1)</f>
        <v>716</v>
      </c>
      <c r="I75" s="146">
        <f>VLOOKUP($C$73,Servant!$B$5:$AD$29,18,FALSE)+($F75+($F75*0.5*($D75-1)))*(I$3-1)</f>
        <v>1399.9171733333333</v>
      </c>
      <c r="J75" s="146">
        <f>VLOOKUP($C$73,Servant!$B$5:$AD$29,18,FALSE)+($F75+($F75*0.5*($D75-1)))*(J$3-1)</f>
        <v>2083.8343466666665</v>
      </c>
      <c r="K75" s="146">
        <f>VLOOKUP($C$73,Servant!$B$5:$AD$29,18,FALSE)+($F75+($F75*0.5*($D75-1)))*(K$3-1)</f>
        <v>2767.7515200000003</v>
      </c>
      <c r="L75" s="146">
        <f>VLOOKUP($C$73,Servant!$B$5:$AD$29,18,FALSE)+($F75+($F75*0.5*($D75-1)))*(L$3-1)</f>
        <v>3451.6686933333335</v>
      </c>
      <c r="M75" s="146">
        <f>VLOOKUP($C$73,Servant!$B$5:$AD$29,18,FALSE)+($F75+($F75*0.5*($D75-1)))*(M$3-1)</f>
        <v>4135.5858666666663</v>
      </c>
      <c r="N75" s="146">
        <f>VLOOKUP($C$73,Servant!$B$5:$AD$29,18,FALSE)+($F75+($F75*0.5*($D75-1)))*(N$3-1)</f>
        <v>4819.5030400000005</v>
      </c>
      <c r="O75" s="146">
        <f>VLOOKUP($C$73,Servant!$B$5:$AD$29,18,FALSE)+($F75+($F75*0.5*($D75-1)))*(O$3-1)</f>
        <v>5503.4202133333338</v>
      </c>
      <c r="P75" s="146">
        <f>VLOOKUP($C$73,Servant!$B$5:$AD$29,18,FALSE)+($F75+($F75*0.5*($D75-1)))*(P$3-1)</f>
        <v>6187.337386666667</v>
      </c>
      <c r="Q75" s="146">
        <f>VLOOKUP($C$73,Servant!$B$5:$AD$29,18,FALSE)+($F75+($F75*0.5*($D75-1)))*(Q$3-1)</f>
        <v>6871.2545600000003</v>
      </c>
      <c r="R75" s="146">
        <f>VLOOKUP($C$73,Servant!$B$5:$AD$29,18,FALSE)+($F75+($F75*0.5*($D75-1)))*(R$3-1)</f>
        <v>7555.1717333333336</v>
      </c>
      <c r="S75" s="146">
        <f>VLOOKUP($C$73,Servant!$B$5:$AD$29,18,FALSE)+($F75+($F75*0.5*($D75-1)))*(S$3-1)</f>
        <v>8239.0889066666678</v>
      </c>
      <c r="T75" s="146">
        <f>VLOOKUP($C$73,Servant!$B$5:$AD$29,18,FALSE)+($F75+($F75*0.5*($D75-1)))*(T$3-1)</f>
        <v>8923.006080000001</v>
      </c>
      <c r="U75" s="146">
        <f>VLOOKUP($C$73,Servant!$B$5:$AD$29,18,FALSE)+($F75+($F75*0.5*($D75-1)))*(U$3-1)</f>
        <v>9606.9232533333343</v>
      </c>
      <c r="V75" s="146">
        <f>VLOOKUP($C$73,Servant!$B$5:$AD$29,18,FALSE)+($F75+($F75*0.5*($D75-1)))*(V$3-1)</f>
        <v>10290.840426666668</v>
      </c>
      <c r="W75" s="146">
        <f>VLOOKUP($C$73,Servant!$B$5:$AD$29,18,FALSE)+($F75+($F75*0.5*($D75-1)))*(W$3-1)</f>
        <v>10974.757600000001</v>
      </c>
      <c r="X75" s="146">
        <f>VLOOKUP($C$73,Servant!$B$5:$AD$29,18,FALSE)+($F75+($F75*0.5*($D75-1)))*(X$3-1)</f>
        <v>11658.674773333334</v>
      </c>
      <c r="Y75" s="146">
        <f>VLOOKUP($C$73,Servant!$B$5:$AD$29,18,FALSE)+($F75+($F75*0.5*($D75-1)))*(Y$3-1)</f>
        <v>12342.591946666667</v>
      </c>
      <c r="Z75" s="146">
        <f>VLOOKUP($C$73,Servant!$B$5:$AD$29,18,FALSE)+($F75+($F75*0.5*($D75-1)))*(Z$3-1)</f>
        <v>13026.509120000001</v>
      </c>
      <c r="AA75" s="146">
        <f>VLOOKUP($C$73,Servant!$B$5:$AD$29,18,FALSE)+($F75+($F75*0.5*($D75-1)))*(AA$3-1)</f>
        <v>13710.426293333334</v>
      </c>
      <c r="AB75" s="146">
        <f>VLOOKUP($C$73,Servant!$B$5:$AD$29,18,FALSE)+($F75+($F75*0.5*($D75-1)))*(AB$3-1)</f>
        <v>14394.343466666667</v>
      </c>
      <c r="AC75" s="146">
        <f>VLOOKUP($C$73,Servant!$B$5:$AD$29,18,FALSE)+($F75+($F75*0.5*($D75-1)))*(AC$3-1)</f>
        <v>15078.26064</v>
      </c>
      <c r="AD75" s="146">
        <f>VLOOKUP($C$73,Servant!$B$5:$AD$29,18,FALSE)+($F75+($F75*0.5*($D75-1)))*(AD$3-1)</f>
        <v>15762.177813333334</v>
      </c>
      <c r="AE75" s="146">
        <f>VLOOKUP($C$73,Servant!$B$5:$AD$29,18,FALSE)+($F75+($F75*0.5*($D75-1)))*(AE$3-1)</f>
        <v>16446.094986666667</v>
      </c>
      <c r="AF75" s="146">
        <f>VLOOKUP($C$73,Servant!$B$5:$AD$29,18,FALSE)+($F75+($F75*0.5*($D75-1)))*(AF$3-1)</f>
        <v>17130.012160000002</v>
      </c>
      <c r="AG75" s="146">
        <f>VLOOKUP($C$73,Servant!$B$5:$AD$29,18,FALSE)+($F75+($F75*0.5*($D75-1)))*(AG$3-1)</f>
        <v>17813.929333333333</v>
      </c>
      <c r="AH75" s="146">
        <f>VLOOKUP($C$73,Servant!$B$5:$AD$29,18,FALSE)+($F75+($F75*0.5*($D75-1)))*(AH$3-1)</f>
        <v>18497.846506666669</v>
      </c>
      <c r="AI75" s="146">
        <f>VLOOKUP($C$73,Servant!$B$5:$AD$29,18,FALSE)+($F75+($F75*0.5*($D75-1)))*(AI$3-1)</f>
        <v>19181.76368</v>
      </c>
      <c r="AJ75" s="146">
        <f>VLOOKUP($C$73,Servant!$B$5:$AD$29,18,FALSE)+($F75+($F75*0.5*($D75-1)))*(AJ$3-1)</f>
        <v>19865.680853333335</v>
      </c>
      <c r="AK75" s="146">
        <f>VLOOKUP($C$73,Servant!$B$5:$AD$29,18,FALSE)+($F75+($F75*0.5*($D75-1)))*(AK$3-1)</f>
        <v>20549.598026666667</v>
      </c>
    </row>
  </sheetData>
  <mergeCells count="30">
    <mergeCell ref="B4:B75"/>
    <mergeCell ref="C4:C6"/>
    <mergeCell ref="C7:C9"/>
    <mergeCell ref="C10:C12"/>
    <mergeCell ref="C13:C15"/>
    <mergeCell ref="C49:C51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C2:C3"/>
    <mergeCell ref="D2:D3"/>
    <mergeCell ref="E2:E3"/>
    <mergeCell ref="F2:F3"/>
    <mergeCell ref="H2:AK2"/>
    <mergeCell ref="C46:C48"/>
    <mergeCell ref="C70:C72"/>
    <mergeCell ref="C73:C75"/>
    <mergeCell ref="C52:C54"/>
    <mergeCell ref="C55:C57"/>
    <mergeCell ref="C58:C60"/>
    <mergeCell ref="C61:C63"/>
    <mergeCell ref="C64:C66"/>
    <mergeCell ref="C67:C69"/>
  </mergeCells>
  <phoneticPr fontId="31" type="noConversion"/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75"/>
  <sheetViews>
    <sheetView topLeftCell="B1" workbookViewId="0">
      <pane ySplit="3" topLeftCell="A4" activePane="bottomLeft" state="frozen"/>
      <selection pane="bottomLeft" activeCell="S23" sqref="S23"/>
    </sheetView>
  </sheetViews>
  <sheetFormatPr defaultRowHeight="16.5" x14ac:dyDescent="0.3"/>
  <cols>
    <col min="1" max="1" width="1.625" style="50" customWidth="1"/>
    <col min="2" max="2" width="7" style="50" bestFit="1" customWidth="1"/>
    <col min="3" max="3" width="17.5" style="50" bestFit="1" customWidth="1"/>
    <col min="4" max="4" width="6" style="130" bestFit="1" customWidth="1"/>
    <col min="5" max="5" width="7.875" style="50" customWidth="1"/>
    <col min="6" max="6" width="8.75" style="50" bestFit="1" customWidth="1"/>
    <col min="7" max="7" width="1.25" style="50" customWidth="1"/>
    <col min="8" max="37" width="6" style="50" customWidth="1"/>
    <col min="38" max="16384" width="9" style="50"/>
  </cols>
  <sheetData>
    <row r="2" spans="2:37" x14ac:dyDescent="0.3">
      <c r="B2" s="116"/>
      <c r="C2" s="320" t="s">
        <v>322</v>
      </c>
      <c r="D2" s="307" t="s">
        <v>234</v>
      </c>
      <c r="E2" s="308" t="s">
        <v>236</v>
      </c>
      <c r="F2" s="308" t="s">
        <v>257</v>
      </c>
      <c r="H2" s="284" t="s">
        <v>235</v>
      </c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</row>
    <row r="3" spans="2:37" x14ac:dyDescent="0.3">
      <c r="B3" s="116"/>
      <c r="C3" s="321"/>
      <c r="D3" s="307"/>
      <c r="E3" s="308"/>
      <c r="F3" s="308"/>
      <c r="H3" s="105">
        <v>1</v>
      </c>
      <c r="I3" s="105">
        <v>2</v>
      </c>
      <c r="J3" s="105">
        <v>3</v>
      </c>
      <c r="K3" s="105">
        <v>4</v>
      </c>
      <c r="L3" s="105">
        <v>5</v>
      </c>
      <c r="M3" s="105">
        <v>6</v>
      </c>
      <c r="N3" s="105">
        <v>7</v>
      </c>
      <c r="O3" s="105">
        <v>8</v>
      </c>
      <c r="P3" s="105">
        <v>9</v>
      </c>
      <c r="Q3" s="105">
        <v>10</v>
      </c>
      <c r="R3" s="105">
        <v>11</v>
      </c>
      <c r="S3" s="105">
        <v>12</v>
      </c>
      <c r="T3" s="105">
        <v>13</v>
      </c>
      <c r="U3" s="105">
        <v>14</v>
      </c>
      <c r="V3" s="105">
        <v>15</v>
      </c>
      <c r="W3" s="105">
        <v>16</v>
      </c>
      <c r="X3" s="105">
        <v>17</v>
      </c>
      <c r="Y3" s="105">
        <v>18</v>
      </c>
      <c r="Z3" s="105">
        <v>19</v>
      </c>
      <c r="AA3" s="105">
        <v>20</v>
      </c>
      <c r="AB3" s="105">
        <v>21</v>
      </c>
      <c r="AC3" s="105">
        <v>22</v>
      </c>
      <c r="AD3" s="105">
        <v>23</v>
      </c>
      <c r="AE3" s="105">
        <v>24</v>
      </c>
      <c r="AF3" s="105">
        <v>25</v>
      </c>
      <c r="AG3" s="105">
        <v>26</v>
      </c>
      <c r="AH3" s="105">
        <v>27</v>
      </c>
      <c r="AI3" s="105">
        <v>28</v>
      </c>
      <c r="AJ3" s="105">
        <v>29</v>
      </c>
      <c r="AK3" s="105">
        <v>30</v>
      </c>
    </row>
    <row r="4" spans="2:37" ht="16.5" customHeight="1" x14ac:dyDescent="0.3">
      <c r="B4" s="309" t="s">
        <v>321</v>
      </c>
      <c r="C4" s="310" t="s">
        <v>217</v>
      </c>
      <c r="D4" s="125">
        <v>1</v>
      </c>
      <c r="E4" s="117">
        <f>VLOOKUP($C$4,ServantLevelUPdStatus!$B$5:$AD$29,12,FALSE)+(VLOOKUP($C$4,ServantLevelUPdStatus!$B$5:$AD$29,12,FALSE)*0.5*(Simulator_DfsPow!$D4-1))</f>
        <v>236</v>
      </c>
      <c r="F4" s="117">
        <f>VLOOKUP($C$4,ServantLevelUPdStatus!$B$5:$AD$29,12,FALSE)</f>
        <v>236</v>
      </c>
      <c r="H4" s="112">
        <f>VLOOKUP($C$4,Servant!$B$5:$AD$29,24,FALSE)+($F4+($F4*0.5*($D4-1)))*(H$3-1)</f>
        <v>312</v>
      </c>
      <c r="I4" s="112">
        <f>VLOOKUP($C$4,Servant!$B$5:$AD$29,24,FALSE)+($F4+($F4*0.5*($D4-1)))*(I$3-1)</f>
        <v>548</v>
      </c>
      <c r="J4" s="112">
        <f>VLOOKUP($C$4,Servant!$B$5:$AD$29,24,FALSE)+($F4+($F4*0.5*($D4-1)))*(J$3-1)</f>
        <v>784</v>
      </c>
      <c r="K4" s="112">
        <f>VLOOKUP($C$4,Servant!$B$5:$AD$29,24,FALSE)+($F4+($F4*0.5*($D4-1)))*(K$3-1)</f>
        <v>1020</v>
      </c>
      <c r="L4" s="112">
        <f>VLOOKUP($C$4,Servant!$B$5:$AD$29,24,FALSE)+($F4+($F4*0.5*($D4-1)))*(L$3-1)</f>
        <v>1256</v>
      </c>
      <c r="M4" s="112">
        <f>VLOOKUP($C$4,Servant!$B$5:$AD$29,24,FALSE)+($F4+($F4*0.5*($D4-1)))*(M$3-1)</f>
        <v>1492</v>
      </c>
      <c r="N4" s="112">
        <f>VLOOKUP($C$4,Servant!$B$5:$AD$29,24,FALSE)+($F4+($F4*0.5*($D4-1)))*(N$3-1)</f>
        <v>1728</v>
      </c>
      <c r="O4" s="112">
        <f>VLOOKUP($C$4,Servant!$B$5:$AD$29,24,FALSE)+($F4+($F4*0.5*($D4-1)))*(O$3-1)</f>
        <v>1964</v>
      </c>
      <c r="P4" s="112">
        <f>VLOOKUP($C$4,Servant!$B$5:$AD$29,24,FALSE)+($F4+($F4*0.5*($D4-1)))*(P$3-1)</f>
        <v>2200</v>
      </c>
      <c r="Q4" s="112">
        <f>VLOOKUP($C$4,Servant!$B$5:$AD$29,24,FALSE)+($F4+($F4*0.5*($D4-1)))*(Q$3-1)</f>
        <v>2436</v>
      </c>
      <c r="R4" s="112">
        <f>VLOOKUP($C$4,Servant!$B$5:$AD$29,24,FALSE)+($F4+($F4*0.5*($D4-1)))*(R$3-1)</f>
        <v>2672</v>
      </c>
      <c r="S4" s="112">
        <f>VLOOKUP($C$4,Servant!$B$5:$AD$29,24,FALSE)+($F4+($F4*0.5*($D4-1)))*(S$3-1)</f>
        <v>2908</v>
      </c>
      <c r="T4" s="112">
        <f>VLOOKUP($C$4,Servant!$B$5:$AD$29,24,FALSE)+($F4+($F4*0.5*($D4-1)))*(T$3-1)</f>
        <v>3144</v>
      </c>
      <c r="U4" s="112">
        <f>VLOOKUP($C$4,Servant!$B$5:$AD$29,24,FALSE)+($F4+($F4*0.5*($D4-1)))*(U$3-1)</f>
        <v>3380</v>
      </c>
      <c r="V4" s="112">
        <f>VLOOKUP($C$4,Servant!$B$5:$AD$29,24,FALSE)+($F4+($F4*0.5*($D4-1)))*(V$3-1)</f>
        <v>3616</v>
      </c>
      <c r="W4" s="112">
        <f>VLOOKUP($C$4,Servant!$B$5:$AD$29,24,FALSE)+($F4+($F4*0.5*($D4-1)))*(W$3-1)</f>
        <v>3852</v>
      </c>
      <c r="X4" s="112">
        <f>VLOOKUP($C$4,Servant!$B$5:$AD$29,24,FALSE)+($F4+($F4*0.5*($D4-1)))*(X$3-1)</f>
        <v>4088</v>
      </c>
      <c r="Y4" s="112">
        <f>VLOOKUP($C$4,Servant!$B$5:$AD$29,24,FALSE)+($F4+($F4*0.5*($D4-1)))*(Y$3-1)</f>
        <v>4324</v>
      </c>
      <c r="Z4" s="112">
        <f>VLOOKUP($C$4,Servant!$B$5:$AD$29,24,FALSE)+($F4+($F4*0.5*($D4-1)))*(Z$3-1)</f>
        <v>4560</v>
      </c>
      <c r="AA4" s="112">
        <f>VLOOKUP($C$4,Servant!$B$5:$AD$29,24,FALSE)+($F4+($F4*0.5*($D4-1)))*(AA$3-1)</f>
        <v>4796</v>
      </c>
      <c r="AB4" s="112">
        <f>VLOOKUP($C$4,Servant!$B$5:$AD$29,24,FALSE)+($F4+($F4*0.5*($D4-1)))*(AB$3-1)</f>
        <v>5032</v>
      </c>
      <c r="AC4" s="112">
        <f>VLOOKUP($C$4,Servant!$B$5:$AD$29,24,FALSE)+($F4+($F4*0.5*($D4-1)))*(AC$3-1)</f>
        <v>5268</v>
      </c>
      <c r="AD4" s="112">
        <f>VLOOKUP($C$4,Servant!$B$5:$AD$29,24,FALSE)+($F4+($F4*0.5*($D4-1)))*(AD$3-1)</f>
        <v>5504</v>
      </c>
      <c r="AE4" s="112">
        <f>VLOOKUP($C$4,Servant!$B$5:$AD$29,24,FALSE)+($F4+($F4*0.5*($D4-1)))*(AE$3-1)</f>
        <v>5740</v>
      </c>
      <c r="AF4" s="112">
        <f>VLOOKUP($C$4,Servant!$B$5:$AD$29,24,FALSE)+($F4+($F4*0.5*($D4-1)))*(AF$3-1)</f>
        <v>5976</v>
      </c>
      <c r="AG4" s="112">
        <f>VLOOKUP($C$4,Servant!$B$5:$AD$29,24,FALSE)+($F4+($F4*0.5*($D4-1)))*(AG$3-1)</f>
        <v>6212</v>
      </c>
      <c r="AH4" s="112">
        <f>VLOOKUP($C$4,Servant!$B$5:$AD$29,24,FALSE)+($F4+($F4*0.5*($D4-1)))*(AH$3-1)</f>
        <v>6448</v>
      </c>
      <c r="AI4" s="112">
        <f>VLOOKUP($C$4,Servant!$B$5:$AD$29,24,FALSE)+($F4+($F4*0.5*($D4-1)))*(AI$3-1)</f>
        <v>6684</v>
      </c>
      <c r="AJ4" s="112">
        <f>VLOOKUP($C$4,Servant!$B$5:$AD$29,24,FALSE)+($F4+($F4*0.5*($D4-1)))*(AJ$3-1)</f>
        <v>6920</v>
      </c>
      <c r="AK4" s="112">
        <f>VLOOKUP($C$4,Servant!$B$5:$AD$29,24,FALSE)+($F4+($F4*0.5*($D4-1)))*(AK$3-1)</f>
        <v>7156</v>
      </c>
    </row>
    <row r="5" spans="2:37" x14ac:dyDescent="0.3">
      <c r="B5" s="309"/>
      <c r="C5" s="311"/>
      <c r="D5" s="126">
        <v>2</v>
      </c>
      <c r="E5" s="117">
        <f>VLOOKUP($C$4,ServantLevelUPdStatus!$B$5:$AD$29,12,FALSE)+(VLOOKUP($C$4,ServantLevelUPdStatus!$B$5:$AD$29,12,FALSE)*0.5*(Simulator_DfsPow!$D5-1))</f>
        <v>354</v>
      </c>
      <c r="F5" s="118">
        <f>F4</f>
        <v>236</v>
      </c>
      <c r="H5" s="112">
        <f>VLOOKUP($C$4,Servant!$B$5:$AD$29,24,FALSE)+($F5+($F5*0.5*($D5-1)))*(H$3-1)</f>
        <v>312</v>
      </c>
      <c r="I5" s="112">
        <f>VLOOKUP($C$4,Servant!$B$5:$AD$29,24,FALSE)+($F5+($F5*0.5*($D5-1)))*(I$3-1)</f>
        <v>666</v>
      </c>
      <c r="J5" s="112">
        <f>VLOOKUP($C$4,Servant!$B$5:$AD$29,24,FALSE)+($F5+($F5*0.5*($D5-1)))*(J$3-1)</f>
        <v>1020</v>
      </c>
      <c r="K5" s="112">
        <f>VLOOKUP($C$4,Servant!$B$5:$AD$29,24,FALSE)+($F5+($F5*0.5*($D5-1)))*(K$3-1)</f>
        <v>1374</v>
      </c>
      <c r="L5" s="112">
        <f>VLOOKUP($C$4,Servant!$B$5:$AD$29,24,FALSE)+($F5+($F5*0.5*($D5-1)))*(L$3-1)</f>
        <v>1728</v>
      </c>
      <c r="M5" s="112">
        <f>VLOOKUP($C$4,Servant!$B$5:$AD$29,24,FALSE)+($F5+($F5*0.5*($D5-1)))*(M$3-1)</f>
        <v>2082</v>
      </c>
      <c r="N5" s="112">
        <f>VLOOKUP($C$4,Servant!$B$5:$AD$29,24,FALSE)+($F5+($F5*0.5*($D5-1)))*(N$3-1)</f>
        <v>2436</v>
      </c>
      <c r="O5" s="112">
        <f>VLOOKUP($C$4,Servant!$B$5:$AD$29,24,FALSE)+($F5+($F5*0.5*($D5-1)))*(O$3-1)</f>
        <v>2790</v>
      </c>
      <c r="P5" s="112">
        <f>VLOOKUP($C$4,Servant!$B$5:$AD$29,24,FALSE)+($F5+($F5*0.5*($D5-1)))*(P$3-1)</f>
        <v>3144</v>
      </c>
      <c r="Q5" s="112">
        <f>VLOOKUP($C$4,Servant!$B$5:$AD$29,24,FALSE)+($F5+($F5*0.5*($D5-1)))*(Q$3-1)</f>
        <v>3498</v>
      </c>
      <c r="R5" s="112">
        <f>VLOOKUP($C$4,Servant!$B$5:$AD$29,24,FALSE)+($F5+($F5*0.5*($D5-1)))*(R$3-1)</f>
        <v>3852</v>
      </c>
      <c r="S5" s="112">
        <f>VLOOKUP($C$4,Servant!$B$5:$AD$29,24,FALSE)+($F5+($F5*0.5*($D5-1)))*(S$3-1)</f>
        <v>4206</v>
      </c>
      <c r="T5" s="112">
        <f>VLOOKUP($C$4,Servant!$B$5:$AD$29,24,FALSE)+($F5+($F5*0.5*($D5-1)))*(T$3-1)</f>
        <v>4560</v>
      </c>
      <c r="U5" s="112">
        <f>VLOOKUP($C$4,Servant!$B$5:$AD$29,24,FALSE)+($F5+($F5*0.5*($D5-1)))*(U$3-1)</f>
        <v>4914</v>
      </c>
      <c r="V5" s="112">
        <f>VLOOKUP($C$4,Servant!$B$5:$AD$29,24,FALSE)+($F5+($F5*0.5*($D5-1)))*(V$3-1)</f>
        <v>5268</v>
      </c>
      <c r="W5" s="112">
        <f>VLOOKUP($C$4,Servant!$B$5:$AD$29,24,FALSE)+($F5+($F5*0.5*($D5-1)))*(W$3-1)</f>
        <v>5622</v>
      </c>
      <c r="X5" s="112">
        <f>VLOOKUP($C$4,Servant!$B$5:$AD$29,24,FALSE)+($F5+($F5*0.5*($D5-1)))*(X$3-1)</f>
        <v>5976</v>
      </c>
      <c r="Y5" s="112">
        <f>VLOOKUP($C$4,Servant!$B$5:$AD$29,24,FALSE)+($F5+($F5*0.5*($D5-1)))*(Y$3-1)</f>
        <v>6330</v>
      </c>
      <c r="Z5" s="112">
        <f>VLOOKUP($C$4,Servant!$B$5:$AD$29,24,FALSE)+($F5+($F5*0.5*($D5-1)))*(Z$3-1)</f>
        <v>6684</v>
      </c>
      <c r="AA5" s="112">
        <f>VLOOKUP($C$4,Servant!$B$5:$AD$29,24,FALSE)+($F5+($F5*0.5*($D5-1)))*(AA$3-1)</f>
        <v>7038</v>
      </c>
      <c r="AB5" s="112">
        <f>VLOOKUP($C$4,Servant!$B$5:$AD$29,24,FALSE)+($F5+($F5*0.5*($D5-1)))*(AB$3-1)</f>
        <v>7392</v>
      </c>
      <c r="AC5" s="112">
        <f>VLOOKUP($C$4,Servant!$B$5:$AD$29,24,FALSE)+($F5+($F5*0.5*($D5-1)))*(AC$3-1)</f>
        <v>7746</v>
      </c>
      <c r="AD5" s="112">
        <f>VLOOKUP($C$4,Servant!$B$5:$AD$29,24,FALSE)+($F5+($F5*0.5*($D5-1)))*(AD$3-1)</f>
        <v>8100</v>
      </c>
      <c r="AE5" s="112">
        <f>VLOOKUP($C$4,Servant!$B$5:$AD$29,24,FALSE)+($F5+($F5*0.5*($D5-1)))*(AE$3-1)</f>
        <v>8454</v>
      </c>
      <c r="AF5" s="112">
        <f>VLOOKUP($C$4,Servant!$B$5:$AD$29,24,FALSE)+($F5+($F5*0.5*($D5-1)))*(AF$3-1)</f>
        <v>8808</v>
      </c>
      <c r="AG5" s="112">
        <f>VLOOKUP($C$4,Servant!$B$5:$AD$29,24,FALSE)+($F5+($F5*0.5*($D5-1)))*(AG$3-1)</f>
        <v>9162</v>
      </c>
      <c r="AH5" s="112">
        <f>VLOOKUP($C$4,Servant!$B$5:$AD$29,24,FALSE)+($F5+($F5*0.5*($D5-1)))*(AH$3-1)</f>
        <v>9516</v>
      </c>
      <c r="AI5" s="112">
        <f>VLOOKUP($C$4,Servant!$B$5:$AD$29,24,FALSE)+($F5+($F5*0.5*($D5-1)))*(AI$3-1)</f>
        <v>9870</v>
      </c>
      <c r="AJ5" s="112">
        <f>VLOOKUP($C$4,Servant!$B$5:$AD$29,24,FALSE)+($F5+($F5*0.5*($D5-1)))*(AJ$3-1)</f>
        <v>10224</v>
      </c>
      <c r="AK5" s="112">
        <f>VLOOKUP($C$4,Servant!$B$5:$AD$29,24,FALSE)+($F5+($F5*0.5*($D5-1)))*(AK$3-1)</f>
        <v>10578</v>
      </c>
    </row>
    <row r="6" spans="2:37" x14ac:dyDescent="0.3">
      <c r="B6" s="309"/>
      <c r="C6" s="312"/>
      <c r="D6" s="126">
        <v>3</v>
      </c>
      <c r="E6" s="117">
        <f>VLOOKUP($C$4,ServantLevelUPdStatus!$B$5:$AD$29,12,FALSE)+(VLOOKUP($C$4,ServantLevelUPdStatus!$B$5:$AD$29,12,FALSE)*0.5*(Simulator_DfsPow!$D6-1))</f>
        <v>472</v>
      </c>
      <c r="F6" s="118">
        <f>F5</f>
        <v>236</v>
      </c>
      <c r="H6" s="112">
        <f>VLOOKUP($C$4,Servant!$B$5:$AD$29,24,FALSE)+($F6+($F6*0.5*($D6-1)))*(H$3-1)</f>
        <v>312</v>
      </c>
      <c r="I6" s="112">
        <f>VLOOKUP($C$4,Servant!$B$5:$AD$29,24,FALSE)+($F6+($F6*0.5*($D6-1)))*(I$3-1)</f>
        <v>784</v>
      </c>
      <c r="J6" s="112">
        <f>VLOOKUP($C$4,Servant!$B$5:$AD$29,24,FALSE)+($F6+($F6*0.5*($D6-1)))*(J$3-1)</f>
        <v>1256</v>
      </c>
      <c r="K6" s="112">
        <f>VLOOKUP($C$4,Servant!$B$5:$AD$29,24,FALSE)+($F6+($F6*0.5*($D6-1)))*(K$3-1)</f>
        <v>1728</v>
      </c>
      <c r="L6" s="112">
        <f>VLOOKUP($C$4,Servant!$B$5:$AD$29,24,FALSE)+($F6+($F6*0.5*($D6-1)))*(L$3-1)</f>
        <v>2200</v>
      </c>
      <c r="M6" s="112">
        <f>VLOOKUP($C$4,Servant!$B$5:$AD$29,24,FALSE)+($F6+($F6*0.5*($D6-1)))*(M$3-1)</f>
        <v>2672</v>
      </c>
      <c r="N6" s="112">
        <f>VLOOKUP($C$4,Servant!$B$5:$AD$29,24,FALSE)+($F6+($F6*0.5*($D6-1)))*(N$3-1)</f>
        <v>3144</v>
      </c>
      <c r="O6" s="112">
        <f>VLOOKUP($C$4,Servant!$B$5:$AD$29,24,FALSE)+($F6+($F6*0.5*($D6-1)))*(O$3-1)</f>
        <v>3616</v>
      </c>
      <c r="P6" s="112">
        <f>VLOOKUP($C$4,Servant!$B$5:$AD$29,24,FALSE)+($F6+($F6*0.5*($D6-1)))*(P$3-1)</f>
        <v>4088</v>
      </c>
      <c r="Q6" s="112">
        <f>VLOOKUP($C$4,Servant!$B$5:$AD$29,24,FALSE)+($F6+($F6*0.5*($D6-1)))*(Q$3-1)</f>
        <v>4560</v>
      </c>
      <c r="R6" s="112">
        <f>VLOOKUP($C$4,Servant!$B$5:$AD$29,24,FALSE)+($F6+($F6*0.5*($D6-1)))*(R$3-1)</f>
        <v>5032</v>
      </c>
      <c r="S6" s="112">
        <f>VLOOKUP($C$4,Servant!$B$5:$AD$29,24,FALSE)+($F6+($F6*0.5*($D6-1)))*(S$3-1)</f>
        <v>5504</v>
      </c>
      <c r="T6" s="112">
        <f>VLOOKUP($C$4,Servant!$B$5:$AD$29,24,FALSE)+($F6+($F6*0.5*($D6-1)))*(T$3-1)</f>
        <v>5976</v>
      </c>
      <c r="U6" s="112">
        <f>VLOOKUP($C$4,Servant!$B$5:$AD$29,24,FALSE)+($F6+($F6*0.5*($D6-1)))*(U$3-1)</f>
        <v>6448</v>
      </c>
      <c r="V6" s="112">
        <f>VLOOKUP($C$4,Servant!$B$5:$AD$29,24,FALSE)+($F6+($F6*0.5*($D6-1)))*(V$3-1)</f>
        <v>6920</v>
      </c>
      <c r="W6" s="112">
        <f>VLOOKUP($C$4,Servant!$B$5:$AD$29,24,FALSE)+($F6+($F6*0.5*($D6-1)))*(W$3-1)</f>
        <v>7392</v>
      </c>
      <c r="X6" s="112">
        <f>VLOOKUP($C$4,Servant!$B$5:$AD$29,24,FALSE)+($F6+($F6*0.5*($D6-1)))*(X$3-1)</f>
        <v>7864</v>
      </c>
      <c r="Y6" s="112">
        <f>VLOOKUP($C$4,Servant!$B$5:$AD$29,24,FALSE)+($F6+($F6*0.5*($D6-1)))*(Y$3-1)</f>
        <v>8336</v>
      </c>
      <c r="Z6" s="112">
        <f>VLOOKUP($C$4,Servant!$B$5:$AD$29,24,FALSE)+($F6+($F6*0.5*($D6-1)))*(Z$3-1)</f>
        <v>8808</v>
      </c>
      <c r="AA6" s="112">
        <f>VLOOKUP($C$4,Servant!$B$5:$AD$29,24,FALSE)+($F6+($F6*0.5*($D6-1)))*(AA$3-1)</f>
        <v>9280</v>
      </c>
      <c r="AB6" s="112">
        <f>VLOOKUP($C$4,Servant!$B$5:$AD$29,24,FALSE)+($F6+($F6*0.5*($D6-1)))*(AB$3-1)</f>
        <v>9752</v>
      </c>
      <c r="AC6" s="112">
        <f>VLOOKUP($C$4,Servant!$B$5:$AD$29,24,FALSE)+($F6+($F6*0.5*($D6-1)))*(AC$3-1)</f>
        <v>10224</v>
      </c>
      <c r="AD6" s="112">
        <f>VLOOKUP($C$4,Servant!$B$5:$AD$29,24,FALSE)+($F6+($F6*0.5*($D6-1)))*(AD$3-1)</f>
        <v>10696</v>
      </c>
      <c r="AE6" s="112">
        <f>VLOOKUP($C$4,Servant!$B$5:$AD$29,24,FALSE)+($F6+($F6*0.5*($D6-1)))*(AE$3-1)</f>
        <v>11168</v>
      </c>
      <c r="AF6" s="112">
        <f>VLOOKUP($C$4,Servant!$B$5:$AD$29,24,FALSE)+($F6+($F6*0.5*($D6-1)))*(AF$3-1)</f>
        <v>11640</v>
      </c>
      <c r="AG6" s="112">
        <f>VLOOKUP($C$4,Servant!$B$5:$AD$29,24,FALSE)+($F6+($F6*0.5*($D6-1)))*(AG$3-1)</f>
        <v>12112</v>
      </c>
      <c r="AH6" s="112">
        <f>VLOOKUP($C$4,Servant!$B$5:$AD$29,24,FALSE)+($F6+($F6*0.5*($D6-1)))*(AH$3-1)</f>
        <v>12584</v>
      </c>
      <c r="AI6" s="112">
        <f>VLOOKUP($C$4,Servant!$B$5:$AD$29,24,FALSE)+($F6+($F6*0.5*($D6-1)))*(AI$3-1)</f>
        <v>13056</v>
      </c>
      <c r="AJ6" s="112">
        <f>VLOOKUP($C$4,Servant!$B$5:$AD$29,24,FALSE)+($F6+($F6*0.5*($D6-1)))*(AJ$3-1)</f>
        <v>13528</v>
      </c>
      <c r="AK6" s="112">
        <f>VLOOKUP($C$4,Servant!$B$5:$AD$29,24,FALSE)+($F6+($F6*0.5*($D6-1)))*(AK$3-1)</f>
        <v>14000</v>
      </c>
    </row>
    <row r="7" spans="2:37" x14ac:dyDescent="0.3">
      <c r="B7" s="309"/>
      <c r="C7" s="313" t="s">
        <v>275</v>
      </c>
      <c r="D7" s="131">
        <v>1</v>
      </c>
      <c r="E7" s="132">
        <f>VLOOKUP($C$7,ServantLevelUPdStatus!$B$5:$AD$29,12,FALSE)+(VLOOKUP($C$7,ServantLevelUPdStatus!$B$5:$AD$29,12,FALSE)*0.5*(Simulator_DfsPow!$D7-1))</f>
        <v>247</v>
      </c>
      <c r="F7" s="132">
        <f>VLOOKUP($C$7,ServantLevelUPdStatus!$B$5:$AD$29,12,FALSE)</f>
        <v>247</v>
      </c>
      <c r="H7" s="133">
        <f>VLOOKUP($C$7,Servant!$B$5:$AD$29,24,FALSE)+($F7+($F7*0.5*($D7-1)))*(H$3-1)</f>
        <v>327</v>
      </c>
      <c r="I7" s="133">
        <f>VLOOKUP($C$7,Servant!$B$5:$AD$29,24,FALSE)+($F7+($F7*0.5*($D7-1)))*(I$3-1)</f>
        <v>574</v>
      </c>
      <c r="J7" s="133">
        <f>VLOOKUP($C$7,Servant!$B$5:$AD$29,24,FALSE)+($F7+($F7*0.5*($D7-1)))*(J$3-1)</f>
        <v>821</v>
      </c>
      <c r="K7" s="133">
        <f>VLOOKUP($C$7,Servant!$B$5:$AD$29,24,FALSE)+($F7+($F7*0.5*($D7-1)))*(K$3-1)</f>
        <v>1068</v>
      </c>
      <c r="L7" s="133">
        <f>VLOOKUP($C$7,Servant!$B$5:$AD$29,24,FALSE)+($F7+($F7*0.5*($D7-1)))*(L$3-1)</f>
        <v>1315</v>
      </c>
      <c r="M7" s="133">
        <f>VLOOKUP($C$7,Servant!$B$5:$AD$29,24,FALSE)+($F7+($F7*0.5*($D7-1)))*(M$3-1)</f>
        <v>1562</v>
      </c>
      <c r="N7" s="133">
        <f>VLOOKUP($C$7,Servant!$B$5:$AD$29,24,FALSE)+($F7+($F7*0.5*($D7-1)))*(N$3-1)</f>
        <v>1809</v>
      </c>
      <c r="O7" s="133">
        <f>VLOOKUP($C$7,Servant!$B$5:$AD$29,24,FALSE)+($F7+($F7*0.5*($D7-1)))*(O$3-1)</f>
        <v>2056</v>
      </c>
      <c r="P7" s="133">
        <f>VLOOKUP($C$7,Servant!$B$5:$AD$29,24,FALSE)+($F7+($F7*0.5*($D7-1)))*(P$3-1)</f>
        <v>2303</v>
      </c>
      <c r="Q7" s="133">
        <f>VLOOKUP($C$7,Servant!$B$5:$AD$29,24,FALSE)+($F7+($F7*0.5*($D7-1)))*(Q$3-1)</f>
        <v>2550</v>
      </c>
      <c r="R7" s="133">
        <f>VLOOKUP($C$7,Servant!$B$5:$AD$29,24,FALSE)+($F7+($F7*0.5*($D7-1)))*(R$3-1)</f>
        <v>2797</v>
      </c>
      <c r="S7" s="133">
        <f>VLOOKUP($C$7,Servant!$B$5:$AD$29,24,FALSE)+($F7+($F7*0.5*($D7-1)))*(S$3-1)</f>
        <v>3044</v>
      </c>
      <c r="T7" s="133">
        <f>VLOOKUP($C$7,Servant!$B$5:$AD$29,24,FALSE)+($F7+($F7*0.5*($D7-1)))*(T$3-1)</f>
        <v>3291</v>
      </c>
      <c r="U7" s="133">
        <f>VLOOKUP($C$7,Servant!$B$5:$AD$29,24,FALSE)+($F7+($F7*0.5*($D7-1)))*(U$3-1)</f>
        <v>3538</v>
      </c>
      <c r="V7" s="133">
        <f>VLOOKUP($C$7,Servant!$B$5:$AD$29,24,FALSE)+($F7+($F7*0.5*($D7-1)))*(V$3-1)</f>
        <v>3785</v>
      </c>
      <c r="W7" s="133">
        <f>VLOOKUP($C$7,Servant!$B$5:$AD$29,24,FALSE)+($F7+($F7*0.5*($D7-1)))*(W$3-1)</f>
        <v>4032</v>
      </c>
      <c r="X7" s="133">
        <f>VLOOKUP($C$7,Servant!$B$5:$AD$29,24,FALSE)+($F7+($F7*0.5*($D7-1)))*(X$3-1)</f>
        <v>4279</v>
      </c>
      <c r="Y7" s="133">
        <f>VLOOKUP($C$7,Servant!$B$5:$AD$29,24,FALSE)+($F7+($F7*0.5*($D7-1)))*(Y$3-1)</f>
        <v>4526</v>
      </c>
      <c r="Z7" s="133">
        <f>VLOOKUP($C$7,Servant!$B$5:$AD$29,24,FALSE)+($F7+($F7*0.5*($D7-1)))*(Z$3-1)</f>
        <v>4773</v>
      </c>
      <c r="AA7" s="133">
        <f>VLOOKUP($C$7,Servant!$B$5:$AD$29,24,FALSE)+($F7+($F7*0.5*($D7-1)))*(AA$3-1)</f>
        <v>5020</v>
      </c>
      <c r="AB7" s="133">
        <f>VLOOKUP($C$7,Servant!$B$5:$AD$29,24,FALSE)+($F7+($F7*0.5*($D7-1)))*(AB$3-1)</f>
        <v>5267</v>
      </c>
      <c r="AC7" s="133">
        <f>VLOOKUP($C$7,Servant!$B$5:$AD$29,24,FALSE)+($F7+($F7*0.5*($D7-1)))*(AC$3-1)</f>
        <v>5514</v>
      </c>
      <c r="AD7" s="133">
        <f>VLOOKUP($C$7,Servant!$B$5:$AD$29,24,FALSE)+($F7+($F7*0.5*($D7-1)))*(AD$3-1)</f>
        <v>5761</v>
      </c>
      <c r="AE7" s="133">
        <f>VLOOKUP($C$7,Servant!$B$5:$AD$29,24,FALSE)+($F7+($F7*0.5*($D7-1)))*(AE$3-1)</f>
        <v>6008</v>
      </c>
      <c r="AF7" s="133">
        <f>VLOOKUP($C$7,Servant!$B$5:$AD$29,24,FALSE)+($F7+($F7*0.5*($D7-1)))*(AF$3-1)</f>
        <v>6255</v>
      </c>
      <c r="AG7" s="133">
        <f>VLOOKUP($C$7,Servant!$B$5:$AD$29,24,FALSE)+($F7+($F7*0.5*($D7-1)))*(AG$3-1)</f>
        <v>6502</v>
      </c>
      <c r="AH7" s="133">
        <f>VLOOKUP($C$7,Servant!$B$5:$AD$29,24,FALSE)+($F7+($F7*0.5*($D7-1)))*(AH$3-1)</f>
        <v>6749</v>
      </c>
      <c r="AI7" s="133">
        <f>VLOOKUP($C$7,Servant!$B$5:$AD$29,24,FALSE)+($F7+($F7*0.5*($D7-1)))*(AI$3-1)</f>
        <v>6996</v>
      </c>
      <c r="AJ7" s="133">
        <f>VLOOKUP($C$7,Servant!$B$5:$AD$29,24,FALSE)+($F7+($F7*0.5*($D7-1)))*(AJ$3-1)</f>
        <v>7243</v>
      </c>
      <c r="AK7" s="133">
        <f>VLOOKUP($C$7,Servant!$B$5:$AD$29,24,FALSE)+($F7+($F7*0.5*($D7-1)))*(AK$3-1)</f>
        <v>7490</v>
      </c>
    </row>
    <row r="8" spans="2:37" x14ac:dyDescent="0.3">
      <c r="B8" s="309"/>
      <c r="C8" s="314"/>
      <c r="D8" s="134">
        <v>2</v>
      </c>
      <c r="E8" s="132">
        <f>VLOOKUP($C$7,ServantLevelUPdStatus!$B$5:$AD$29,12,FALSE)+(VLOOKUP($C$7,ServantLevelUPdStatus!$B$5:$AD$29,12,FALSE)*0.5*(Simulator_DfsPow!$D8-1))</f>
        <v>370.5</v>
      </c>
      <c r="F8" s="135">
        <f>F7</f>
        <v>247</v>
      </c>
      <c r="H8" s="133">
        <f>VLOOKUP($C$7,Servant!$B$5:$AD$29,24,FALSE)+($F8+($F8*0.5*($D8-1)))*(H$3-1)</f>
        <v>327</v>
      </c>
      <c r="I8" s="133">
        <f>VLOOKUP($C$7,Servant!$B$5:$AD$29,24,FALSE)+($F8+($F8*0.5*($D8-1)))*(I$3-1)</f>
        <v>697.5</v>
      </c>
      <c r="J8" s="133">
        <f>VLOOKUP($C$7,Servant!$B$5:$AD$29,24,FALSE)+($F8+($F8*0.5*($D8-1)))*(J$3-1)</f>
        <v>1068</v>
      </c>
      <c r="K8" s="133">
        <f>VLOOKUP($C$7,Servant!$B$5:$AD$29,24,FALSE)+($F8+($F8*0.5*($D8-1)))*(K$3-1)</f>
        <v>1438.5</v>
      </c>
      <c r="L8" s="133">
        <f>VLOOKUP($C$7,Servant!$B$5:$AD$29,24,FALSE)+($F8+($F8*0.5*($D8-1)))*(L$3-1)</f>
        <v>1809</v>
      </c>
      <c r="M8" s="133">
        <f>VLOOKUP($C$7,Servant!$B$5:$AD$29,24,FALSE)+($F8+($F8*0.5*($D8-1)))*(M$3-1)</f>
        <v>2179.5</v>
      </c>
      <c r="N8" s="133">
        <f>VLOOKUP($C$7,Servant!$B$5:$AD$29,24,FALSE)+($F8+($F8*0.5*($D8-1)))*(N$3-1)</f>
        <v>2550</v>
      </c>
      <c r="O8" s="133">
        <f>VLOOKUP($C$7,Servant!$B$5:$AD$29,24,FALSE)+($F8+($F8*0.5*($D8-1)))*(O$3-1)</f>
        <v>2920.5</v>
      </c>
      <c r="P8" s="133">
        <f>VLOOKUP($C$7,Servant!$B$5:$AD$29,24,FALSE)+($F8+($F8*0.5*($D8-1)))*(P$3-1)</f>
        <v>3291</v>
      </c>
      <c r="Q8" s="133">
        <f>VLOOKUP($C$7,Servant!$B$5:$AD$29,24,FALSE)+($F8+($F8*0.5*($D8-1)))*(Q$3-1)</f>
        <v>3661.5</v>
      </c>
      <c r="R8" s="133">
        <f>VLOOKUP($C$7,Servant!$B$5:$AD$29,24,FALSE)+($F8+($F8*0.5*($D8-1)))*(R$3-1)</f>
        <v>4032</v>
      </c>
      <c r="S8" s="133">
        <f>VLOOKUP($C$7,Servant!$B$5:$AD$29,24,FALSE)+($F8+($F8*0.5*($D8-1)))*(S$3-1)</f>
        <v>4402.5</v>
      </c>
      <c r="T8" s="133">
        <f>VLOOKUP($C$7,Servant!$B$5:$AD$29,24,FALSE)+($F8+($F8*0.5*($D8-1)))*(T$3-1)</f>
        <v>4773</v>
      </c>
      <c r="U8" s="133">
        <f>VLOOKUP($C$7,Servant!$B$5:$AD$29,24,FALSE)+($F8+($F8*0.5*($D8-1)))*(U$3-1)</f>
        <v>5143.5</v>
      </c>
      <c r="V8" s="133">
        <f>VLOOKUP($C$7,Servant!$B$5:$AD$29,24,FALSE)+($F8+($F8*0.5*($D8-1)))*(V$3-1)</f>
        <v>5514</v>
      </c>
      <c r="W8" s="133">
        <f>VLOOKUP($C$7,Servant!$B$5:$AD$29,24,FALSE)+($F8+($F8*0.5*($D8-1)))*(W$3-1)</f>
        <v>5884.5</v>
      </c>
      <c r="X8" s="133">
        <f>VLOOKUP($C$7,Servant!$B$5:$AD$29,24,FALSE)+($F8+($F8*0.5*($D8-1)))*(X$3-1)</f>
        <v>6255</v>
      </c>
      <c r="Y8" s="133">
        <f>VLOOKUP($C$7,Servant!$B$5:$AD$29,24,FALSE)+($F8+($F8*0.5*($D8-1)))*(Y$3-1)</f>
        <v>6625.5</v>
      </c>
      <c r="Z8" s="133">
        <f>VLOOKUP($C$7,Servant!$B$5:$AD$29,24,FALSE)+($F8+($F8*0.5*($D8-1)))*(Z$3-1)</f>
        <v>6996</v>
      </c>
      <c r="AA8" s="133">
        <f>VLOOKUP($C$7,Servant!$B$5:$AD$29,24,FALSE)+($F8+($F8*0.5*($D8-1)))*(AA$3-1)</f>
        <v>7366.5</v>
      </c>
      <c r="AB8" s="133">
        <f>VLOOKUP($C$7,Servant!$B$5:$AD$29,24,FALSE)+($F8+($F8*0.5*($D8-1)))*(AB$3-1)</f>
        <v>7737</v>
      </c>
      <c r="AC8" s="133">
        <f>VLOOKUP($C$7,Servant!$B$5:$AD$29,24,FALSE)+($F8+($F8*0.5*($D8-1)))*(AC$3-1)</f>
        <v>8107.5</v>
      </c>
      <c r="AD8" s="133">
        <f>VLOOKUP($C$7,Servant!$B$5:$AD$29,24,FALSE)+($F8+($F8*0.5*($D8-1)))*(AD$3-1)</f>
        <v>8478</v>
      </c>
      <c r="AE8" s="133">
        <f>VLOOKUP($C$7,Servant!$B$5:$AD$29,24,FALSE)+($F8+($F8*0.5*($D8-1)))*(AE$3-1)</f>
        <v>8848.5</v>
      </c>
      <c r="AF8" s="133">
        <f>VLOOKUP($C$7,Servant!$B$5:$AD$29,24,FALSE)+($F8+($F8*0.5*($D8-1)))*(AF$3-1)</f>
        <v>9219</v>
      </c>
      <c r="AG8" s="133">
        <f>VLOOKUP($C$7,Servant!$B$5:$AD$29,24,FALSE)+($F8+($F8*0.5*($D8-1)))*(AG$3-1)</f>
        <v>9589.5</v>
      </c>
      <c r="AH8" s="133">
        <f>VLOOKUP($C$7,Servant!$B$5:$AD$29,24,FALSE)+($F8+($F8*0.5*($D8-1)))*(AH$3-1)</f>
        <v>9960</v>
      </c>
      <c r="AI8" s="133">
        <f>VLOOKUP($C$7,Servant!$B$5:$AD$29,24,FALSE)+($F8+($F8*0.5*($D8-1)))*(AI$3-1)</f>
        <v>10330.5</v>
      </c>
      <c r="AJ8" s="133">
        <f>VLOOKUP($C$7,Servant!$B$5:$AD$29,24,FALSE)+($F8+($F8*0.5*($D8-1)))*(AJ$3-1)</f>
        <v>10701</v>
      </c>
      <c r="AK8" s="133">
        <f>VLOOKUP($C$7,Servant!$B$5:$AD$29,24,FALSE)+($F8+($F8*0.5*($D8-1)))*(AK$3-1)</f>
        <v>11071.5</v>
      </c>
    </row>
    <row r="9" spans="2:37" x14ac:dyDescent="0.3">
      <c r="B9" s="309"/>
      <c r="C9" s="314"/>
      <c r="D9" s="134">
        <v>3</v>
      </c>
      <c r="E9" s="132">
        <f>VLOOKUP($C$7,ServantLevelUPdStatus!$B$5:$AD$29,12,FALSE)+(VLOOKUP($C$7,ServantLevelUPdStatus!$B$5:$AD$29,12,FALSE)*0.5*(Simulator_DfsPow!$D9-1))</f>
        <v>494</v>
      </c>
      <c r="F9" s="135">
        <f>F8</f>
        <v>247</v>
      </c>
      <c r="H9" s="133">
        <f>VLOOKUP($C$7,Servant!$B$5:$AD$29,24,FALSE)+($F9+($F9*0.5*($D9-1)))*(H$3-1)</f>
        <v>327</v>
      </c>
      <c r="I9" s="133">
        <f>VLOOKUP($C$7,Servant!$B$5:$AD$29,24,FALSE)+($F9+($F9*0.5*($D9-1)))*(I$3-1)</f>
        <v>821</v>
      </c>
      <c r="J9" s="133">
        <f>VLOOKUP($C$7,Servant!$B$5:$AD$29,24,FALSE)+($F9+($F9*0.5*($D9-1)))*(J$3-1)</f>
        <v>1315</v>
      </c>
      <c r="K9" s="133">
        <f>VLOOKUP($C$7,Servant!$B$5:$AD$29,24,FALSE)+($F9+($F9*0.5*($D9-1)))*(K$3-1)</f>
        <v>1809</v>
      </c>
      <c r="L9" s="133">
        <f>VLOOKUP($C$7,Servant!$B$5:$AD$29,24,FALSE)+($F9+($F9*0.5*($D9-1)))*(L$3-1)</f>
        <v>2303</v>
      </c>
      <c r="M9" s="133">
        <f>VLOOKUP($C$7,Servant!$B$5:$AD$29,24,FALSE)+($F9+($F9*0.5*($D9-1)))*(M$3-1)</f>
        <v>2797</v>
      </c>
      <c r="N9" s="133">
        <f>VLOOKUP($C$7,Servant!$B$5:$AD$29,24,FALSE)+($F9+($F9*0.5*($D9-1)))*(N$3-1)</f>
        <v>3291</v>
      </c>
      <c r="O9" s="133">
        <f>VLOOKUP($C$7,Servant!$B$5:$AD$29,24,FALSE)+($F9+($F9*0.5*($D9-1)))*(O$3-1)</f>
        <v>3785</v>
      </c>
      <c r="P9" s="133">
        <f>VLOOKUP($C$7,Servant!$B$5:$AD$29,24,FALSE)+($F9+($F9*0.5*($D9-1)))*(P$3-1)</f>
        <v>4279</v>
      </c>
      <c r="Q9" s="133">
        <f>VLOOKUP($C$7,Servant!$B$5:$AD$29,24,FALSE)+($F9+($F9*0.5*($D9-1)))*(Q$3-1)</f>
        <v>4773</v>
      </c>
      <c r="R9" s="133">
        <f>VLOOKUP($C$7,Servant!$B$5:$AD$29,24,FALSE)+($F9+($F9*0.5*($D9-1)))*(R$3-1)</f>
        <v>5267</v>
      </c>
      <c r="S9" s="133">
        <f>VLOOKUP($C$7,Servant!$B$5:$AD$29,24,FALSE)+($F9+($F9*0.5*($D9-1)))*(S$3-1)</f>
        <v>5761</v>
      </c>
      <c r="T9" s="133">
        <f>VLOOKUP($C$7,Servant!$B$5:$AD$29,24,FALSE)+($F9+($F9*0.5*($D9-1)))*(T$3-1)</f>
        <v>6255</v>
      </c>
      <c r="U9" s="133">
        <f>VLOOKUP($C$7,Servant!$B$5:$AD$29,24,FALSE)+($F9+($F9*0.5*($D9-1)))*(U$3-1)</f>
        <v>6749</v>
      </c>
      <c r="V9" s="133">
        <f>VLOOKUP($C$7,Servant!$B$5:$AD$29,24,FALSE)+($F9+($F9*0.5*($D9-1)))*(V$3-1)</f>
        <v>7243</v>
      </c>
      <c r="W9" s="133">
        <f>VLOOKUP($C$7,Servant!$B$5:$AD$29,24,FALSE)+($F9+($F9*0.5*($D9-1)))*(W$3-1)</f>
        <v>7737</v>
      </c>
      <c r="X9" s="133">
        <f>VLOOKUP($C$7,Servant!$B$5:$AD$29,24,FALSE)+($F9+($F9*0.5*($D9-1)))*(X$3-1)</f>
        <v>8231</v>
      </c>
      <c r="Y9" s="133">
        <f>VLOOKUP($C$7,Servant!$B$5:$AD$29,24,FALSE)+($F9+($F9*0.5*($D9-1)))*(Y$3-1)</f>
        <v>8725</v>
      </c>
      <c r="Z9" s="133">
        <f>VLOOKUP($C$7,Servant!$B$5:$AD$29,24,FALSE)+($F9+($F9*0.5*($D9-1)))*(Z$3-1)</f>
        <v>9219</v>
      </c>
      <c r="AA9" s="133">
        <f>VLOOKUP($C$7,Servant!$B$5:$AD$29,24,FALSE)+($F9+($F9*0.5*($D9-1)))*(AA$3-1)</f>
        <v>9713</v>
      </c>
      <c r="AB9" s="133">
        <f>VLOOKUP($C$7,Servant!$B$5:$AD$29,24,FALSE)+($F9+($F9*0.5*($D9-1)))*(AB$3-1)</f>
        <v>10207</v>
      </c>
      <c r="AC9" s="133">
        <f>VLOOKUP($C$7,Servant!$B$5:$AD$29,24,FALSE)+($F9+($F9*0.5*($D9-1)))*(AC$3-1)</f>
        <v>10701</v>
      </c>
      <c r="AD9" s="133">
        <f>VLOOKUP($C$7,Servant!$B$5:$AD$29,24,FALSE)+($F9+($F9*0.5*($D9-1)))*(AD$3-1)</f>
        <v>11195</v>
      </c>
      <c r="AE9" s="133">
        <f>VLOOKUP($C$7,Servant!$B$5:$AD$29,24,FALSE)+($F9+($F9*0.5*($D9-1)))*(AE$3-1)</f>
        <v>11689</v>
      </c>
      <c r="AF9" s="133">
        <f>VLOOKUP($C$7,Servant!$B$5:$AD$29,24,FALSE)+($F9+($F9*0.5*($D9-1)))*(AF$3-1)</f>
        <v>12183</v>
      </c>
      <c r="AG9" s="133">
        <f>VLOOKUP($C$7,Servant!$B$5:$AD$29,24,FALSE)+($F9+($F9*0.5*($D9-1)))*(AG$3-1)</f>
        <v>12677</v>
      </c>
      <c r="AH9" s="133">
        <f>VLOOKUP($C$7,Servant!$B$5:$AD$29,24,FALSE)+($F9+($F9*0.5*($D9-1)))*(AH$3-1)</f>
        <v>13171</v>
      </c>
      <c r="AI9" s="133">
        <f>VLOOKUP($C$7,Servant!$B$5:$AD$29,24,FALSE)+($F9+($F9*0.5*($D9-1)))*(AI$3-1)</f>
        <v>13665</v>
      </c>
      <c r="AJ9" s="133">
        <f>VLOOKUP($C$7,Servant!$B$5:$AD$29,24,FALSE)+($F9+($F9*0.5*($D9-1)))*(AJ$3-1)</f>
        <v>14159</v>
      </c>
      <c r="AK9" s="133">
        <f>VLOOKUP($C$7,Servant!$B$5:$AD$29,24,FALSE)+($F9+($F9*0.5*($D9-1)))*(AK$3-1)</f>
        <v>14653</v>
      </c>
    </row>
    <row r="10" spans="2:37" x14ac:dyDescent="0.3">
      <c r="B10" s="309"/>
      <c r="C10" s="315" t="s">
        <v>277</v>
      </c>
      <c r="D10" s="125">
        <v>1</v>
      </c>
      <c r="E10" s="117">
        <f>VLOOKUP($C$10,ServantLevelUPdStatus!$B$5:$AD$29,12,FALSE)+(VLOOKUP($C$10,ServantLevelUPdStatus!$B$5:$AD$29,12,FALSE)*0.5*(Simulator_DfsPow!$D10-1))</f>
        <v>271</v>
      </c>
      <c r="F10" s="117">
        <f>VLOOKUP($C$10,ServantLevelUPdStatus!$B$5:$AD$29,12,FALSE)</f>
        <v>271</v>
      </c>
      <c r="H10" s="112">
        <f>VLOOKUP($C$10,Servant!$B$5:$AD$29,24,FALSE)+($F10+($F10*0.5*($D10-1)))*(H$3-1)</f>
        <v>349</v>
      </c>
      <c r="I10" s="112">
        <f>VLOOKUP($C$10,Servant!$B$5:$AD$29,24,FALSE)+($F10+($F10*0.5*($D10-1)))*(I$3-1)</f>
        <v>620</v>
      </c>
      <c r="J10" s="112">
        <f>VLOOKUP($C$10,Servant!$B$5:$AD$29,24,FALSE)+($F10+($F10*0.5*($D10-1)))*(J$3-1)</f>
        <v>891</v>
      </c>
      <c r="K10" s="112">
        <f>VLOOKUP($C$10,Servant!$B$5:$AD$29,24,FALSE)+($F10+($F10*0.5*($D10-1)))*(K$3-1)</f>
        <v>1162</v>
      </c>
      <c r="L10" s="112">
        <f>VLOOKUP($C$10,Servant!$B$5:$AD$29,24,FALSE)+($F10+($F10*0.5*($D10-1)))*(L$3-1)</f>
        <v>1433</v>
      </c>
      <c r="M10" s="112">
        <f>VLOOKUP($C$10,Servant!$B$5:$AD$29,24,FALSE)+($F10+($F10*0.5*($D10-1)))*(M$3-1)</f>
        <v>1704</v>
      </c>
      <c r="N10" s="112">
        <f>VLOOKUP($C$10,Servant!$B$5:$AD$29,24,FALSE)+($F10+($F10*0.5*($D10-1)))*(N$3-1)</f>
        <v>1975</v>
      </c>
      <c r="O10" s="112">
        <f>VLOOKUP($C$10,Servant!$B$5:$AD$29,24,FALSE)+($F10+($F10*0.5*($D10-1)))*(O$3-1)</f>
        <v>2246</v>
      </c>
      <c r="P10" s="112">
        <f>VLOOKUP($C$10,Servant!$B$5:$AD$29,24,FALSE)+($F10+($F10*0.5*($D10-1)))*(P$3-1)</f>
        <v>2517</v>
      </c>
      <c r="Q10" s="112">
        <f>VLOOKUP($C$10,Servant!$B$5:$AD$29,24,FALSE)+($F10+($F10*0.5*($D10-1)))*(Q$3-1)</f>
        <v>2788</v>
      </c>
      <c r="R10" s="112">
        <f>VLOOKUP($C$10,Servant!$B$5:$AD$29,24,FALSE)+($F10+($F10*0.5*($D10-1)))*(R$3-1)</f>
        <v>3059</v>
      </c>
      <c r="S10" s="112">
        <f>VLOOKUP($C$10,Servant!$B$5:$AD$29,24,FALSE)+($F10+($F10*0.5*($D10-1)))*(S$3-1)</f>
        <v>3330</v>
      </c>
      <c r="T10" s="112">
        <f>VLOOKUP($C$10,Servant!$B$5:$AD$29,24,FALSE)+($F10+($F10*0.5*($D10-1)))*(T$3-1)</f>
        <v>3601</v>
      </c>
      <c r="U10" s="112">
        <f>VLOOKUP($C$10,Servant!$B$5:$AD$29,24,FALSE)+($F10+($F10*0.5*($D10-1)))*(U$3-1)</f>
        <v>3872</v>
      </c>
      <c r="V10" s="112">
        <f>VLOOKUP($C$10,Servant!$B$5:$AD$29,24,FALSE)+($F10+($F10*0.5*($D10-1)))*(V$3-1)</f>
        <v>4143</v>
      </c>
      <c r="W10" s="112">
        <f>VLOOKUP($C$10,Servant!$B$5:$AD$29,24,FALSE)+($F10+($F10*0.5*($D10-1)))*(W$3-1)</f>
        <v>4414</v>
      </c>
      <c r="X10" s="112">
        <f>VLOOKUP($C$10,Servant!$B$5:$AD$29,24,FALSE)+($F10+($F10*0.5*($D10-1)))*(X$3-1)</f>
        <v>4685</v>
      </c>
      <c r="Y10" s="112">
        <f>VLOOKUP($C$10,Servant!$B$5:$AD$29,24,FALSE)+($F10+($F10*0.5*($D10-1)))*(Y$3-1)</f>
        <v>4956</v>
      </c>
      <c r="Z10" s="112">
        <f>VLOOKUP($C$10,Servant!$B$5:$AD$29,24,FALSE)+($F10+($F10*0.5*($D10-1)))*(Z$3-1)</f>
        <v>5227</v>
      </c>
      <c r="AA10" s="112">
        <f>VLOOKUP($C$10,Servant!$B$5:$AD$29,24,FALSE)+($F10+($F10*0.5*($D10-1)))*(AA$3-1)</f>
        <v>5498</v>
      </c>
      <c r="AB10" s="112">
        <f>VLOOKUP($C$10,Servant!$B$5:$AD$29,24,FALSE)+($F10+($F10*0.5*($D10-1)))*(AB$3-1)</f>
        <v>5769</v>
      </c>
      <c r="AC10" s="112">
        <f>VLOOKUP($C$10,Servant!$B$5:$AD$29,24,FALSE)+($F10+($F10*0.5*($D10-1)))*(AC$3-1)</f>
        <v>6040</v>
      </c>
      <c r="AD10" s="112">
        <f>VLOOKUP($C$10,Servant!$B$5:$AD$29,24,FALSE)+($F10+($F10*0.5*($D10-1)))*(AD$3-1)</f>
        <v>6311</v>
      </c>
      <c r="AE10" s="112">
        <f>VLOOKUP($C$10,Servant!$B$5:$AD$29,24,FALSE)+($F10+($F10*0.5*($D10-1)))*(AE$3-1)</f>
        <v>6582</v>
      </c>
      <c r="AF10" s="112">
        <f>VLOOKUP($C$10,Servant!$B$5:$AD$29,24,FALSE)+($F10+($F10*0.5*($D10-1)))*(AF$3-1)</f>
        <v>6853</v>
      </c>
      <c r="AG10" s="112">
        <f>VLOOKUP($C$10,Servant!$B$5:$AD$29,24,FALSE)+($F10+($F10*0.5*($D10-1)))*(AG$3-1)</f>
        <v>7124</v>
      </c>
      <c r="AH10" s="112">
        <f>VLOOKUP($C$10,Servant!$B$5:$AD$29,24,FALSE)+($F10+($F10*0.5*($D10-1)))*(AH$3-1)</f>
        <v>7395</v>
      </c>
      <c r="AI10" s="112">
        <f>VLOOKUP($C$10,Servant!$B$5:$AD$29,24,FALSE)+($F10+($F10*0.5*($D10-1)))*(AI$3-1)</f>
        <v>7666</v>
      </c>
      <c r="AJ10" s="112">
        <f>VLOOKUP($C$10,Servant!$B$5:$AD$29,24,FALSE)+($F10+($F10*0.5*($D10-1)))*(AJ$3-1)</f>
        <v>7937</v>
      </c>
      <c r="AK10" s="112">
        <f>VLOOKUP($C$10,Servant!$B$5:$AD$29,24,FALSE)+($F10+($F10*0.5*($D10-1)))*(AK$3-1)</f>
        <v>8208</v>
      </c>
    </row>
    <row r="11" spans="2:37" x14ac:dyDescent="0.3">
      <c r="B11" s="309"/>
      <c r="C11" s="316"/>
      <c r="D11" s="126">
        <v>2</v>
      </c>
      <c r="E11" s="117">
        <f>VLOOKUP($C$10,ServantLevelUPdStatus!$B$5:$AD$29,12,FALSE)+(VLOOKUP($C$10,ServantLevelUPdStatus!$B$5:$AD$29,12,FALSE)*0.5*(Simulator_DfsPow!$D11-1))</f>
        <v>406.5</v>
      </c>
      <c r="F11" s="118">
        <f>F10</f>
        <v>271</v>
      </c>
      <c r="H11" s="112">
        <f>VLOOKUP($C$10,Servant!$B$5:$AD$29,24,FALSE)+($F11+($F11*0.5*($D11-1)))*(H$3-1)</f>
        <v>349</v>
      </c>
      <c r="I11" s="112">
        <f>VLOOKUP($C$10,Servant!$B$5:$AD$29,24,FALSE)+($F11+($F11*0.5*($D11-1)))*(I$3-1)</f>
        <v>755.5</v>
      </c>
      <c r="J11" s="112">
        <f>VLOOKUP($C$10,Servant!$B$5:$AD$29,24,FALSE)+($F11+($F11*0.5*($D11-1)))*(J$3-1)</f>
        <v>1162</v>
      </c>
      <c r="K11" s="112">
        <f>VLOOKUP($C$10,Servant!$B$5:$AD$29,24,FALSE)+($F11+($F11*0.5*($D11-1)))*(K$3-1)</f>
        <v>1568.5</v>
      </c>
      <c r="L11" s="112">
        <f>VLOOKUP($C$10,Servant!$B$5:$AD$29,24,FALSE)+($F11+($F11*0.5*($D11-1)))*(L$3-1)</f>
        <v>1975</v>
      </c>
      <c r="M11" s="112">
        <f>VLOOKUP($C$10,Servant!$B$5:$AD$29,24,FALSE)+($F11+($F11*0.5*($D11-1)))*(M$3-1)</f>
        <v>2381.5</v>
      </c>
      <c r="N11" s="112">
        <f>VLOOKUP($C$10,Servant!$B$5:$AD$29,24,FALSE)+($F11+($F11*0.5*($D11-1)))*(N$3-1)</f>
        <v>2788</v>
      </c>
      <c r="O11" s="112">
        <f>VLOOKUP($C$10,Servant!$B$5:$AD$29,24,FALSE)+($F11+($F11*0.5*($D11-1)))*(O$3-1)</f>
        <v>3194.5</v>
      </c>
      <c r="P11" s="112">
        <f>VLOOKUP($C$10,Servant!$B$5:$AD$29,24,FALSE)+($F11+($F11*0.5*($D11-1)))*(P$3-1)</f>
        <v>3601</v>
      </c>
      <c r="Q11" s="112">
        <f>VLOOKUP($C$10,Servant!$B$5:$AD$29,24,FALSE)+($F11+($F11*0.5*($D11-1)))*(Q$3-1)</f>
        <v>4007.5</v>
      </c>
      <c r="R11" s="112">
        <f>VLOOKUP($C$10,Servant!$B$5:$AD$29,24,FALSE)+($F11+($F11*0.5*($D11-1)))*(R$3-1)</f>
        <v>4414</v>
      </c>
      <c r="S11" s="112">
        <f>VLOOKUP($C$10,Servant!$B$5:$AD$29,24,FALSE)+($F11+($F11*0.5*($D11-1)))*(S$3-1)</f>
        <v>4820.5</v>
      </c>
      <c r="T11" s="112">
        <f>VLOOKUP($C$10,Servant!$B$5:$AD$29,24,FALSE)+($F11+($F11*0.5*($D11-1)))*(T$3-1)</f>
        <v>5227</v>
      </c>
      <c r="U11" s="112">
        <f>VLOOKUP($C$10,Servant!$B$5:$AD$29,24,FALSE)+($F11+($F11*0.5*($D11-1)))*(U$3-1)</f>
        <v>5633.5</v>
      </c>
      <c r="V11" s="112">
        <f>VLOOKUP($C$10,Servant!$B$5:$AD$29,24,FALSE)+($F11+($F11*0.5*($D11-1)))*(V$3-1)</f>
        <v>6040</v>
      </c>
      <c r="W11" s="112">
        <f>VLOOKUP($C$10,Servant!$B$5:$AD$29,24,FALSE)+($F11+($F11*0.5*($D11-1)))*(W$3-1)</f>
        <v>6446.5</v>
      </c>
      <c r="X11" s="112">
        <f>VLOOKUP($C$10,Servant!$B$5:$AD$29,24,FALSE)+($F11+($F11*0.5*($D11-1)))*(X$3-1)</f>
        <v>6853</v>
      </c>
      <c r="Y11" s="112">
        <f>VLOOKUP($C$10,Servant!$B$5:$AD$29,24,FALSE)+($F11+($F11*0.5*($D11-1)))*(Y$3-1)</f>
        <v>7259.5</v>
      </c>
      <c r="Z11" s="112">
        <f>VLOOKUP($C$10,Servant!$B$5:$AD$29,24,FALSE)+($F11+($F11*0.5*($D11-1)))*(Z$3-1)</f>
        <v>7666</v>
      </c>
      <c r="AA11" s="112">
        <f>VLOOKUP($C$10,Servant!$B$5:$AD$29,24,FALSE)+($F11+($F11*0.5*($D11-1)))*(AA$3-1)</f>
        <v>8072.5</v>
      </c>
      <c r="AB11" s="112">
        <f>VLOOKUP($C$10,Servant!$B$5:$AD$29,24,FALSE)+($F11+($F11*0.5*($D11-1)))*(AB$3-1)</f>
        <v>8479</v>
      </c>
      <c r="AC11" s="112">
        <f>VLOOKUP($C$10,Servant!$B$5:$AD$29,24,FALSE)+($F11+($F11*0.5*($D11-1)))*(AC$3-1)</f>
        <v>8885.5</v>
      </c>
      <c r="AD11" s="112">
        <f>VLOOKUP($C$10,Servant!$B$5:$AD$29,24,FALSE)+($F11+($F11*0.5*($D11-1)))*(AD$3-1)</f>
        <v>9292</v>
      </c>
      <c r="AE11" s="112">
        <f>VLOOKUP($C$10,Servant!$B$5:$AD$29,24,FALSE)+($F11+($F11*0.5*($D11-1)))*(AE$3-1)</f>
        <v>9698.5</v>
      </c>
      <c r="AF11" s="112">
        <f>VLOOKUP($C$10,Servant!$B$5:$AD$29,24,FALSE)+($F11+($F11*0.5*($D11-1)))*(AF$3-1)</f>
        <v>10105</v>
      </c>
      <c r="AG11" s="112">
        <f>VLOOKUP($C$10,Servant!$B$5:$AD$29,24,FALSE)+($F11+($F11*0.5*($D11-1)))*(AG$3-1)</f>
        <v>10511.5</v>
      </c>
      <c r="AH11" s="112">
        <f>VLOOKUP($C$10,Servant!$B$5:$AD$29,24,FALSE)+($F11+($F11*0.5*($D11-1)))*(AH$3-1)</f>
        <v>10918</v>
      </c>
      <c r="AI11" s="112">
        <f>VLOOKUP($C$10,Servant!$B$5:$AD$29,24,FALSE)+($F11+($F11*0.5*($D11-1)))*(AI$3-1)</f>
        <v>11324.5</v>
      </c>
      <c r="AJ11" s="112">
        <f>VLOOKUP($C$10,Servant!$B$5:$AD$29,24,FALSE)+($F11+($F11*0.5*($D11-1)))*(AJ$3-1)</f>
        <v>11731</v>
      </c>
      <c r="AK11" s="112">
        <f>VLOOKUP($C$10,Servant!$B$5:$AD$29,24,FALSE)+($F11+($F11*0.5*($D11-1)))*(AK$3-1)</f>
        <v>12137.5</v>
      </c>
    </row>
    <row r="12" spans="2:37" x14ac:dyDescent="0.3">
      <c r="B12" s="309"/>
      <c r="C12" s="316"/>
      <c r="D12" s="126">
        <v>3</v>
      </c>
      <c r="E12" s="117">
        <f>VLOOKUP($C$10,ServantLevelUPdStatus!$B$5:$AD$29,12,FALSE)+(VLOOKUP($C$10,ServantLevelUPdStatus!$B$5:$AD$29,12,FALSE)*0.5*(Simulator_DfsPow!$D12-1))</f>
        <v>542</v>
      </c>
      <c r="F12" s="118">
        <f>F11</f>
        <v>271</v>
      </c>
      <c r="H12" s="112">
        <f>VLOOKUP($C$10,Servant!$B$5:$AD$29,24,FALSE)+($F12+($F12*0.5*($D12-1)))*(H$3-1)</f>
        <v>349</v>
      </c>
      <c r="I12" s="112">
        <f>VLOOKUP($C$10,Servant!$B$5:$AD$29,24,FALSE)+($F12+($F12*0.5*($D12-1)))*(I$3-1)</f>
        <v>891</v>
      </c>
      <c r="J12" s="112">
        <f>VLOOKUP($C$10,Servant!$B$5:$AD$29,24,FALSE)+($F12+($F12*0.5*($D12-1)))*(J$3-1)</f>
        <v>1433</v>
      </c>
      <c r="K12" s="112">
        <f>VLOOKUP($C$10,Servant!$B$5:$AD$29,24,FALSE)+($F12+($F12*0.5*($D12-1)))*(K$3-1)</f>
        <v>1975</v>
      </c>
      <c r="L12" s="112">
        <f>VLOOKUP($C$10,Servant!$B$5:$AD$29,24,FALSE)+($F12+($F12*0.5*($D12-1)))*(L$3-1)</f>
        <v>2517</v>
      </c>
      <c r="M12" s="112">
        <f>VLOOKUP($C$10,Servant!$B$5:$AD$29,24,FALSE)+($F12+($F12*0.5*($D12-1)))*(M$3-1)</f>
        <v>3059</v>
      </c>
      <c r="N12" s="112">
        <f>VLOOKUP($C$10,Servant!$B$5:$AD$29,24,FALSE)+($F12+($F12*0.5*($D12-1)))*(N$3-1)</f>
        <v>3601</v>
      </c>
      <c r="O12" s="112">
        <f>VLOOKUP($C$10,Servant!$B$5:$AD$29,24,FALSE)+($F12+($F12*0.5*($D12-1)))*(O$3-1)</f>
        <v>4143</v>
      </c>
      <c r="P12" s="112">
        <f>VLOOKUP($C$10,Servant!$B$5:$AD$29,24,FALSE)+($F12+($F12*0.5*($D12-1)))*(P$3-1)</f>
        <v>4685</v>
      </c>
      <c r="Q12" s="112">
        <f>VLOOKUP($C$10,Servant!$B$5:$AD$29,24,FALSE)+($F12+($F12*0.5*($D12-1)))*(Q$3-1)</f>
        <v>5227</v>
      </c>
      <c r="R12" s="112">
        <f>VLOOKUP($C$10,Servant!$B$5:$AD$29,24,FALSE)+($F12+($F12*0.5*($D12-1)))*(R$3-1)</f>
        <v>5769</v>
      </c>
      <c r="S12" s="112">
        <f>VLOOKUP($C$10,Servant!$B$5:$AD$29,24,FALSE)+($F12+($F12*0.5*($D12-1)))*(S$3-1)</f>
        <v>6311</v>
      </c>
      <c r="T12" s="112">
        <f>VLOOKUP($C$10,Servant!$B$5:$AD$29,24,FALSE)+($F12+($F12*0.5*($D12-1)))*(T$3-1)</f>
        <v>6853</v>
      </c>
      <c r="U12" s="112">
        <f>VLOOKUP($C$10,Servant!$B$5:$AD$29,24,FALSE)+($F12+($F12*0.5*($D12-1)))*(U$3-1)</f>
        <v>7395</v>
      </c>
      <c r="V12" s="112">
        <f>VLOOKUP($C$10,Servant!$B$5:$AD$29,24,FALSE)+($F12+($F12*0.5*($D12-1)))*(V$3-1)</f>
        <v>7937</v>
      </c>
      <c r="W12" s="112">
        <f>VLOOKUP($C$10,Servant!$B$5:$AD$29,24,FALSE)+($F12+($F12*0.5*($D12-1)))*(W$3-1)</f>
        <v>8479</v>
      </c>
      <c r="X12" s="112">
        <f>VLOOKUP($C$10,Servant!$B$5:$AD$29,24,FALSE)+($F12+($F12*0.5*($D12-1)))*(X$3-1)</f>
        <v>9021</v>
      </c>
      <c r="Y12" s="112">
        <f>VLOOKUP($C$10,Servant!$B$5:$AD$29,24,FALSE)+($F12+($F12*0.5*($D12-1)))*(Y$3-1)</f>
        <v>9563</v>
      </c>
      <c r="Z12" s="112">
        <f>VLOOKUP($C$10,Servant!$B$5:$AD$29,24,FALSE)+($F12+($F12*0.5*($D12-1)))*(Z$3-1)</f>
        <v>10105</v>
      </c>
      <c r="AA12" s="112">
        <f>VLOOKUP($C$10,Servant!$B$5:$AD$29,24,FALSE)+($F12+($F12*0.5*($D12-1)))*(AA$3-1)</f>
        <v>10647</v>
      </c>
      <c r="AB12" s="112">
        <f>VLOOKUP($C$10,Servant!$B$5:$AD$29,24,FALSE)+($F12+($F12*0.5*($D12-1)))*(AB$3-1)</f>
        <v>11189</v>
      </c>
      <c r="AC12" s="112">
        <f>VLOOKUP($C$10,Servant!$B$5:$AD$29,24,FALSE)+($F12+($F12*0.5*($D12-1)))*(AC$3-1)</f>
        <v>11731</v>
      </c>
      <c r="AD12" s="112">
        <f>VLOOKUP($C$10,Servant!$B$5:$AD$29,24,FALSE)+($F12+($F12*0.5*($D12-1)))*(AD$3-1)</f>
        <v>12273</v>
      </c>
      <c r="AE12" s="112">
        <f>VLOOKUP($C$10,Servant!$B$5:$AD$29,24,FALSE)+($F12+($F12*0.5*($D12-1)))*(AE$3-1)</f>
        <v>12815</v>
      </c>
      <c r="AF12" s="112">
        <f>VLOOKUP($C$10,Servant!$B$5:$AD$29,24,FALSE)+($F12+($F12*0.5*($D12-1)))*(AF$3-1)</f>
        <v>13357</v>
      </c>
      <c r="AG12" s="112">
        <f>VLOOKUP($C$10,Servant!$B$5:$AD$29,24,FALSE)+($F12+($F12*0.5*($D12-1)))*(AG$3-1)</f>
        <v>13899</v>
      </c>
      <c r="AH12" s="112">
        <f>VLOOKUP($C$10,Servant!$B$5:$AD$29,24,FALSE)+($F12+($F12*0.5*($D12-1)))*(AH$3-1)</f>
        <v>14441</v>
      </c>
      <c r="AI12" s="112">
        <f>VLOOKUP($C$10,Servant!$B$5:$AD$29,24,FALSE)+($F12+($F12*0.5*($D12-1)))*(AI$3-1)</f>
        <v>14983</v>
      </c>
      <c r="AJ12" s="112">
        <f>VLOOKUP($C$10,Servant!$B$5:$AD$29,24,FALSE)+($F12+($F12*0.5*($D12-1)))*(AJ$3-1)</f>
        <v>15525</v>
      </c>
      <c r="AK12" s="112">
        <f>VLOOKUP($C$10,Servant!$B$5:$AD$29,24,FALSE)+($F12+($F12*0.5*($D12-1)))*(AK$3-1)</f>
        <v>16067</v>
      </c>
    </row>
    <row r="13" spans="2:37" x14ac:dyDescent="0.3">
      <c r="B13" s="309"/>
      <c r="C13" s="313" t="s">
        <v>299</v>
      </c>
      <c r="D13" s="131">
        <v>1</v>
      </c>
      <c r="E13" s="132">
        <f>VLOOKUP($C$13,ServantLevelUPdStatus!$B$5:$AD$29,12,FALSE)+(VLOOKUP($C$13,ServantLevelUPdStatus!$B$5:$AD$29,12,FALSE)*0.5*(Simulator_DfsPow!$D13-1))</f>
        <v>212</v>
      </c>
      <c r="F13" s="132">
        <f>VLOOKUP($C$13,ServantLevelUPdStatus!$B$5:$AD$29,12,FALSE)</f>
        <v>212</v>
      </c>
      <c r="H13" s="133">
        <f>VLOOKUP($C$13,Servant!$B$5:$AD$29,24,FALSE)+($F13+($F13*0.5*($D13-1)))*(H$3-1)</f>
        <v>280</v>
      </c>
      <c r="I13" s="133">
        <f>VLOOKUP($C$13,Servant!$B$5:$AD$29,24,FALSE)+($F13+($F13*0.5*($D13-1)))*(I$3-1)</f>
        <v>492</v>
      </c>
      <c r="J13" s="133">
        <f>VLOOKUP($C$13,Servant!$B$5:$AD$29,24,FALSE)+($F13+($F13*0.5*($D13-1)))*(J$3-1)</f>
        <v>704</v>
      </c>
      <c r="K13" s="133">
        <f>VLOOKUP($C$13,Servant!$B$5:$AD$29,24,FALSE)+($F13+($F13*0.5*($D13-1)))*(K$3-1)</f>
        <v>916</v>
      </c>
      <c r="L13" s="133">
        <f>VLOOKUP($C$13,Servant!$B$5:$AD$29,24,FALSE)+($F13+($F13*0.5*($D13-1)))*(L$3-1)</f>
        <v>1128</v>
      </c>
      <c r="M13" s="133">
        <f>VLOOKUP($C$13,Servant!$B$5:$AD$29,24,FALSE)+($F13+($F13*0.5*($D13-1)))*(M$3-1)</f>
        <v>1340</v>
      </c>
      <c r="N13" s="133">
        <f>VLOOKUP($C$13,Servant!$B$5:$AD$29,24,FALSE)+($F13+($F13*0.5*($D13-1)))*(N$3-1)</f>
        <v>1552</v>
      </c>
      <c r="O13" s="133">
        <f>VLOOKUP($C$13,Servant!$B$5:$AD$29,24,FALSE)+($F13+($F13*0.5*($D13-1)))*(O$3-1)</f>
        <v>1764</v>
      </c>
      <c r="P13" s="133">
        <f>VLOOKUP($C$13,Servant!$B$5:$AD$29,24,FALSE)+($F13+($F13*0.5*($D13-1)))*(P$3-1)</f>
        <v>1976</v>
      </c>
      <c r="Q13" s="133">
        <f>VLOOKUP($C$13,Servant!$B$5:$AD$29,24,FALSE)+($F13+($F13*0.5*($D13-1)))*(Q$3-1)</f>
        <v>2188</v>
      </c>
      <c r="R13" s="133">
        <f>VLOOKUP($C$13,Servant!$B$5:$AD$29,24,FALSE)+($F13+($F13*0.5*($D13-1)))*(R$3-1)</f>
        <v>2400</v>
      </c>
      <c r="S13" s="133">
        <f>VLOOKUP($C$13,Servant!$B$5:$AD$29,24,FALSE)+($F13+($F13*0.5*($D13-1)))*(S$3-1)</f>
        <v>2612</v>
      </c>
      <c r="T13" s="133">
        <f>VLOOKUP($C$13,Servant!$B$5:$AD$29,24,FALSE)+($F13+($F13*0.5*($D13-1)))*(T$3-1)</f>
        <v>2824</v>
      </c>
      <c r="U13" s="133">
        <f>VLOOKUP($C$13,Servant!$B$5:$AD$29,24,FALSE)+($F13+($F13*0.5*($D13-1)))*(U$3-1)</f>
        <v>3036</v>
      </c>
      <c r="V13" s="133">
        <f>VLOOKUP($C$13,Servant!$B$5:$AD$29,24,FALSE)+($F13+($F13*0.5*($D13-1)))*(V$3-1)</f>
        <v>3248</v>
      </c>
      <c r="W13" s="133">
        <f>VLOOKUP($C$13,Servant!$B$5:$AD$29,24,FALSE)+($F13+($F13*0.5*($D13-1)))*(W$3-1)</f>
        <v>3460</v>
      </c>
      <c r="X13" s="133">
        <f>VLOOKUP($C$13,Servant!$B$5:$AD$29,24,FALSE)+($F13+($F13*0.5*($D13-1)))*(X$3-1)</f>
        <v>3672</v>
      </c>
      <c r="Y13" s="133">
        <f>VLOOKUP($C$13,Servant!$B$5:$AD$29,24,FALSE)+($F13+($F13*0.5*($D13-1)))*(Y$3-1)</f>
        <v>3884</v>
      </c>
      <c r="Z13" s="133">
        <f>VLOOKUP($C$13,Servant!$B$5:$AD$29,24,FALSE)+($F13+($F13*0.5*($D13-1)))*(Z$3-1)</f>
        <v>4096</v>
      </c>
      <c r="AA13" s="133">
        <f>VLOOKUP($C$13,Servant!$B$5:$AD$29,24,FALSE)+($F13+($F13*0.5*($D13-1)))*(AA$3-1)</f>
        <v>4308</v>
      </c>
      <c r="AB13" s="133">
        <f>VLOOKUP($C$13,Servant!$B$5:$AD$29,24,FALSE)+($F13+($F13*0.5*($D13-1)))*(AB$3-1)</f>
        <v>4520</v>
      </c>
      <c r="AC13" s="133">
        <f>VLOOKUP($C$13,Servant!$B$5:$AD$29,24,FALSE)+($F13+($F13*0.5*($D13-1)))*(AC$3-1)</f>
        <v>4732</v>
      </c>
      <c r="AD13" s="133">
        <f>VLOOKUP($C$13,Servant!$B$5:$AD$29,24,FALSE)+($F13+($F13*0.5*($D13-1)))*(AD$3-1)</f>
        <v>4944</v>
      </c>
      <c r="AE13" s="133">
        <f>VLOOKUP($C$13,Servant!$B$5:$AD$29,24,FALSE)+($F13+($F13*0.5*($D13-1)))*(AE$3-1)</f>
        <v>5156</v>
      </c>
      <c r="AF13" s="133">
        <f>VLOOKUP($C$13,Servant!$B$5:$AD$29,24,FALSE)+($F13+($F13*0.5*($D13-1)))*(AF$3-1)</f>
        <v>5368</v>
      </c>
      <c r="AG13" s="133">
        <f>VLOOKUP($C$13,Servant!$B$5:$AD$29,24,FALSE)+($F13+($F13*0.5*($D13-1)))*(AG$3-1)</f>
        <v>5580</v>
      </c>
      <c r="AH13" s="133">
        <f>VLOOKUP($C$13,Servant!$B$5:$AD$29,24,FALSE)+($F13+($F13*0.5*($D13-1)))*(AH$3-1)</f>
        <v>5792</v>
      </c>
      <c r="AI13" s="133">
        <f>VLOOKUP($C$13,Servant!$B$5:$AD$29,24,FALSE)+($F13+($F13*0.5*($D13-1)))*(AI$3-1)</f>
        <v>6004</v>
      </c>
      <c r="AJ13" s="133">
        <f>VLOOKUP($C$13,Servant!$B$5:$AD$29,24,FALSE)+($F13+($F13*0.5*($D13-1)))*(AJ$3-1)</f>
        <v>6216</v>
      </c>
      <c r="AK13" s="133">
        <f>VLOOKUP($C$13,Servant!$B$5:$AD$29,24,FALSE)+($F13+($F13*0.5*($D13-1)))*(AK$3-1)</f>
        <v>6428</v>
      </c>
    </row>
    <row r="14" spans="2:37" x14ac:dyDescent="0.3">
      <c r="B14" s="309"/>
      <c r="C14" s="314"/>
      <c r="D14" s="134">
        <v>2</v>
      </c>
      <c r="E14" s="132">
        <f>VLOOKUP($C$13,ServantLevelUPdStatus!$B$5:$AD$29,12,FALSE)+(VLOOKUP($C$13,ServantLevelUPdStatus!$B$5:$AD$29,12,FALSE)*0.5*(Simulator_DfsPow!$D14-1))</f>
        <v>318</v>
      </c>
      <c r="F14" s="135">
        <f>F13</f>
        <v>212</v>
      </c>
      <c r="H14" s="133">
        <f>VLOOKUP($C$13,Servant!$B$5:$AD$29,24,FALSE)+($F14+($F14*0.5*($D14-1)))*(H$3-1)</f>
        <v>280</v>
      </c>
      <c r="I14" s="133">
        <f>VLOOKUP($C$13,Servant!$B$5:$AD$29,24,FALSE)+($F14+($F14*0.5*($D14-1)))*(I$3-1)</f>
        <v>598</v>
      </c>
      <c r="J14" s="133">
        <f>VLOOKUP($C$13,Servant!$B$5:$AD$29,24,FALSE)+($F14+($F14*0.5*($D14-1)))*(J$3-1)</f>
        <v>916</v>
      </c>
      <c r="K14" s="133">
        <f>VLOOKUP($C$13,Servant!$B$5:$AD$29,24,FALSE)+($F14+($F14*0.5*($D14-1)))*(K$3-1)</f>
        <v>1234</v>
      </c>
      <c r="L14" s="133">
        <f>VLOOKUP($C$13,Servant!$B$5:$AD$29,24,FALSE)+($F14+($F14*0.5*($D14-1)))*(L$3-1)</f>
        <v>1552</v>
      </c>
      <c r="M14" s="133">
        <f>VLOOKUP($C$13,Servant!$B$5:$AD$29,24,FALSE)+($F14+($F14*0.5*($D14-1)))*(M$3-1)</f>
        <v>1870</v>
      </c>
      <c r="N14" s="133">
        <f>VLOOKUP($C$13,Servant!$B$5:$AD$29,24,FALSE)+($F14+($F14*0.5*($D14-1)))*(N$3-1)</f>
        <v>2188</v>
      </c>
      <c r="O14" s="133">
        <f>VLOOKUP($C$13,Servant!$B$5:$AD$29,24,FALSE)+($F14+($F14*0.5*($D14-1)))*(O$3-1)</f>
        <v>2506</v>
      </c>
      <c r="P14" s="133">
        <f>VLOOKUP($C$13,Servant!$B$5:$AD$29,24,FALSE)+($F14+($F14*0.5*($D14-1)))*(P$3-1)</f>
        <v>2824</v>
      </c>
      <c r="Q14" s="133">
        <f>VLOOKUP($C$13,Servant!$B$5:$AD$29,24,FALSE)+($F14+($F14*0.5*($D14-1)))*(Q$3-1)</f>
        <v>3142</v>
      </c>
      <c r="R14" s="133">
        <f>VLOOKUP($C$13,Servant!$B$5:$AD$29,24,FALSE)+($F14+($F14*0.5*($D14-1)))*(R$3-1)</f>
        <v>3460</v>
      </c>
      <c r="S14" s="133">
        <f>VLOOKUP($C$13,Servant!$B$5:$AD$29,24,FALSE)+($F14+($F14*0.5*($D14-1)))*(S$3-1)</f>
        <v>3778</v>
      </c>
      <c r="T14" s="133">
        <f>VLOOKUP($C$13,Servant!$B$5:$AD$29,24,FALSE)+($F14+($F14*0.5*($D14-1)))*(T$3-1)</f>
        <v>4096</v>
      </c>
      <c r="U14" s="133">
        <f>VLOOKUP($C$13,Servant!$B$5:$AD$29,24,FALSE)+($F14+($F14*0.5*($D14-1)))*(U$3-1)</f>
        <v>4414</v>
      </c>
      <c r="V14" s="133">
        <f>VLOOKUP($C$13,Servant!$B$5:$AD$29,24,FALSE)+($F14+($F14*0.5*($D14-1)))*(V$3-1)</f>
        <v>4732</v>
      </c>
      <c r="W14" s="133">
        <f>VLOOKUP($C$13,Servant!$B$5:$AD$29,24,FALSE)+($F14+($F14*0.5*($D14-1)))*(W$3-1)</f>
        <v>5050</v>
      </c>
      <c r="X14" s="133">
        <f>VLOOKUP($C$13,Servant!$B$5:$AD$29,24,FALSE)+($F14+($F14*0.5*($D14-1)))*(X$3-1)</f>
        <v>5368</v>
      </c>
      <c r="Y14" s="133">
        <f>VLOOKUP($C$13,Servant!$B$5:$AD$29,24,FALSE)+($F14+($F14*0.5*($D14-1)))*(Y$3-1)</f>
        <v>5686</v>
      </c>
      <c r="Z14" s="133">
        <f>VLOOKUP($C$13,Servant!$B$5:$AD$29,24,FALSE)+($F14+($F14*0.5*($D14-1)))*(Z$3-1)</f>
        <v>6004</v>
      </c>
      <c r="AA14" s="133">
        <f>VLOOKUP($C$13,Servant!$B$5:$AD$29,24,FALSE)+($F14+($F14*0.5*($D14-1)))*(AA$3-1)</f>
        <v>6322</v>
      </c>
      <c r="AB14" s="133">
        <f>VLOOKUP($C$13,Servant!$B$5:$AD$29,24,FALSE)+($F14+($F14*0.5*($D14-1)))*(AB$3-1)</f>
        <v>6640</v>
      </c>
      <c r="AC14" s="133">
        <f>VLOOKUP($C$13,Servant!$B$5:$AD$29,24,FALSE)+($F14+($F14*0.5*($D14-1)))*(AC$3-1)</f>
        <v>6958</v>
      </c>
      <c r="AD14" s="133">
        <f>VLOOKUP($C$13,Servant!$B$5:$AD$29,24,FALSE)+($F14+($F14*0.5*($D14-1)))*(AD$3-1)</f>
        <v>7276</v>
      </c>
      <c r="AE14" s="133">
        <f>VLOOKUP($C$13,Servant!$B$5:$AD$29,24,FALSE)+($F14+($F14*0.5*($D14-1)))*(AE$3-1)</f>
        <v>7594</v>
      </c>
      <c r="AF14" s="133">
        <f>VLOOKUP($C$13,Servant!$B$5:$AD$29,24,FALSE)+($F14+($F14*0.5*($D14-1)))*(AF$3-1)</f>
        <v>7912</v>
      </c>
      <c r="AG14" s="133">
        <f>VLOOKUP($C$13,Servant!$B$5:$AD$29,24,FALSE)+($F14+($F14*0.5*($D14-1)))*(AG$3-1)</f>
        <v>8230</v>
      </c>
      <c r="AH14" s="133">
        <f>VLOOKUP($C$13,Servant!$B$5:$AD$29,24,FALSE)+($F14+($F14*0.5*($D14-1)))*(AH$3-1)</f>
        <v>8548</v>
      </c>
      <c r="AI14" s="133">
        <f>VLOOKUP($C$13,Servant!$B$5:$AD$29,24,FALSE)+($F14+($F14*0.5*($D14-1)))*(AI$3-1)</f>
        <v>8866</v>
      </c>
      <c r="AJ14" s="133">
        <f>VLOOKUP($C$13,Servant!$B$5:$AD$29,24,FALSE)+($F14+($F14*0.5*($D14-1)))*(AJ$3-1)</f>
        <v>9184</v>
      </c>
      <c r="AK14" s="133">
        <f>VLOOKUP($C$13,Servant!$B$5:$AD$29,24,FALSE)+($F14+($F14*0.5*($D14-1)))*(AK$3-1)</f>
        <v>9502</v>
      </c>
    </row>
    <row r="15" spans="2:37" x14ac:dyDescent="0.3">
      <c r="B15" s="309"/>
      <c r="C15" s="314"/>
      <c r="D15" s="134">
        <v>3</v>
      </c>
      <c r="E15" s="132">
        <f>VLOOKUP($C$13,ServantLevelUPdStatus!$B$5:$AD$29,12,FALSE)+(VLOOKUP($C$13,ServantLevelUPdStatus!$B$5:$AD$29,12,FALSE)*0.5*(Simulator_DfsPow!$D15-1))</f>
        <v>424</v>
      </c>
      <c r="F15" s="135">
        <f>F14</f>
        <v>212</v>
      </c>
      <c r="H15" s="133">
        <f>VLOOKUP($C$13,Servant!$B$5:$AD$29,24,FALSE)+($F15+($F15*0.5*($D15-1)))*(H$3-1)</f>
        <v>280</v>
      </c>
      <c r="I15" s="133">
        <f>VLOOKUP($C$13,Servant!$B$5:$AD$29,24,FALSE)+($F15+($F15*0.5*($D15-1)))*(I$3-1)</f>
        <v>704</v>
      </c>
      <c r="J15" s="133">
        <f>VLOOKUP($C$13,Servant!$B$5:$AD$29,24,FALSE)+($F15+($F15*0.5*($D15-1)))*(J$3-1)</f>
        <v>1128</v>
      </c>
      <c r="K15" s="133">
        <f>VLOOKUP($C$13,Servant!$B$5:$AD$29,24,FALSE)+($F15+($F15*0.5*($D15-1)))*(K$3-1)</f>
        <v>1552</v>
      </c>
      <c r="L15" s="133">
        <f>VLOOKUP($C$13,Servant!$B$5:$AD$29,24,FALSE)+($F15+($F15*0.5*($D15-1)))*(L$3-1)</f>
        <v>1976</v>
      </c>
      <c r="M15" s="133">
        <f>VLOOKUP($C$13,Servant!$B$5:$AD$29,24,FALSE)+($F15+($F15*0.5*($D15-1)))*(M$3-1)</f>
        <v>2400</v>
      </c>
      <c r="N15" s="133">
        <f>VLOOKUP($C$13,Servant!$B$5:$AD$29,24,FALSE)+($F15+($F15*0.5*($D15-1)))*(N$3-1)</f>
        <v>2824</v>
      </c>
      <c r="O15" s="133">
        <f>VLOOKUP($C$13,Servant!$B$5:$AD$29,24,FALSE)+($F15+($F15*0.5*($D15-1)))*(O$3-1)</f>
        <v>3248</v>
      </c>
      <c r="P15" s="133">
        <f>VLOOKUP($C$13,Servant!$B$5:$AD$29,24,FALSE)+($F15+($F15*0.5*($D15-1)))*(P$3-1)</f>
        <v>3672</v>
      </c>
      <c r="Q15" s="133">
        <f>VLOOKUP($C$13,Servant!$B$5:$AD$29,24,FALSE)+($F15+($F15*0.5*($D15-1)))*(Q$3-1)</f>
        <v>4096</v>
      </c>
      <c r="R15" s="133">
        <f>VLOOKUP($C$13,Servant!$B$5:$AD$29,24,FALSE)+($F15+($F15*0.5*($D15-1)))*(R$3-1)</f>
        <v>4520</v>
      </c>
      <c r="S15" s="133">
        <f>VLOOKUP($C$13,Servant!$B$5:$AD$29,24,FALSE)+($F15+($F15*0.5*($D15-1)))*(S$3-1)</f>
        <v>4944</v>
      </c>
      <c r="T15" s="133">
        <f>VLOOKUP($C$13,Servant!$B$5:$AD$29,24,FALSE)+($F15+($F15*0.5*($D15-1)))*(T$3-1)</f>
        <v>5368</v>
      </c>
      <c r="U15" s="133">
        <f>VLOOKUP($C$13,Servant!$B$5:$AD$29,24,FALSE)+($F15+($F15*0.5*($D15-1)))*(U$3-1)</f>
        <v>5792</v>
      </c>
      <c r="V15" s="133">
        <f>VLOOKUP($C$13,Servant!$B$5:$AD$29,24,FALSE)+($F15+($F15*0.5*($D15-1)))*(V$3-1)</f>
        <v>6216</v>
      </c>
      <c r="W15" s="133">
        <f>VLOOKUP($C$13,Servant!$B$5:$AD$29,24,FALSE)+($F15+($F15*0.5*($D15-1)))*(W$3-1)</f>
        <v>6640</v>
      </c>
      <c r="X15" s="133">
        <f>VLOOKUP($C$13,Servant!$B$5:$AD$29,24,FALSE)+($F15+($F15*0.5*($D15-1)))*(X$3-1)</f>
        <v>7064</v>
      </c>
      <c r="Y15" s="133">
        <f>VLOOKUP($C$13,Servant!$B$5:$AD$29,24,FALSE)+($F15+($F15*0.5*($D15-1)))*(Y$3-1)</f>
        <v>7488</v>
      </c>
      <c r="Z15" s="133">
        <f>VLOOKUP($C$13,Servant!$B$5:$AD$29,24,FALSE)+($F15+($F15*0.5*($D15-1)))*(Z$3-1)</f>
        <v>7912</v>
      </c>
      <c r="AA15" s="133">
        <f>VLOOKUP($C$13,Servant!$B$5:$AD$29,24,FALSE)+($F15+($F15*0.5*($D15-1)))*(AA$3-1)</f>
        <v>8336</v>
      </c>
      <c r="AB15" s="133">
        <f>VLOOKUP($C$13,Servant!$B$5:$AD$29,24,FALSE)+($F15+($F15*0.5*($D15-1)))*(AB$3-1)</f>
        <v>8760</v>
      </c>
      <c r="AC15" s="133">
        <f>VLOOKUP($C$13,Servant!$B$5:$AD$29,24,FALSE)+($F15+($F15*0.5*($D15-1)))*(AC$3-1)</f>
        <v>9184</v>
      </c>
      <c r="AD15" s="133">
        <f>VLOOKUP($C$13,Servant!$B$5:$AD$29,24,FALSE)+($F15+($F15*0.5*($D15-1)))*(AD$3-1)</f>
        <v>9608</v>
      </c>
      <c r="AE15" s="133">
        <f>VLOOKUP($C$13,Servant!$B$5:$AD$29,24,FALSE)+($F15+($F15*0.5*($D15-1)))*(AE$3-1)</f>
        <v>10032</v>
      </c>
      <c r="AF15" s="133">
        <f>VLOOKUP($C$13,Servant!$B$5:$AD$29,24,FALSE)+($F15+($F15*0.5*($D15-1)))*(AF$3-1)</f>
        <v>10456</v>
      </c>
      <c r="AG15" s="133">
        <f>VLOOKUP($C$13,Servant!$B$5:$AD$29,24,FALSE)+($F15+($F15*0.5*($D15-1)))*(AG$3-1)</f>
        <v>10880</v>
      </c>
      <c r="AH15" s="133">
        <f>VLOOKUP($C$13,Servant!$B$5:$AD$29,24,FALSE)+($F15+($F15*0.5*($D15-1)))*(AH$3-1)</f>
        <v>11304</v>
      </c>
      <c r="AI15" s="133">
        <f>VLOOKUP($C$13,Servant!$B$5:$AD$29,24,FALSE)+($F15+($F15*0.5*($D15-1)))*(AI$3-1)</f>
        <v>11728</v>
      </c>
      <c r="AJ15" s="133">
        <f>VLOOKUP($C$13,Servant!$B$5:$AD$29,24,FALSE)+($F15+($F15*0.5*($D15-1)))*(AJ$3-1)</f>
        <v>12152</v>
      </c>
      <c r="AK15" s="133">
        <f>VLOOKUP($C$13,Servant!$B$5:$AD$29,24,FALSE)+($F15+($F15*0.5*($D15-1)))*(AK$3-1)</f>
        <v>12576</v>
      </c>
    </row>
    <row r="16" spans="2:37" x14ac:dyDescent="0.3">
      <c r="B16" s="309"/>
      <c r="C16" s="315" t="s">
        <v>280</v>
      </c>
      <c r="D16" s="125">
        <v>1</v>
      </c>
      <c r="E16" s="117">
        <f>VLOOKUP($C$16,ServantLevelUPdStatus!$B$5:$AD$29,12,FALSE)+(VLOOKUP($C$16,ServantLevelUPdStatus!$B$5:$AD$29,12,FALSE)*0.5*(Simulator_DfsPow!$D16-1))</f>
        <v>188</v>
      </c>
      <c r="F16" s="117">
        <f>VLOOKUP($C$16,ServantLevelUPdStatus!$B$5:$AD$29,12,FALSE)</f>
        <v>188</v>
      </c>
      <c r="H16" s="112">
        <f>VLOOKUP($C$16,Servant!$B$5:$AD$29,24,FALSE)+($F16+($F16*0.5*($D16-1)))*(H$3-1)</f>
        <v>249</v>
      </c>
      <c r="I16" s="112">
        <f>VLOOKUP($C$16,Servant!$B$5:$AD$29,24,FALSE)+($F16+($F16*0.5*($D16-1)))*(I$3-1)</f>
        <v>437</v>
      </c>
      <c r="J16" s="112">
        <f>VLOOKUP($C$16,Servant!$B$5:$AD$29,24,FALSE)+($F16+($F16*0.5*($D16-1)))*(J$3-1)</f>
        <v>625</v>
      </c>
      <c r="K16" s="112">
        <f>VLOOKUP($C$16,Servant!$B$5:$AD$29,24,FALSE)+($F16+($F16*0.5*($D16-1)))*(K$3-1)</f>
        <v>813</v>
      </c>
      <c r="L16" s="112">
        <f>VLOOKUP($C$16,Servant!$B$5:$AD$29,24,FALSE)+($F16+($F16*0.5*($D16-1)))*(L$3-1)</f>
        <v>1001</v>
      </c>
      <c r="M16" s="112">
        <f>VLOOKUP($C$16,Servant!$B$5:$AD$29,24,FALSE)+($F16+($F16*0.5*($D16-1)))*(M$3-1)</f>
        <v>1189</v>
      </c>
      <c r="N16" s="112">
        <f>VLOOKUP($C$16,Servant!$B$5:$AD$29,24,FALSE)+($F16+($F16*0.5*($D16-1)))*(N$3-1)</f>
        <v>1377</v>
      </c>
      <c r="O16" s="112">
        <f>VLOOKUP($C$16,Servant!$B$5:$AD$29,24,FALSE)+($F16+($F16*0.5*($D16-1)))*(O$3-1)</f>
        <v>1565</v>
      </c>
      <c r="P16" s="112">
        <f>VLOOKUP($C$16,Servant!$B$5:$AD$29,24,FALSE)+($F16+($F16*0.5*($D16-1)))*(P$3-1)</f>
        <v>1753</v>
      </c>
      <c r="Q16" s="112">
        <f>VLOOKUP($C$16,Servant!$B$5:$AD$29,24,FALSE)+($F16+($F16*0.5*($D16-1)))*(Q$3-1)</f>
        <v>1941</v>
      </c>
      <c r="R16" s="112">
        <f>VLOOKUP($C$16,Servant!$B$5:$AD$29,24,FALSE)+($F16+($F16*0.5*($D16-1)))*(R$3-1)</f>
        <v>2129</v>
      </c>
      <c r="S16" s="112">
        <f>VLOOKUP($C$16,Servant!$B$5:$AD$29,24,FALSE)+($F16+($F16*0.5*($D16-1)))*(S$3-1)</f>
        <v>2317</v>
      </c>
      <c r="T16" s="112">
        <f>VLOOKUP($C$16,Servant!$B$5:$AD$29,24,FALSE)+($F16+($F16*0.5*($D16-1)))*(T$3-1)</f>
        <v>2505</v>
      </c>
      <c r="U16" s="112">
        <f>VLOOKUP($C$16,Servant!$B$5:$AD$29,24,FALSE)+($F16+($F16*0.5*($D16-1)))*(U$3-1)</f>
        <v>2693</v>
      </c>
      <c r="V16" s="112">
        <f>VLOOKUP($C$16,Servant!$B$5:$AD$29,24,FALSE)+($F16+($F16*0.5*($D16-1)))*(V$3-1)</f>
        <v>2881</v>
      </c>
      <c r="W16" s="112">
        <f>VLOOKUP($C$16,Servant!$B$5:$AD$29,24,FALSE)+($F16+($F16*0.5*($D16-1)))*(W$3-1)</f>
        <v>3069</v>
      </c>
      <c r="X16" s="112">
        <f>VLOOKUP($C$16,Servant!$B$5:$AD$29,24,FALSE)+($F16+($F16*0.5*($D16-1)))*(X$3-1)</f>
        <v>3257</v>
      </c>
      <c r="Y16" s="112">
        <f>VLOOKUP($C$16,Servant!$B$5:$AD$29,24,FALSE)+($F16+($F16*0.5*($D16-1)))*(Y$3-1)</f>
        <v>3445</v>
      </c>
      <c r="Z16" s="112">
        <f>VLOOKUP($C$16,Servant!$B$5:$AD$29,24,FALSE)+($F16+($F16*0.5*($D16-1)))*(Z$3-1)</f>
        <v>3633</v>
      </c>
      <c r="AA16" s="112">
        <f>VLOOKUP($C$16,Servant!$B$5:$AD$29,24,FALSE)+($F16+($F16*0.5*($D16-1)))*(AA$3-1)</f>
        <v>3821</v>
      </c>
      <c r="AB16" s="112">
        <f>VLOOKUP($C$16,Servant!$B$5:$AD$29,24,FALSE)+($F16+($F16*0.5*($D16-1)))*(AB$3-1)</f>
        <v>4009</v>
      </c>
      <c r="AC16" s="112">
        <f>VLOOKUP($C$16,Servant!$B$5:$AD$29,24,FALSE)+($F16+($F16*0.5*($D16-1)))*(AC$3-1)</f>
        <v>4197</v>
      </c>
      <c r="AD16" s="112">
        <f>VLOOKUP($C$16,Servant!$B$5:$AD$29,24,FALSE)+($F16+($F16*0.5*($D16-1)))*(AD$3-1)</f>
        <v>4385</v>
      </c>
      <c r="AE16" s="112">
        <f>VLOOKUP($C$16,Servant!$B$5:$AD$29,24,FALSE)+($F16+($F16*0.5*($D16-1)))*(AE$3-1)</f>
        <v>4573</v>
      </c>
      <c r="AF16" s="112">
        <f>VLOOKUP($C$16,Servant!$B$5:$AD$29,24,FALSE)+($F16+($F16*0.5*($D16-1)))*(AF$3-1)</f>
        <v>4761</v>
      </c>
      <c r="AG16" s="112">
        <f>VLOOKUP($C$16,Servant!$B$5:$AD$29,24,FALSE)+($F16+($F16*0.5*($D16-1)))*(AG$3-1)</f>
        <v>4949</v>
      </c>
      <c r="AH16" s="112">
        <f>VLOOKUP($C$16,Servant!$B$5:$AD$29,24,FALSE)+($F16+($F16*0.5*($D16-1)))*(AH$3-1)</f>
        <v>5137</v>
      </c>
      <c r="AI16" s="112">
        <f>VLOOKUP($C$16,Servant!$B$5:$AD$29,24,FALSE)+($F16+($F16*0.5*($D16-1)))*(AI$3-1)</f>
        <v>5325</v>
      </c>
      <c r="AJ16" s="112">
        <f>VLOOKUP($C$16,Servant!$B$5:$AD$29,24,FALSE)+($F16+($F16*0.5*($D16-1)))*(AJ$3-1)</f>
        <v>5513</v>
      </c>
      <c r="AK16" s="112">
        <f>VLOOKUP($C$16,Servant!$B$5:$AD$29,24,FALSE)+($F16+($F16*0.5*($D16-1)))*(AK$3-1)</f>
        <v>5701</v>
      </c>
    </row>
    <row r="17" spans="2:37" x14ac:dyDescent="0.3">
      <c r="B17" s="309"/>
      <c r="C17" s="316"/>
      <c r="D17" s="126">
        <v>2</v>
      </c>
      <c r="E17" s="117">
        <f>VLOOKUP($C$16,ServantLevelUPdStatus!$B$5:$AD$29,12,FALSE)+(VLOOKUP($C$16,ServantLevelUPdStatus!$B$5:$AD$29,12,FALSE)*0.5*(Simulator_DfsPow!$D17-1))</f>
        <v>282</v>
      </c>
      <c r="F17" s="118">
        <f>F16</f>
        <v>188</v>
      </c>
      <c r="H17" s="112">
        <f>VLOOKUP($C$16,Servant!$B$5:$AD$29,24,FALSE)+($F17+($F17*0.5*($D17-1)))*(H$3-1)</f>
        <v>249</v>
      </c>
      <c r="I17" s="112">
        <f>VLOOKUP($C$16,Servant!$B$5:$AD$29,24,FALSE)+($F17+($F17*0.5*($D17-1)))*(I$3-1)</f>
        <v>531</v>
      </c>
      <c r="J17" s="112">
        <f>VLOOKUP($C$16,Servant!$B$5:$AD$29,24,FALSE)+($F17+($F17*0.5*($D17-1)))*(J$3-1)</f>
        <v>813</v>
      </c>
      <c r="K17" s="112">
        <f>VLOOKUP($C$16,Servant!$B$5:$AD$29,24,FALSE)+($F17+($F17*0.5*($D17-1)))*(K$3-1)</f>
        <v>1095</v>
      </c>
      <c r="L17" s="112">
        <f>VLOOKUP($C$16,Servant!$B$5:$AD$29,24,FALSE)+($F17+($F17*0.5*($D17-1)))*(L$3-1)</f>
        <v>1377</v>
      </c>
      <c r="M17" s="112">
        <f>VLOOKUP($C$16,Servant!$B$5:$AD$29,24,FALSE)+($F17+($F17*0.5*($D17-1)))*(M$3-1)</f>
        <v>1659</v>
      </c>
      <c r="N17" s="112">
        <f>VLOOKUP($C$16,Servant!$B$5:$AD$29,24,FALSE)+($F17+($F17*0.5*($D17-1)))*(N$3-1)</f>
        <v>1941</v>
      </c>
      <c r="O17" s="112">
        <f>VLOOKUP($C$16,Servant!$B$5:$AD$29,24,FALSE)+($F17+($F17*0.5*($D17-1)))*(O$3-1)</f>
        <v>2223</v>
      </c>
      <c r="P17" s="112">
        <f>VLOOKUP($C$16,Servant!$B$5:$AD$29,24,FALSE)+($F17+($F17*0.5*($D17-1)))*(P$3-1)</f>
        <v>2505</v>
      </c>
      <c r="Q17" s="112">
        <f>VLOOKUP($C$16,Servant!$B$5:$AD$29,24,FALSE)+($F17+($F17*0.5*($D17-1)))*(Q$3-1)</f>
        <v>2787</v>
      </c>
      <c r="R17" s="112">
        <f>VLOOKUP($C$16,Servant!$B$5:$AD$29,24,FALSE)+($F17+($F17*0.5*($D17-1)))*(R$3-1)</f>
        <v>3069</v>
      </c>
      <c r="S17" s="112">
        <f>VLOOKUP($C$16,Servant!$B$5:$AD$29,24,FALSE)+($F17+($F17*0.5*($D17-1)))*(S$3-1)</f>
        <v>3351</v>
      </c>
      <c r="T17" s="112">
        <f>VLOOKUP($C$16,Servant!$B$5:$AD$29,24,FALSE)+($F17+($F17*0.5*($D17-1)))*(T$3-1)</f>
        <v>3633</v>
      </c>
      <c r="U17" s="112">
        <f>VLOOKUP($C$16,Servant!$B$5:$AD$29,24,FALSE)+($F17+($F17*0.5*($D17-1)))*(U$3-1)</f>
        <v>3915</v>
      </c>
      <c r="V17" s="112">
        <f>VLOOKUP($C$16,Servant!$B$5:$AD$29,24,FALSE)+($F17+($F17*0.5*($D17-1)))*(V$3-1)</f>
        <v>4197</v>
      </c>
      <c r="W17" s="112">
        <f>VLOOKUP($C$16,Servant!$B$5:$AD$29,24,FALSE)+($F17+($F17*0.5*($D17-1)))*(W$3-1)</f>
        <v>4479</v>
      </c>
      <c r="X17" s="112">
        <f>VLOOKUP($C$16,Servant!$B$5:$AD$29,24,FALSE)+($F17+($F17*0.5*($D17-1)))*(X$3-1)</f>
        <v>4761</v>
      </c>
      <c r="Y17" s="112">
        <f>VLOOKUP($C$16,Servant!$B$5:$AD$29,24,FALSE)+($F17+($F17*0.5*($D17-1)))*(Y$3-1)</f>
        <v>5043</v>
      </c>
      <c r="Z17" s="112">
        <f>VLOOKUP($C$16,Servant!$B$5:$AD$29,24,FALSE)+($F17+($F17*0.5*($D17-1)))*(Z$3-1)</f>
        <v>5325</v>
      </c>
      <c r="AA17" s="112">
        <f>VLOOKUP($C$16,Servant!$B$5:$AD$29,24,FALSE)+($F17+($F17*0.5*($D17-1)))*(AA$3-1)</f>
        <v>5607</v>
      </c>
      <c r="AB17" s="112">
        <f>VLOOKUP($C$16,Servant!$B$5:$AD$29,24,FALSE)+($F17+($F17*0.5*($D17-1)))*(AB$3-1)</f>
        <v>5889</v>
      </c>
      <c r="AC17" s="112">
        <f>VLOOKUP($C$16,Servant!$B$5:$AD$29,24,FALSE)+($F17+($F17*0.5*($D17-1)))*(AC$3-1)</f>
        <v>6171</v>
      </c>
      <c r="AD17" s="112">
        <f>VLOOKUP($C$16,Servant!$B$5:$AD$29,24,FALSE)+($F17+($F17*0.5*($D17-1)))*(AD$3-1)</f>
        <v>6453</v>
      </c>
      <c r="AE17" s="112">
        <f>VLOOKUP($C$16,Servant!$B$5:$AD$29,24,FALSE)+($F17+($F17*0.5*($D17-1)))*(AE$3-1)</f>
        <v>6735</v>
      </c>
      <c r="AF17" s="112">
        <f>VLOOKUP($C$16,Servant!$B$5:$AD$29,24,FALSE)+($F17+($F17*0.5*($D17-1)))*(AF$3-1)</f>
        <v>7017</v>
      </c>
      <c r="AG17" s="112">
        <f>VLOOKUP($C$16,Servant!$B$5:$AD$29,24,FALSE)+($F17+($F17*0.5*($D17-1)))*(AG$3-1)</f>
        <v>7299</v>
      </c>
      <c r="AH17" s="112">
        <f>VLOOKUP($C$16,Servant!$B$5:$AD$29,24,FALSE)+($F17+($F17*0.5*($D17-1)))*(AH$3-1)</f>
        <v>7581</v>
      </c>
      <c r="AI17" s="112">
        <f>VLOOKUP($C$16,Servant!$B$5:$AD$29,24,FALSE)+($F17+($F17*0.5*($D17-1)))*(AI$3-1)</f>
        <v>7863</v>
      </c>
      <c r="AJ17" s="112">
        <f>VLOOKUP($C$16,Servant!$B$5:$AD$29,24,FALSE)+($F17+($F17*0.5*($D17-1)))*(AJ$3-1)</f>
        <v>8145</v>
      </c>
      <c r="AK17" s="112">
        <f>VLOOKUP($C$16,Servant!$B$5:$AD$29,24,FALSE)+($F17+($F17*0.5*($D17-1)))*(AK$3-1)</f>
        <v>8427</v>
      </c>
    </row>
    <row r="18" spans="2:37" x14ac:dyDescent="0.3">
      <c r="B18" s="309"/>
      <c r="C18" s="316"/>
      <c r="D18" s="126">
        <v>3</v>
      </c>
      <c r="E18" s="117">
        <f>VLOOKUP($C$16,ServantLevelUPdStatus!$B$5:$AD$29,12,FALSE)+(VLOOKUP($C$16,ServantLevelUPdStatus!$B$5:$AD$29,12,FALSE)*0.5*(Simulator_DfsPow!$D18-1))</f>
        <v>376</v>
      </c>
      <c r="F18" s="118">
        <f>F17</f>
        <v>188</v>
      </c>
      <c r="H18" s="112">
        <f>VLOOKUP($C$16,Servant!$B$5:$AD$29,24,FALSE)+($F18+($F18*0.5*($D18-1)))*(H$3-1)</f>
        <v>249</v>
      </c>
      <c r="I18" s="112">
        <f>VLOOKUP($C$16,Servant!$B$5:$AD$29,24,FALSE)+($F18+($F18*0.5*($D18-1)))*(I$3-1)</f>
        <v>625</v>
      </c>
      <c r="J18" s="112">
        <f>VLOOKUP($C$16,Servant!$B$5:$AD$29,24,FALSE)+($F18+($F18*0.5*($D18-1)))*(J$3-1)</f>
        <v>1001</v>
      </c>
      <c r="K18" s="112">
        <f>VLOOKUP($C$16,Servant!$B$5:$AD$29,24,FALSE)+($F18+($F18*0.5*($D18-1)))*(K$3-1)</f>
        <v>1377</v>
      </c>
      <c r="L18" s="112">
        <f>VLOOKUP($C$16,Servant!$B$5:$AD$29,24,FALSE)+($F18+($F18*0.5*($D18-1)))*(L$3-1)</f>
        <v>1753</v>
      </c>
      <c r="M18" s="112">
        <f>VLOOKUP($C$16,Servant!$B$5:$AD$29,24,FALSE)+($F18+($F18*0.5*($D18-1)))*(M$3-1)</f>
        <v>2129</v>
      </c>
      <c r="N18" s="112">
        <f>VLOOKUP($C$16,Servant!$B$5:$AD$29,24,FALSE)+($F18+($F18*0.5*($D18-1)))*(N$3-1)</f>
        <v>2505</v>
      </c>
      <c r="O18" s="112">
        <f>VLOOKUP($C$16,Servant!$B$5:$AD$29,24,FALSE)+($F18+($F18*0.5*($D18-1)))*(O$3-1)</f>
        <v>2881</v>
      </c>
      <c r="P18" s="112">
        <f>VLOOKUP($C$16,Servant!$B$5:$AD$29,24,FALSE)+($F18+($F18*0.5*($D18-1)))*(P$3-1)</f>
        <v>3257</v>
      </c>
      <c r="Q18" s="112">
        <f>VLOOKUP($C$16,Servant!$B$5:$AD$29,24,FALSE)+($F18+($F18*0.5*($D18-1)))*(Q$3-1)</f>
        <v>3633</v>
      </c>
      <c r="R18" s="112">
        <f>VLOOKUP($C$16,Servant!$B$5:$AD$29,24,FALSE)+($F18+($F18*0.5*($D18-1)))*(R$3-1)</f>
        <v>4009</v>
      </c>
      <c r="S18" s="112">
        <f>VLOOKUP($C$16,Servant!$B$5:$AD$29,24,FALSE)+($F18+($F18*0.5*($D18-1)))*(S$3-1)</f>
        <v>4385</v>
      </c>
      <c r="T18" s="112">
        <f>VLOOKUP($C$16,Servant!$B$5:$AD$29,24,FALSE)+($F18+($F18*0.5*($D18-1)))*(T$3-1)</f>
        <v>4761</v>
      </c>
      <c r="U18" s="112">
        <f>VLOOKUP($C$16,Servant!$B$5:$AD$29,24,FALSE)+($F18+($F18*0.5*($D18-1)))*(U$3-1)</f>
        <v>5137</v>
      </c>
      <c r="V18" s="112">
        <f>VLOOKUP($C$16,Servant!$B$5:$AD$29,24,FALSE)+($F18+($F18*0.5*($D18-1)))*(V$3-1)</f>
        <v>5513</v>
      </c>
      <c r="W18" s="112">
        <f>VLOOKUP($C$16,Servant!$B$5:$AD$29,24,FALSE)+($F18+($F18*0.5*($D18-1)))*(W$3-1)</f>
        <v>5889</v>
      </c>
      <c r="X18" s="112">
        <f>VLOOKUP($C$16,Servant!$B$5:$AD$29,24,FALSE)+($F18+($F18*0.5*($D18-1)))*(X$3-1)</f>
        <v>6265</v>
      </c>
      <c r="Y18" s="112">
        <f>VLOOKUP($C$16,Servant!$B$5:$AD$29,24,FALSE)+($F18+($F18*0.5*($D18-1)))*(Y$3-1)</f>
        <v>6641</v>
      </c>
      <c r="Z18" s="112">
        <f>VLOOKUP($C$16,Servant!$B$5:$AD$29,24,FALSE)+($F18+($F18*0.5*($D18-1)))*(Z$3-1)</f>
        <v>7017</v>
      </c>
      <c r="AA18" s="112">
        <f>VLOOKUP($C$16,Servant!$B$5:$AD$29,24,FALSE)+($F18+($F18*0.5*($D18-1)))*(AA$3-1)</f>
        <v>7393</v>
      </c>
      <c r="AB18" s="112">
        <f>VLOOKUP($C$16,Servant!$B$5:$AD$29,24,FALSE)+($F18+($F18*0.5*($D18-1)))*(AB$3-1)</f>
        <v>7769</v>
      </c>
      <c r="AC18" s="112">
        <f>VLOOKUP($C$16,Servant!$B$5:$AD$29,24,FALSE)+($F18+($F18*0.5*($D18-1)))*(AC$3-1)</f>
        <v>8145</v>
      </c>
      <c r="AD18" s="112">
        <f>VLOOKUP($C$16,Servant!$B$5:$AD$29,24,FALSE)+($F18+($F18*0.5*($D18-1)))*(AD$3-1)</f>
        <v>8521</v>
      </c>
      <c r="AE18" s="112">
        <f>VLOOKUP($C$16,Servant!$B$5:$AD$29,24,FALSE)+($F18+($F18*0.5*($D18-1)))*(AE$3-1)</f>
        <v>8897</v>
      </c>
      <c r="AF18" s="112">
        <f>VLOOKUP($C$16,Servant!$B$5:$AD$29,24,FALSE)+($F18+($F18*0.5*($D18-1)))*(AF$3-1)</f>
        <v>9273</v>
      </c>
      <c r="AG18" s="112">
        <f>VLOOKUP($C$16,Servant!$B$5:$AD$29,24,FALSE)+($F18+($F18*0.5*($D18-1)))*(AG$3-1)</f>
        <v>9649</v>
      </c>
      <c r="AH18" s="112">
        <f>VLOOKUP($C$16,Servant!$B$5:$AD$29,24,FALSE)+($F18+($F18*0.5*($D18-1)))*(AH$3-1)</f>
        <v>10025</v>
      </c>
      <c r="AI18" s="112">
        <f>VLOOKUP($C$16,Servant!$B$5:$AD$29,24,FALSE)+($F18+($F18*0.5*($D18-1)))*(AI$3-1)</f>
        <v>10401</v>
      </c>
      <c r="AJ18" s="112">
        <f>VLOOKUP($C$16,Servant!$B$5:$AD$29,24,FALSE)+($F18+($F18*0.5*($D18-1)))*(AJ$3-1)</f>
        <v>10777</v>
      </c>
      <c r="AK18" s="112">
        <f>VLOOKUP($C$16,Servant!$B$5:$AD$29,24,FALSE)+($F18+($F18*0.5*($D18-1)))*(AK$3-1)</f>
        <v>11153</v>
      </c>
    </row>
    <row r="19" spans="2:37" x14ac:dyDescent="0.3">
      <c r="B19" s="309"/>
      <c r="C19" s="313" t="s">
        <v>300</v>
      </c>
      <c r="D19" s="131">
        <v>1</v>
      </c>
      <c r="E19" s="132">
        <f>VLOOKUP($C$19,ServantLevelUPdStatus!$B$5:$AD$29,12,FALSE)+(VLOOKUP($C$19,ServantLevelUPdStatus!$B$5:$AD$29,12,FALSE)*0.5*(Simulator_DfsPow!$D19-1))</f>
        <v>243</v>
      </c>
      <c r="F19" s="132">
        <f>VLOOKUP($C$19,ServantLevelUPdStatus!$B$5:$AD$29,12,FALSE)</f>
        <v>243</v>
      </c>
      <c r="H19" s="133">
        <f>VLOOKUP($C$19,Servant!$B$5:$AD$29,24,FALSE)+($F19+($F19*0.5*($D19-1)))*(H$3-1)</f>
        <v>287</v>
      </c>
      <c r="I19" s="133">
        <f>VLOOKUP($C$19,Servant!$B$5:$AD$29,24,FALSE)+($F19+($F19*0.5*($D19-1)))*(I$3-1)</f>
        <v>530</v>
      </c>
      <c r="J19" s="133">
        <f>VLOOKUP($C$19,Servant!$B$5:$AD$29,24,FALSE)+($F19+($F19*0.5*($D19-1)))*(J$3-1)</f>
        <v>773</v>
      </c>
      <c r="K19" s="133">
        <f>VLOOKUP($C$19,Servant!$B$5:$AD$29,24,FALSE)+($F19+($F19*0.5*($D19-1)))*(K$3-1)</f>
        <v>1016</v>
      </c>
      <c r="L19" s="133">
        <f>VLOOKUP($C$19,Servant!$B$5:$AD$29,24,FALSE)+($F19+($F19*0.5*($D19-1)))*(L$3-1)</f>
        <v>1259</v>
      </c>
      <c r="M19" s="133">
        <f>VLOOKUP($C$19,Servant!$B$5:$AD$29,24,FALSE)+($F19+($F19*0.5*($D19-1)))*(M$3-1)</f>
        <v>1502</v>
      </c>
      <c r="N19" s="133">
        <f>VLOOKUP($C$19,Servant!$B$5:$AD$29,24,FALSE)+($F19+($F19*0.5*($D19-1)))*(N$3-1)</f>
        <v>1745</v>
      </c>
      <c r="O19" s="133">
        <f>VLOOKUP($C$19,Servant!$B$5:$AD$29,24,FALSE)+($F19+($F19*0.5*($D19-1)))*(O$3-1)</f>
        <v>1988</v>
      </c>
      <c r="P19" s="133">
        <f>VLOOKUP($C$19,Servant!$B$5:$AD$29,24,FALSE)+($F19+($F19*0.5*($D19-1)))*(P$3-1)</f>
        <v>2231</v>
      </c>
      <c r="Q19" s="133">
        <f>VLOOKUP($C$19,Servant!$B$5:$AD$29,24,FALSE)+($F19+($F19*0.5*($D19-1)))*(Q$3-1)</f>
        <v>2474</v>
      </c>
      <c r="R19" s="133">
        <f>VLOOKUP($C$19,Servant!$B$5:$AD$29,24,FALSE)+($F19+($F19*0.5*($D19-1)))*(R$3-1)</f>
        <v>2717</v>
      </c>
      <c r="S19" s="133">
        <f>VLOOKUP($C$19,Servant!$B$5:$AD$29,24,FALSE)+($F19+($F19*0.5*($D19-1)))*(S$3-1)</f>
        <v>2960</v>
      </c>
      <c r="T19" s="133">
        <f>VLOOKUP($C$19,Servant!$B$5:$AD$29,24,FALSE)+($F19+($F19*0.5*($D19-1)))*(T$3-1)</f>
        <v>3203</v>
      </c>
      <c r="U19" s="133">
        <f>VLOOKUP($C$19,Servant!$B$5:$AD$29,24,FALSE)+($F19+($F19*0.5*($D19-1)))*(U$3-1)</f>
        <v>3446</v>
      </c>
      <c r="V19" s="133">
        <f>VLOOKUP($C$19,Servant!$B$5:$AD$29,24,FALSE)+($F19+($F19*0.5*($D19-1)))*(V$3-1)</f>
        <v>3689</v>
      </c>
      <c r="W19" s="133">
        <f>VLOOKUP($C$19,Servant!$B$5:$AD$29,24,FALSE)+($F19+($F19*0.5*($D19-1)))*(W$3-1)</f>
        <v>3932</v>
      </c>
      <c r="X19" s="133">
        <f>VLOOKUP($C$19,Servant!$B$5:$AD$29,24,FALSE)+($F19+($F19*0.5*($D19-1)))*(X$3-1)</f>
        <v>4175</v>
      </c>
      <c r="Y19" s="133">
        <f>VLOOKUP($C$19,Servant!$B$5:$AD$29,24,FALSE)+($F19+($F19*0.5*($D19-1)))*(Y$3-1)</f>
        <v>4418</v>
      </c>
      <c r="Z19" s="133">
        <f>VLOOKUP($C$19,Servant!$B$5:$AD$29,24,FALSE)+($F19+($F19*0.5*($D19-1)))*(Z$3-1)</f>
        <v>4661</v>
      </c>
      <c r="AA19" s="133">
        <f>VLOOKUP($C$19,Servant!$B$5:$AD$29,24,FALSE)+($F19+($F19*0.5*($D19-1)))*(AA$3-1)</f>
        <v>4904</v>
      </c>
      <c r="AB19" s="133">
        <f>VLOOKUP($C$19,Servant!$B$5:$AD$29,24,FALSE)+($F19+($F19*0.5*($D19-1)))*(AB$3-1)</f>
        <v>5147</v>
      </c>
      <c r="AC19" s="133">
        <f>VLOOKUP($C$19,Servant!$B$5:$AD$29,24,FALSE)+($F19+($F19*0.5*($D19-1)))*(AC$3-1)</f>
        <v>5390</v>
      </c>
      <c r="AD19" s="133">
        <f>VLOOKUP($C$19,Servant!$B$5:$AD$29,24,FALSE)+($F19+($F19*0.5*($D19-1)))*(AD$3-1)</f>
        <v>5633</v>
      </c>
      <c r="AE19" s="133">
        <f>VLOOKUP($C$19,Servant!$B$5:$AD$29,24,FALSE)+($F19+($F19*0.5*($D19-1)))*(AE$3-1)</f>
        <v>5876</v>
      </c>
      <c r="AF19" s="133">
        <f>VLOOKUP($C$19,Servant!$B$5:$AD$29,24,FALSE)+($F19+($F19*0.5*($D19-1)))*(AF$3-1)</f>
        <v>6119</v>
      </c>
      <c r="AG19" s="133">
        <f>VLOOKUP($C$19,Servant!$B$5:$AD$29,24,FALSE)+($F19+($F19*0.5*($D19-1)))*(AG$3-1)</f>
        <v>6362</v>
      </c>
      <c r="AH19" s="133">
        <f>VLOOKUP($C$19,Servant!$B$5:$AD$29,24,FALSE)+($F19+($F19*0.5*($D19-1)))*(AH$3-1)</f>
        <v>6605</v>
      </c>
      <c r="AI19" s="133">
        <f>VLOOKUP($C$19,Servant!$B$5:$AD$29,24,FALSE)+($F19+($F19*0.5*($D19-1)))*(AI$3-1)</f>
        <v>6848</v>
      </c>
      <c r="AJ19" s="133">
        <f>VLOOKUP($C$19,Servant!$B$5:$AD$29,24,FALSE)+($F19+($F19*0.5*($D19-1)))*(AJ$3-1)</f>
        <v>7091</v>
      </c>
      <c r="AK19" s="133">
        <f>VLOOKUP($C$19,Servant!$B$5:$AD$29,24,FALSE)+($F19+($F19*0.5*($D19-1)))*(AK$3-1)</f>
        <v>7334</v>
      </c>
    </row>
    <row r="20" spans="2:37" x14ac:dyDescent="0.3">
      <c r="B20" s="309"/>
      <c r="C20" s="314"/>
      <c r="D20" s="134">
        <v>2</v>
      </c>
      <c r="E20" s="132">
        <f>VLOOKUP($C$19,ServantLevelUPdStatus!$B$5:$AD$29,12,FALSE)+(VLOOKUP($C$19,ServantLevelUPdStatus!$B$5:$AD$29,12,FALSE)*0.5*(Simulator_DfsPow!$D20-1))</f>
        <v>364.5</v>
      </c>
      <c r="F20" s="135">
        <f>F19</f>
        <v>243</v>
      </c>
      <c r="H20" s="133">
        <f>VLOOKUP($C$19,Servant!$B$5:$AD$29,24,FALSE)+($F20+($F20*0.5*($D20-1)))*(H$3-1)</f>
        <v>287</v>
      </c>
      <c r="I20" s="133">
        <f>VLOOKUP($C$19,Servant!$B$5:$AD$29,24,FALSE)+($F20+($F20*0.5*($D20-1)))*(I$3-1)</f>
        <v>651.5</v>
      </c>
      <c r="J20" s="133">
        <f>VLOOKUP($C$19,Servant!$B$5:$AD$29,24,FALSE)+($F20+($F20*0.5*($D20-1)))*(J$3-1)</f>
        <v>1016</v>
      </c>
      <c r="K20" s="133">
        <f>VLOOKUP($C$19,Servant!$B$5:$AD$29,24,FALSE)+($F20+($F20*0.5*($D20-1)))*(K$3-1)</f>
        <v>1380.5</v>
      </c>
      <c r="L20" s="133">
        <f>VLOOKUP($C$19,Servant!$B$5:$AD$29,24,FALSE)+($F20+($F20*0.5*($D20-1)))*(L$3-1)</f>
        <v>1745</v>
      </c>
      <c r="M20" s="133">
        <f>VLOOKUP($C$19,Servant!$B$5:$AD$29,24,FALSE)+($F20+($F20*0.5*($D20-1)))*(M$3-1)</f>
        <v>2109.5</v>
      </c>
      <c r="N20" s="133">
        <f>VLOOKUP($C$19,Servant!$B$5:$AD$29,24,FALSE)+($F20+($F20*0.5*($D20-1)))*(N$3-1)</f>
        <v>2474</v>
      </c>
      <c r="O20" s="133">
        <f>VLOOKUP($C$19,Servant!$B$5:$AD$29,24,FALSE)+($F20+($F20*0.5*($D20-1)))*(O$3-1)</f>
        <v>2838.5</v>
      </c>
      <c r="P20" s="133">
        <f>VLOOKUP($C$19,Servant!$B$5:$AD$29,24,FALSE)+($F20+($F20*0.5*($D20-1)))*(P$3-1)</f>
        <v>3203</v>
      </c>
      <c r="Q20" s="133">
        <f>VLOOKUP($C$19,Servant!$B$5:$AD$29,24,FALSE)+($F20+($F20*0.5*($D20-1)))*(Q$3-1)</f>
        <v>3567.5</v>
      </c>
      <c r="R20" s="133">
        <f>VLOOKUP($C$19,Servant!$B$5:$AD$29,24,FALSE)+($F20+($F20*0.5*($D20-1)))*(R$3-1)</f>
        <v>3932</v>
      </c>
      <c r="S20" s="133">
        <f>VLOOKUP($C$19,Servant!$B$5:$AD$29,24,FALSE)+($F20+($F20*0.5*($D20-1)))*(S$3-1)</f>
        <v>4296.5</v>
      </c>
      <c r="T20" s="133">
        <f>VLOOKUP($C$19,Servant!$B$5:$AD$29,24,FALSE)+($F20+($F20*0.5*($D20-1)))*(T$3-1)</f>
        <v>4661</v>
      </c>
      <c r="U20" s="133">
        <f>VLOOKUP($C$19,Servant!$B$5:$AD$29,24,FALSE)+($F20+($F20*0.5*($D20-1)))*(U$3-1)</f>
        <v>5025.5</v>
      </c>
      <c r="V20" s="133">
        <f>VLOOKUP($C$19,Servant!$B$5:$AD$29,24,FALSE)+($F20+($F20*0.5*($D20-1)))*(V$3-1)</f>
        <v>5390</v>
      </c>
      <c r="W20" s="133">
        <f>VLOOKUP($C$19,Servant!$B$5:$AD$29,24,FALSE)+($F20+($F20*0.5*($D20-1)))*(W$3-1)</f>
        <v>5754.5</v>
      </c>
      <c r="X20" s="133">
        <f>VLOOKUP($C$19,Servant!$B$5:$AD$29,24,FALSE)+($F20+($F20*0.5*($D20-1)))*(X$3-1)</f>
        <v>6119</v>
      </c>
      <c r="Y20" s="133">
        <f>VLOOKUP($C$19,Servant!$B$5:$AD$29,24,FALSE)+($F20+($F20*0.5*($D20-1)))*(Y$3-1)</f>
        <v>6483.5</v>
      </c>
      <c r="Z20" s="133">
        <f>VLOOKUP($C$19,Servant!$B$5:$AD$29,24,FALSE)+($F20+($F20*0.5*($D20-1)))*(Z$3-1)</f>
        <v>6848</v>
      </c>
      <c r="AA20" s="133">
        <f>VLOOKUP($C$19,Servant!$B$5:$AD$29,24,FALSE)+($F20+($F20*0.5*($D20-1)))*(AA$3-1)</f>
        <v>7212.5</v>
      </c>
      <c r="AB20" s="133">
        <f>VLOOKUP($C$19,Servant!$B$5:$AD$29,24,FALSE)+($F20+($F20*0.5*($D20-1)))*(AB$3-1)</f>
        <v>7577</v>
      </c>
      <c r="AC20" s="133">
        <f>VLOOKUP($C$19,Servant!$B$5:$AD$29,24,FALSE)+($F20+($F20*0.5*($D20-1)))*(AC$3-1)</f>
        <v>7941.5</v>
      </c>
      <c r="AD20" s="133">
        <f>VLOOKUP($C$19,Servant!$B$5:$AD$29,24,FALSE)+($F20+($F20*0.5*($D20-1)))*(AD$3-1)</f>
        <v>8306</v>
      </c>
      <c r="AE20" s="133">
        <f>VLOOKUP($C$19,Servant!$B$5:$AD$29,24,FALSE)+($F20+($F20*0.5*($D20-1)))*(AE$3-1)</f>
        <v>8670.5</v>
      </c>
      <c r="AF20" s="133">
        <f>VLOOKUP($C$19,Servant!$B$5:$AD$29,24,FALSE)+($F20+($F20*0.5*($D20-1)))*(AF$3-1)</f>
        <v>9035</v>
      </c>
      <c r="AG20" s="133">
        <f>VLOOKUP($C$19,Servant!$B$5:$AD$29,24,FALSE)+($F20+($F20*0.5*($D20-1)))*(AG$3-1)</f>
        <v>9399.5</v>
      </c>
      <c r="AH20" s="133">
        <f>VLOOKUP($C$19,Servant!$B$5:$AD$29,24,FALSE)+($F20+($F20*0.5*($D20-1)))*(AH$3-1)</f>
        <v>9764</v>
      </c>
      <c r="AI20" s="133">
        <f>VLOOKUP($C$19,Servant!$B$5:$AD$29,24,FALSE)+($F20+($F20*0.5*($D20-1)))*(AI$3-1)</f>
        <v>10128.5</v>
      </c>
      <c r="AJ20" s="133">
        <f>VLOOKUP($C$19,Servant!$B$5:$AD$29,24,FALSE)+($F20+($F20*0.5*($D20-1)))*(AJ$3-1)</f>
        <v>10493</v>
      </c>
      <c r="AK20" s="133">
        <f>VLOOKUP($C$19,Servant!$B$5:$AD$29,24,FALSE)+($F20+($F20*0.5*($D20-1)))*(AK$3-1)</f>
        <v>10857.5</v>
      </c>
    </row>
    <row r="21" spans="2:37" x14ac:dyDescent="0.3">
      <c r="B21" s="309"/>
      <c r="C21" s="314"/>
      <c r="D21" s="134">
        <v>3</v>
      </c>
      <c r="E21" s="132">
        <f>VLOOKUP($C$19,ServantLevelUPdStatus!$B$5:$AD$29,12,FALSE)+(VLOOKUP($C$19,ServantLevelUPdStatus!$B$5:$AD$29,12,FALSE)*0.5*(Simulator_DfsPow!$D21-1))</f>
        <v>486</v>
      </c>
      <c r="F21" s="135">
        <f>F20</f>
        <v>243</v>
      </c>
      <c r="H21" s="133">
        <f>VLOOKUP($C$19,Servant!$B$5:$AD$29,24,FALSE)+($F21+($F21*0.5*($D21-1)))*(H$3-1)</f>
        <v>287</v>
      </c>
      <c r="I21" s="133">
        <f>VLOOKUP($C$19,Servant!$B$5:$AD$29,24,FALSE)+($F21+($F21*0.5*($D21-1)))*(I$3-1)</f>
        <v>773</v>
      </c>
      <c r="J21" s="133">
        <f>VLOOKUP($C$19,Servant!$B$5:$AD$29,24,FALSE)+($F21+($F21*0.5*($D21-1)))*(J$3-1)</f>
        <v>1259</v>
      </c>
      <c r="K21" s="133">
        <f>VLOOKUP($C$19,Servant!$B$5:$AD$29,24,FALSE)+($F21+($F21*0.5*($D21-1)))*(K$3-1)</f>
        <v>1745</v>
      </c>
      <c r="L21" s="133">
        <f>VLOOKUP($C$19,Servant!$B$5:$AD$29,24,FALSE)+($F21+($F21*0.5*($D21-1)))*(L$3-1)</f>
        <v>2231</v>
      </c>
      <c r="M21" s="133">
        <f>VLOOKUP($C$19,Servant!$B$5:$AD$29,24,FALSE)+($F21+($F21*0.5*($D21-1)))*(M$3-1)</f>
        <v>2717</v>
      </c>
      <c r="N21" s="133">
        <f>VLOOKUP($C$19,Servant!$B$5:$AD$29,24,FALSE)+($F21+($F21*0.5*($D21-1)))*(N$3-1)</f>
        <v>3203</v>
      </c>
      <c r="O21" s="133">
        <f>VLOOKUP($C$19,Servant!$B$5:$AD$29,24,FALSE)+($F21+($F21*0.5*($D21-1)))*(O$3-1)</f>
        <v>3689</v>
      </c>
      <c r="P21" s="133">
        <f>VLOOKUP($C$19,Servant!$B$5:$AD$29,24,FALSE)+($F21+($F21*0.5*($D21-1)))*(P$3-1)</f>
        <v>4175</v>
      </c>
      <c r="Q21" s="133">
        <f>VLOOKUP($C$19,Servant!$B$5:$AD$29,24,FALSE)+($F21+($F21*0.5*($D21-1)))*(Q$3-1)</f>
        <v>4661</v>
      </c>
      <c r="R21" s="133">
        <f>VLOOKUP($C$19,Servant!$B$5:$AD$29,24,FALSE)+($F21+($F21*0.5*($D21-1)))*(R$3-1)</f>
        <v>5147</v>
      </c>
      <c r="S21" s="133">
        <f>VLOOKUP($C$19,Servant!$B$5:$AD$29,24,FALSE)+($F21+($F21*0.5*($D21-1)))*(S$3-1)</f>
        <v>5633</v>
      </c>
      <c r="T21" s="133">
        <f>VLOOKUP($C$19,Servant!$B$5:$AD$29,24,FALSE)+($F21+($F21*0.5*($D21-1)))*(T$3-1)</f>
        <v>6119</v>
      </c>
      <c r="U21" s="133">
        <f>VLOOKUP($C$19,Servant!$B$5:$AD$29,24,FALSE)+($F21+($F21*0.5*($D21-1)))*(U$3-1)</f>
        <v>6605</v>
      </c>
      <c r="V21" s="133">
        <f>VLOOKUP($C$19,Servant!$B$5:$AD$29,24,FALSE)+($F21+($F21*0.5*($D21-1)))*(V$3-1)</f>
        <v>7091</v>
      </c>
      <c r="W21" s="133">
        <f>VLOOKUP($C$19,Servant!$B$5:$AD$29,24,FALSE)+($F21+($F21*0.5*($D21-1)))*(W$3-1)</f>
        <v>7577</v>
      </c>
      <c r="X21" s="133">
        <f>VLOOKUP($C$19,Servant!$B$5:$AD$29,24,FALSE)+($F21+($F21*0.5*($D21-1)))*(X$3-1)</f>
        <v>8063</v>
      </c>
      <c r="Y21" s="133">
        <f>VLOOKUP($C$19,Servant!$B$5:$AD$29,24,FALSE)+($F21+($F21*0.5*($D21-1)))*(Y$3-1)</f>
        <v>8549</v>
      </c>
      <c r="Z21" s="133">
        <f>VLOOKUP($C$19,Servant!$B$5:$AD$29,24,FALSE)+($F21+($F21*0.5*($D21-1)))*(Z$3-1)</f>
        <v>9035</v>
      </c>
      <c r="AA21" s="133">
        <f>VLOOKUP($C$19,Servant!$B$5:$AD$29,24,FALSE)+($F21+($F21*0.5*($D21-1)))*(AA$3-1)</f>
        <v>9521</v>
      </c>
      <c r="AB21" s="133">
        <f>VLOOKUP($C$19,Servant!$B$5:$AD$29,24,FALSE)+($F21+($F21*0.5*($D21-1)))*(AB$3-1)</f>
        <v>10007</v>
      </c>
      <c r="AC21" s="133">
        <f>VLOOKUP($C$19,Servant!$B$5:$AD$29,24,FALSE)+($F21+($F21*0.5*($D21-1)))*(AC$3-1)</f>
        <v>10493</v>
      </c>
      <c r="AD21" s="133">
        <f>VLOOKUP($C$19,Servant!$B$5:$AD$29,24,FALSE)+($F21+($F21*0.5*($D21-1)))*(AD$3-1)</f>
        <v>10979</v>
      </c>
      <c r="AE21" s="133">
        <f>VLOOKUP($C$19,Servant!$B$5:$AD$29,24,FALSE)+($F21+($F21*0.5*($D21-1)))*(AE$3-1)</f>
        <v>11465</v>
      </c>
      <c r="AF21" s="133">
        <f>VLOOKUP($C$19,Servant!$B$5:$AD$29,24,FALSE)+($F21+($F21*0.5*($D21-1)))*(AF$3-1)</f>
        <v>11951</v>
      </c>
      <c r="AG21" s="133">
        <f>VLOOKUP($C$19,Servant!$B$5:$AD$29,24,FALSE)+($F21+($F21*0.5*($D21-1)))*(AG$3-1)</f>
        <v>12437</v>
      </c>
      <c r="AH21" s="133">
        <f>VLOOKUP($C$19,Servant!$B$5:$AD$29,24,FALSE)+($F21+($F21*0.5*($D21-1)))*(AH$3-1)</f>
        <v>12923</v>
      </c>
      <c r="AI21" s="133">
        <f>VLOOKUP($C$19,Servant!$B$5:$AD$29,24,FALSE)+($F21+($F21*0.5*($D21-1)))*(AI$3-1)</f>
        <v>13409</v>
      </c>
      <c r="AJ21" s="133">
        <f>VLOOKUP($C$19,Servant!$B$5:$AD$29,24,FALSE)+($F21+($F21*0.5*($D21-1)))*(AJ$3-1)</f>
        <v>13895</v>
      </c>
      <c r="AK21" s="133">
        <f>VLOOKUP($C$19,Servant!$B$5:$AD$29,24,FALSE)+($F21+($F21*0.5*($D21-1)))*(AK$3-1)</f>
        <v>14381</v>
      </c>
    </row>
    <row r="22" spans="2:37" x14ac:dyDescent="0.3">
      <c r="B22" s="309"/>
      <c r="C22" s="318" t="s">
        <v>237</v>
      </c>
      <c r="D22" s="127">
        <v>2</v>
      </c>
      <c r="E22" s="120">
        <f>VLOOKUP($C$22,ServantLevelUPdStatus!$B$5:$AD$29,12,FALSE)+(VLOOKUP($C$22,ServantLevelUPdStatus!$B$5:$AD$29,12,FALSE)*0.5*(Simulator_DfsPow!$D22-1))</f>
        <v>520.5</v>
      </c>
      <c r="F22" s="120">
        <f>VLOOKUP($C$22,ServantLevelUPdStatus!$B$5:$AD$29,12,FALSE)</f>
        <v>347</v>
      </c>
      <c r="H22" s="113">
        <f>VLOOKUP($C$22,Servant!$B$5:$AD$29,24,FALSE)+($F22+($F22*0.5*($D22-1)))*(H$3-1)</f>
        <v>468</v>
      </c>
      <c r="I22" s="113">
        <f>VLOOKUP($C$22,Servant!$B$5:$AD$29,24,FALSE)+($F22+($F22*0.5*($D22-1)))*(I$3-1)</f>
        <v>988.5</v>
      </c>
      <c r="J22" s="113">
        <f>VLOOKUP($C$22,Servant!$B$5:$AD$29,24,FALSE)+($F22+($F22*0.5*($D22-1)))*(J$3-1)</f>
        <v>1509</v>
      </c>
      <c r="K22" s="113">
        <f>VLOOKUP($C$22,Servant!$B$5:$AD$29,24,FALSE)+($F22+($F22*0.5*($D22-1)))*(K$3-1)</f>
        <v>2029.5</v>
      </c>
      <c r="L22" s="113">
        <f>VLOOKUP($C$22,Servant!$B$5:$AD$29,24,FALSE)+($F22+($F22*0.5*($D22-1)))*(L$3-1)</f>
        <v>2550</v>
      </c>
      <c r="M22" s="113">
        <f>VLOOKUP($C$22,Servant!$B$5:$AD$29,24,FALSE)+($F22+($F22*0.5*($D22-1)))*(M$3-1)</f>
        <v>3070.5</v>
      </c>
      <c r="N22" s="113">
        <f>VLOOKUP($C$22,Servant!$B$5:$AD$29,24,FALSE)+($F22+($F22*0.5*($D22-1)))*(N$3-1)</f>
        <v>3591</v>
      </c>
      <c r="O22" s="113">
        <f>VLOOKUP($C$22,Servant!$B$5:$AD$29,24,FALSE)+($F22+($F22*0.5*($D22-1)))*(O$3-1)</f>
        <v>4111.5</v>
      </c>
      <c r="P22" s="113">
        <f>VLOOKUP($C$22,Servant!$B$5:$AD$29,24,FALSE)+($F22+($F22*0.5*($D22-1)))*(P$3-1)</f>
        <v>4632</v>
      </c>
      <c r="Q22" s="113">
        <f>VLOOKUP($C$22,Servant!$B$5:$AD$29,24,FALSE)+($F22+($F22*0.5*($D22-1)))*(Q$3-1)</f>
        <v>5152.5</v>
      </c>
      <c r="R22" s="113">
        <f>VLOOKUP($C$22,Servant!$B$5:$AD$29,24,FALSE)+($F22+($F22*0.5*($D22-1)))*(R$3-1)</f>
        <v>5673</v>
      </c>
      <c r="S22" s="113">
        <f>VLOOKUP($C$22,Servant!$B$5:$AD$29,24,FALSE)+($F22+($F22*0.5*($D22-1)))*(S$3-1)</f>
        <v>6193.5</v>
      </c>
      <c r="T22" s="113">
        <f>VLOOKUP($C$22,Servant!$B$5:$AD$29,24,FALSE)+($F22+($F22*0.5*($D22-1)))*(T$3-1)</f>
        <v>6714</v>
      </c>
      <c r="U22" s="113">
        <f>VLOOKUP($C$22,Servant!$B$5:$AD$29,24,FALSE)+($F22+($F22*0.5*($D22-1)))*(U$3-1)</f>
        <v>7234.5</v>
      </c>
      <c r="V22" s="113">
        <f>VLOOKUP($C$22,Servant!$B$5:$AD$29,24,FALSE)+($F22+($F22*0.5*($D22-1)))*(V$3-1)</f>
        <v>7755</v>
      </c>
      <c r="W22" s="113">
        <f>VLOOKUP($C$22,Servant!$B$5:$AD$29,24,FALSE)+($F22+($F22*0.5*($D22-1)))*(W$3-1)</f>
        <v>8275.5</v>
      </c>
      <c r="X22" s="113">
        <f>VLOOKUP($C$22,Servant!$B$5:$AD$29,24,FALSE)+($F22+($F22*0.5*($D22-1)))*(X$3-1)</f>
        <v>8796</v>
      </c>
      <c r="Y22" s="113">
        <f>VLOOKUP($C$22,Servant!$B$5:$AD$29,24,FALSE)+($F22+($F22*0.5*($D22-1)))*(Y$3-1)</f>
        <v>9316.5</v>
      </c>
      <c r="Z22" s="113">
        <f>VLOOKUP($C$22,Servant!$B$5:$AD$29,24,FALSE)+($F22+($F22*0.5*($D22-1)))*(Z$3-1)</f>
        <v>9837</v>
      </c>
      <c r="AA22" s="113">
        <f>VLOOKUP($C$22,Servant!$B$5:$AD$29,24,FALSE)+($F22+($F22*0.5*($D22-1)))*(AA$3-1)</f>
        <v>10357.5</v>
      </c>
      <c r="AB22" s="113">
        <f>VLOOKUP($C$22,Servant!$B$5:$AD$29,24,FALSE)+($F22+($F22*0.5*($D22-1)))*(AB$3-1)</f>
        <v>10878</v>
      </c>
      <c r="AC22" s="113">
        <f>VLOOKUP($C$22,Servant!$B$5:$AD$29,24,FALSE)+($F22+($F22*0.5*($D22-1)))*(AC$3-1)</f>
        <v>11398.5</v>
      </c>
      <c r="AD22" s="113">
        <f>VLOOKUP($C$22,Servant!$B$5:$AD$29,24,FALSE)+($F22+($F22*0.5*($D22-1)))*(AD$3-1)</f>
        <v>11919</v>
      </c>
      <c r="AE22" s="113">
        <f>VLOOKUP($C$22,Servant!$B$5:$AD$29,24,FALSE)+($F22+($F22*0.5*($D22-1)))*(AE$3-1)</f>
        <v>12439.5</v>
      </c>
      <c r="AF22" s="113">
        <f>VLOOKUP($C$22,Servant!$B$5:$AD$29,24,FALSE)+($F22+($F22*0.5*($D22-1)))*(AF$3-1)</f>
        <v>12960</v>
      </c>
      <c r="AG22" s="113">
        <f>VLOOKUP($C$22,Servant!$B$5:$AD$29,24,FALSE)+($F22+($F22*0.5*($D22-1)))*(AG$3-1)</f>
        <v>13480.5</v>
      </c>
      <c r="AH22" s="113">
        <f>VLOOKUP($C$22,Servant!$B$5:$AD$29,24,FALSE)+($F22+($F22*0.5*($D22-1)))*(AH$3-1)</f>
        <v>14001</v>
      </c>
      <c r="AI22" s="113">
        <f>VLOOKUP($C$22,Servant!$B$5:$AD$29,24,FALSE)+($F22+($F22*0.5*($D22-1)))*(AI$3-1)</f>
        <v>14521.5</v>
      </c>
      <c r="AJ22" s="113">
        <f>VLOOKUP($C$22,Servant!$B$5:$AD$29,24,FALSE)+($F22+($F22*0.5*($D22-1)))*(AJ$3-1)</f>
        <v>15042</v>
      </c>
      <c r="AK22" s="113">
        <f>VLOOKUP($C$22,Servant!$B$5:$AD$29,24,FALSE)+($F22+($F22*0.5*($D22-1)))*(AK$3-1)</f>
        <v>15562.5</v>
      </c>
    </row>
    <row r="23" spans="2:37" x14ac:dyDescent="0.3">
      <c r="B23" s="309"/>
      <c r="C23" s="318"/>
      <c r="D23" s="127">
        <v>3</v>
      </c>
      <c r="E23" s="120">
        <f>VLOOKUP($C$22,ServantLevelUPdStatus!$B$5:$AD$29,12,FALSE)+(VLOOKUP($C$22,ServantLevelUPdStatus!$B$5:$AD$29,12,FALSE)*0.5*(Simulator_DfsPow!$D23-1))</f>
        <v>694</v>
      </c>
      <c r="F23" s="119">
        <f>F22</f>
        <v>347</v>
      </c>
      <c r="H23" s="113">
        <f>VLOOKUP($C$22,Servant!$B$5:$AD$29,24,FALSE)+($F23+($F23*0.5*($D23-1)))*(H$3-1)</f>
        <v>468</v>
      </c>
      <c r="I23" s="113">
        <f>VLOOKUP($C$22,Servant!$B$5:$AD$29,24,FALSE)+($F23+($F23*0.5*($D23-1)))*(I$3-1)</f>
        <v>1162</v>
      </c>
      <c r="J23" s="113">
        <f>VLOOKUP($C$22,Servant!$B$5:$AD$29,24,FALSE)+($F23+($F23*0.5*($D23-1)))*(J$3-1)</f>
        <v>1856</v>
      </c>
      <c r="K23" s="113">
        <f>VLOOKUP($C$22,Servant!$B$5:$AD$29,24,FALSE)+($F23+($F23*0.5*($D23-1)))*(K$3-1)</f>
        <v>2550</v>
      </c>
      <c r="L23" s="113">
        <f>VLOOKUP($C$22,Servant!$B$5:$AD$29,24,FALSE)+($F23+($F23*0.5*($D23-1)))*(L$3-1)</f>
        <v>3244</v>
      </c>
      <c r="M23" s="113">
        <f>VLOOKUP($C$22,Servant!$B$5:$AD$29,24,FALSE)+($F23+($F23*0.5*($D23-1)))*(M$3-1)</f>
        <v>3938</v>
      </c>
      <c r="N23" s="113">
        <f>VLOOKUP($C$22,Servant!$B$5:$AD$29,24,FALSE)+($F23+($F23*0.5*($D23-1)))*(N$3-1)</f>
        <v>4632</v>
      </c>
      <c r="O23" s="113">
        <f>VLOOKUP($C$22,Servant!$B$5:$AD$29,24,FALSE)+($F23+($F23*0.5*($D23-1)))*(O$3-1)</f>
        <v>5326</v>
      </c>
      <c r="P23" s="113">
        <f>VLOOKUP($C$22,Servant!$B$5:$AD$29,24,FALSE)+($F23+($F23*0.5*($D23-1)))*(P$3-1)</f>
        <v>6020</v>
      </c>
      <c r="Q23" s="113">
        <f>VLOOKUP($C$22,Servant!$B$5:$AD$29,24,FALSE)+($F23+($F23*0.5*($D23-1)))*(Q$3-1)</f>
        <v>6714</v>
      </c>
      <c r="R23" s="113">
        <f>VLOOKUP($C$22,Servant!$B$5:$AD$29,24,FALSE)+($F23+($F23*0.5*($D23-1)))*(R$3-1)</f>
        <v>7408</v>
      </c>
      <c r="S23" s="113">
        <f>VLOOKUP($C$22,Servant!$B$5:$AD$29,24,FALSE)+($F23+($F23*0.5*($D23-1)))*(S$3-1)</f>
        <v>8102</v>
      </c>
      <c r="T23" s="113">
        <f>VLOOKUP($C$22,Servant!$B$5:$AD$29,24,FALSE)+($F23+($F23*0.5*($D23-1)))*(T$3-1)</f>
        <v>8796</v>
      </c>
      <c r="U23" s="113">
        <f>VLOOKUP($C$22,Servant!$B$5:$AD$29,24,FALSE)+($F23+($F23*0.5*($D23-1)))*(U$3-1)</f>
        <v>9490</v>
      </c>
      <c r="V23" s="113">
        <f>VLOOKUP($C$22,Servant!$B$5:$AD$29,24,FALSE)+($F23+($F23*0.5*($D23-1)))*(V$3-1)</f>
        <v>10184</v>
      </c>
      <c r="W23" s="113">
        <f>VLOOKUP($C$22,Servant!$B$5:$AD$29,24,FALSE)+($F23+($F23*0.5*($D23-1)))*(W$3-1)</f>
        <v>10878</v>
      </c>
      <c r="X23" s="113">
        <f>VLOOKUP($C$22,Servant!$B$5:$AD$29,24,FALSE)+($F23+($F23*0.5*($D23-1)))*(X$3-1)</f>
        <v>11572</v>
      </c>
      <c r="Y23" s="113">
        <f>VLOOKUP($C$22,Servant!$B$5:$AD$29,24,FALSE)+($F23+($F23*0.5*($D23-1)))*(Y$3-1)</f>
        <v>12266</v>
      </c>
      <c r="Z23" s="113">
        <f>VLOOKUP($C$22,Servant!$B$5:$AD$29,24,FALSE)+($F23+($F23*0.5*($D23-1)))*(Z$3-1)</f>
        <v>12960</v>
      </c>
      <c r="AA23" s="113">
        <f>VLOOKUP($C$22,Servant!$B$5:$AD$29,24,FALSE)+($F23+($F23*0.5*($D23-1)))*(AA$3-1)</f>
        <v>13654</v>
      </c>
      <c r="AB23" s="113">
        <f>VLOOKUP($C$22,Servant!$B$5:$AD$29,24,FALSE)+($F23+($F23*0.5*($D23-1)))*(AB$3-1)</f>
        <v>14348</v>
      </c>
      <c r="AC23" s="113">
        <f>VLOOKUP($C$22,Servant!$B$5:$AD$29,24,FALSE)+($F23+($F23*0.5*($D23-1)))*(AC$3-1)</f>
        <v>15042</v>
      </c>
      <c r="AD23" s="113">
        <f>VLOOKUP($C$22,Servant!$B$5:$AD$29,24,FALSE)+($F23+($F23*0.5*($D23-1)))*(AD$3-1)</f>
        <v>15736</v>
      </c>
      <c r="AE23" s="113">
        <f>VLOOKUP($C$22,Servant!$B$5:$AD$29,24,FALSE)+($F23+($F23*0.5*($D23-1)))*(AE$3-1)</f>
        <v>16430</v>
      </c>
      <c r="AF23" s="113">
        <f>VLOOKUP($C$22,Servant!$B$5:$AD$29,24,FALSE)+($F23+($F23*0.5*($D23-1)))*(AF$3-1)</f>
        <v>17124</v>
      </c>
      <c r="AG23" s="113">
        <f>VLOOKUP($C$22,Servant!$B$5:$AD$29,24,FALSE)+($F23+($F23*0.5*($D23-1)))*(AG$3-1)</f>
        <v>17818</v>
      </c>
      <c r="AH23" s="113">
        <f>VLOOKUP($C$22,Servant!$B$5:$AD$29,24,FALSE)+($F23+($F23*0.5*($D23-1)))*(AH$3-1)</f>
        <v>18512</v>
      </c>
      <c r="AI23" s="113">
        <f>VLOOKUP($C$22,Servant!$B$5:$AD$29,24,FALSE)+($F23+($F23*0.5*($D23-1)))*(AI$3-1)</f>
        <v>19206</v>
      </c>
      <c r="AJ23" s="113">
        <f>VLOOKUP($C$22,Servant!$B$5:$AD$29,24,FALSE)+($F23+($F23*0.5*($D23-1)))*(AJ$3-1)</f>
        <v>19900</v>
      </c>
      <c r="AK23" s="113">
        <f>VLOOKUP($C$22,Servant!$B$5:$AD$29,24,FALSE)+($F23+($F23*0.5*($D23-1)))*(AK$3-1)</f>
        <v>20594</v>
      </c>
    </row>
    <row r="24" spans="2:37" x14ac:dyDescent="0.3">
      <c r="B24" s="309"/>
      <c r="C24" s="318"/>
      <c r="D24" s="127">
        <v>4</v>
      </c>
      <c r="E24" s="120">
        <f>VLOOKUP($C$22,ServantLevelUPdStatus!$B$5:$AD$29,12,FALSE)+(VLOOKUP($C$22,ServantLevelUPdStatus!$B$5:$AD$29,12,FALSE)*0.5*(Simulator_DfsPow!$D24-1))</f>
        <v>867.5</v>
      </c>
      <c r="F24" s="119">
        <f>F23</f>
        <v>347</v>
      </c>
      <c r="H24" s="113">
        <f>VLOOKUP($C$22,Servant!$B$5:$AD$29,24,FALSE)+($F24+($F24*0.5*($D24-1)))*(H$3-1)</f>
        <v>468</v>
      </c>
      <c r="I24" s="113">
        <f>VLOOKUP($C$22,Servant!$B$5:$AD$29,24,FALSE)+($F24+($F24*0.5*($D24-1)))*(I$3-1)</f>
        <v>1335.5</v>
      </c>
      <c r="J24" s="113">
        <f>VLOOKUP($C$22,Servant!$B$5:$AD$29,24,FALSE)+($F24+($F24*0.5*($D24-1)))*(J$3-1)</f>
        <v>2203</v>
      </c>
      <c r="K24" s="113">
        <f>VLOOKUP($C$22,Servant!$B$5:$AD$29,24,FALSE)+($F24+($F24*0.5*($D24-1)))*(K$3-1)</f>
        <v>3070.5</v>
      </c>
      <c r="L24" s="113">
        <f>VLOOKUP($C$22,Servant!$B$5:$AD$29,24,FALSE)+($F24+($F24*0.5*($D24-1)))*(L$3-1)</f>
        <v>3938</v>
      </c>
      <c r="M24" s="113">
        <f>VLOOKUP($C$22,Servant!$B$5:$AD$29,24,FALSE)+($F24+($F24*0.5*($D24-1)))*(M$3-1)</f>
        <v>4805.5</v>
      </c>
      <c r="N24" s="113">
        <f>VLOOKUP($C$22,Servant!$B$5:$AD$29,24,FALSE)+($F24+($F24*0.5*($D24-1)))*(N$3-1)</f>
        <v>5673</v>
      </c>
      <c r="O24" s="113">
        <f>VLOOKUP($C$22,Servant!$B$5:$AD$29,24,FALSE)+($F24+($F24*0.5*($D24-1)))*(O$3-1)</f>
        <v>6540.5</v>
      </c>
      <c r="P24" s="113">
        <f>VLOOKUP($C$22,Servant!$B$5:$AD$29,24,FALSE)+($F24+($F24*0.5*($D24-1)))*(P$3-1)</f>
        <v>7408</v>
      </c>
      <c r="Q24" s="113">
        <f>VLOOKUP($C$22,Servant!$B$5:$AD$29,24,FALSE)+($F24+($F24*0.5*($D24-1)))*(Q$3-1)</f>
        <v>8275.5</v>
      </c>
      <c r="R24" s="113">
        <f>VLOOKUP($C$22,Servant!$B$5:$AD$29,24,FALSE)+($F24+($F24*0.5*($D24-1)))*(R$3-1)</f>
        <v>9143</v>
      </c>
      <c r="S24" s="113">
        <f>VLOOKUP($C$22,Servant!$B$5:$AD$29,24,FALSE)+($F24+($F24*0.5*($D24-1)))*(S$3-1)</f>
        <v>10010.5</v>
      </c>
      <c r="T24" s="113">
        <f>VLOOKUP($C$22,Servant!$B$5:$AD$29,24,FALSE)+($F24+($F24*0.5*($D24-1)))*(T$3-1)</f>
        <v>10878</v>
      </c>
      <c r="U24" s="113">
        <f>VLOOKUP($C$22,Servant!$B$5:$AD$29,24,FALSE)+($F24+($F24*0.5*($D24-1)))*(U$3-1)</f>
        <v>11745.5</v>
      </c>
      <c r="V24" s="113">
        <f>VLOOKUP($C$22,Servant!$B$5:$AD$29,24,FALSE)+($F24+($F24*0.5*($D24-1)))*(V$3-1)</f>
        <v>12613</v>
      </c>
      <c r="W24" s="113">
        <f>VLOOKUP($C$22,Servant!$B$5:$AD$29,24,FALSE)+($F24+($F24*0.5*($D24-1)))*(W$3-1)</f>
        <v>13480.5</v>
      </c>
      <c r="X24" s="113">
        <f>VLOOKUP($C$22,Servant!$B$5:$AD$29,24,FALSE)+($F24+($F24*0.5*($D24-1)))*(X$3-1)</f>
        <v>14348</v>
      </c>
      <c r="Y24" s="113">
        <f>VLOOKUP($C$22,Servant!$B$5:$AD$29,24,FALSE)+($F24+($F24*0.5*($D24-1)))*(Y$3-1)</f>
        <v>15215.5</v>
      </c>
      <c r="Z24" s="113">
        <f>VLOOKUP($C$22,Servant!$B$5:$AD$29,24,FALSE)+($F24+($F24*0.5*($D24-1)))*(Z$3-1)</f>
        <v>16083</v>
      </c>
      <c r="AA24" s="113">
        <f>VLOOKUP($C$22,Servant!$B$5:$AD$29,24,FALSE)+($F24+($F24*0.5*($D24-1)))*(AA$3-1)</f>
        <v>16950.5</v>
      </c>
      <c r="AB24" s="113">
        <f>VLOOKUP($C$22,Servant!$B$5:$AD$29,24,FALSE)+($F24+($F24*0.5*($D24-1)))*(AB$3-1)</f>
        <v>17818</v>
      </c>
      <c r="AC24" s="113">
        <f>VLOOKUP($C$22,Servant!$B$5:$AD$29,24,FALSE)+($F24+($F24*0.5*($D24-1)))*(AC$3-1)</f>
        <v>18685.5</v>
      </c>
      <c r="AD24" s="113">
        <f>VLOOKUP($C$22,Servant!$B$5:$AD$29,24,FALSE)+($F24+($F24*0.5*($D24-1)))*(AD$3-1)</f>
        <v>19553</v>
      </c>
      <c r="AE24" s="113">
        <f>VLOOKUP($C$22,Servant!$B$5:$AD$29,24,FALSE)+($F24+($F24*0.5*($D24-1)))*(AE$3-1)</f>
        <v>20420.5</v>
      </c>
      <c r="AF24" s="113">
        <f>VLOOKUP($C$22,Servant!$B$5:$AD$29,24,FALSE)+($F24+($F24*0.5*($D24-1)))*(AF$3-1)</f>
        <v>21288</v>
      </c>
      <c r="AG24" s="113">
        <f>VLOOKUP($C$22,Servant!$B$5:$AD$29,24,FALSE)+($F24+($F24*0.5*($D24-1)))*(AG$3-1)</f>
        <v>22155.5</v>
      </c>
      <c r="AH24" s="113">
        <f>VLOOKUP($C$22,Servant!$B$5:$AD$29,24,FALSE)+($F24+($F24*0.5*($D24-1)))*(AH$3-1)</f>
        <v>23023</v>
      </c>
      <c r="AI24" s="113">
        <f>VLOOKUP($C$22,Servant!$B$5:$AD$29,24,FALSE)+($F24+($F24*0.5*($D24-1)))*(AI$3-1)</f>
        <v>23890.5</v>
      </c>
      <c r="AJ24" s="113">
        <f>VLOOKUP($C$22,Servant!$B$5:$AD$29,24,FALSE)+($F24+($F24*0.5*($D24-1)))*(AJ$3-1)</f>
        <v>24758</v>
      </c>
      <c r="AK24" s="113">
        <f>VLOOKUP($C$22,Servant!$B$5:$AD$29,24,FALSE)+($F24+($F24*0.5*($D24-1)))*(AK$3-1)</f>
        <v>25625.5</v>
      </c>
    </row>
    <row r="25" spans="2:37" x14ac:dyDescent="0.3">
      <c r="B25" s="309"/>
      <c r="C25" s="319" t="s">
        <v>282</v>
      </c>
      <c r="D25" s="140">
        <v>2</v>
      </c>
      <c r="E25" s="141">
        <f>VLOOKUP($C$25,ServantLevelUPdStatus!$B$5:$AD$29,12,FALSE)+(VLOOKUP($C$25,ServantLevelUPdStatus!$B$5:$AD$29,12,FALSE)*0.5*(Simulator_DfsPow!$D25-1))</f>
        <v>363</v>
      </c>
      <c r="F25" s="141">
        <f>VLOOKUP($C$25,ServantLevelUPdStatus!$B$5:$AD$29,12,FALSE)</f>
        <v>242</v>
      </c>
      <c r="H25" s="142">
        <f>VLOOKUP($C$25,Servant!$B$5:$AD$29,24,FALSE)+($F25+($F25*0.5*($D25-1)))*(H$3-1)</f>
        <v>280</v>
      </c>
      <c r="I25" s="142">
        <f>VLOOKUP($C$25,Servant!$B$5:$AD$29,24,FALSE)+($F25+($F25*0.5*($D25-1)))*(I$3-1)</f>
        <v>643</v>
      </c>
      <c r="J25" s="142">
        <f>VLOOKUP($C$25,Servant!$B$5:$AD$29,24,FALSE)+($F25+($F25*0.5*($D25-1)))*(J$3-1)</f>
        <v>1006</v>
      </c>
      <c r="K25" s="142">
        <f>VLOOKUP($C$25,Servant!$B$5:$AD$29,24,FALSE)+($F25+($F25*0.5*($D25-1)))*(K$3-1)</f>
        <v>1369</v>
      </c>
      <c r="L25" s="142">
        <f>VLOOKUP($C$25,Servant!$B$5:$AD$29,24,FALSE)+($F25+($F25*0.5*($D25-1)))*(L$3-1)</f>
        <v>1732</v>
      </c>
      <c r="M25" s="142">
        <f>VLOOKUP($C$25,Servant!$B$5:$AD$29,24,FALSE)+($F25+($F25*0.5*($D25-1)))*(M$3-1)</f>
        <v>2095</v>
      </c>
      <c r="N25" s="142">
        <f>VLOOKUP($C$25,Servant!$B$5:$AD$29,24,FALSE)+($F25+($F25*0.5*($D25-1)))*(N$3-1)</f>
        <v>2458</v>
      </c>
      <c r="O25" s="142">
        <f>VLOOKUP($C$25,Servant!$B$5:$AD$29,24,FALSE)+($F25+($F25*0.5*($D25-1)))*(O$3-1)</f>
        <v>2821</v>
      </c>
      <c r="P25" s="142">
        <f>VLOOKUP($C$25,Servant!$B$5:$AD$29,24,FALSE)+($F25+($F25*0.5*($D25-1)))*(P$3-1)</f>
        <v>3184</v>
      </c>
      <c r="Q25" s="142">
        <f>VLOOKUP($C$25,Servant!$B$5:$AD$29,24,FALSE)+($F25+($F25*0.5*($D25-1)))*(Q$3-1)</f>
        <v>3547</v>
      </c>
      <c r="R25" s="142">
        <f>VLOOKUP($C$25,Servant!$B$5:$AD$29,24,FALSE)+($F25+($F25*0.5*($D25-1)))*(R$3-1)</f>
        <v>3910</v>
      </c>
      <c r="S25" s="142">
        <f>VLOOKUP($C$25,Servant!$B$5:$AD$29,24,FALSE)+($F25+($F25*0.5*($D25-1)))*(S$3-1)</f>
        <v>4273</v>
      </c>
      <c r="T25" s="142">
        <f>VLOOKUP($C$25,Servant!$B$5:$AD$29,24,FALSE)+($F25+($F25*0.5*($D25-1)))*(T$3-1)</f>
        <v>4636</v>
      </c>
      <c r="U25" s="142">
        <f>VLOOKUP($C$25,Servant!$B$5:$AD$29,24,FALSE)+($F25+($F25*0.5*($D25-1)))*(U$3-1)</f>
        <v>4999</v>
      </c>
      <c r="V25" s="142">
        <f>VLOOKUP($C$25,Servant!$B$5:$AD$29,24,FALSE)+($F25+($F25*0.5*($D25-1)))*(V$3-1)</f>
        <v>5362</v>
      </c>
      <c r="W25" s="142">
        <f>VLOOKUP($C$25,Servant!$B$5:$AD$29,24,FALSE)+($F25+($F25*0.5*($D25-1)))*(W$3-1)</f>
        <v>5725</v>
      </c>
      <c r="X25" s="142">
        <f>VLOOKUP($C$25,Servant!$B$5:$AD$29,24,FALSE)+($F25+($F25*0.5*($D25-1)))*(X$3-1)</f>
        <v>6088</v>
      </c>
      <c r="Y25" s="142">
        <f>VLOOKUP($C$25,Servant!$B$5:$AD$29,24,FALSE)+($F25+($F25*0.5*($D25-1)))*(Y$3-1)</f>
        <v>6451</v>
      </c>
      <c r="Z25" s="142">
        <f>VLOOKUP($C$25,Servant!$B$5:$AD$29,24,FALSE)+($F25+($F25*0.5*($D25-1)))*(Z$3-1)</f>
        <v>6814</v>
      </c>
      <c r="AA25" s="142">
        <f>VLOOKUP($C$25,Servant!$B$5:$AD$29,24,FALSE)+($F25+($F25*0.5*($D25-1)))*(AA$3-1)</f>
        <v>7177</v>
      </c>
      <c r="AB25" s="142">
        <f>VLOOKUP($C$25,Servant!$B$5:$AD$29,24,FALSE)+($F25+($F25*0.5*($D25-1)))*(AB$3-1)</f>
        <v>7540</v>
      </c>
      <c r="AC25" s="142">
        <f>VLOOKUP($C$25,Servant!$B$5:$AD$29,24,FALSE)+($F25+($F25*0.5*($D25-1)))*(AC$3-1)</f>
        <v>7903</v>
      </c>
      <c r="AD25" s="142">
        <f>VLOOKUP($C$25,Servant!$B$5:$AD$29,24,FALSE)+($F25+($F25*0.5*($D25-1)))*(AD$3-1)</f>
        <v>8266</v>
      </c>
      <c r="AE25" s="142">
        <f>VLOOKUP($C$25,Servant!$B$5:$AD$29,24,FALSE)+($F25+($F25*0.5*($D25-1)))*(AE$3-1)</f>
        <v>8629</v>
      </c>
      <c r="AF25" s="142">
        <f>VLOOKUP($C$25,Servant!$B$5:$AD$29,24,FALSE)+($F25+($F25*0.5*($D25-1)))*(AF$3-1)</f>
        <v>8992</v>
      </c>
      <c r="AG25" s="142">
        <f>VLOOKUP($C$25,Servant!$B$5:$AD$29,24,FALSE)+($F25+($F25*0.5*($D25-1)))*(AG$3-1)</f>
        <v>9355</v>
      </c>
      <c r="AH25" s="142">
        <f>VLOOKUP($C$25,Servant!$B$5:$AD$29,24,FALSE)+($F25+($F25*0.5*($D25-1)))*(AH$3-1)</f>
        <v>9718</v>
      </c>
      <c r="AI25" s="142">
        <f>VLOOKUP($C$25,Servant!$B$5:$AD$29,24,FALSE)+($F25+($F25*0.5*($D25-1)))*(AI$3-1)</f>
        <v>10081</v>
      </c>
      <c r="AJ25" s="142">
        <f>VLOOKUP($C$25,Servant!$B$5:$AD$29,24,FALSE)+($F25+($F25*0.5*($D25-1)))*(AJ$3-1)</f>
        <v>10444</v>
      </c>
      <c r="AK25" s="142">
        <f>VLOOKUP($C$25,Servant!$B$5:$AD$29,24,FALSE)+($F25+($F25*0.5*($D25-1)))*(AK$3-1)</f>
        <v>10807</v>
      </c>
    </row>
    <row r="26" spans="2:37" x14ac:dyDescent="0.3">
      <c r="B26" s="309"/>
      <c r="C26" s="319"/>
      <c r="D26" s="140">
        <v>3</v>
      </c>
      <c r="E26" s="141">
        <f>VLOOKUP($C$25,ServantLevelUPdStatus!$B$5:$AD$29,12,FALSE)+(VLOOKUP($C$25,ServantLevelUPdStatus!$B$5:$AD$29,12,FALSE)*0.5*(Simulator_DfsPow!$D26-1))</f>
        <v>484</v>
      </c>
      <c r="F26" s="143">
        <f>F25</f>
        <v>242</v>
      </c>
      <c r="H26" s="142">
        <f>VLOOKUP($C$25,Servant!$B$5:$AD$29,24,FALSE)+($F26+($F26*0.5*($D26-1)))*(H$3-1)</f>
        <v>280</v>
      </c>
      <c r="I26" s="142">
        <f>VLOOKUP($C$25,Servant!$B$5:$AD$29,24,FALSE)+($F26+($F26*0.5*($D26-1)))*(I$3-1)</f>
        <v>764</v>
      </c>
      <c r="J26" s="142">
        <f>VLOOKUP($C$25,Servant!$B$5:$AD$29,24,FALSE)+($F26+($F26*0.5*($D26-1)))*(J$3-1)</f>
        <v>1248</v>
      </c>
      <c r="K26" s="142">
        <f>VLOOKUP($C$25,Servant!$B$5:$AD$29,24,FALSE)+($F26+($F26*0.5*($D26-1)))*(K$3-1)</f>
        <v>1732</v>
      </c>
      <c r="L26" s="142">
        <f>VLOOKUP($C$25,Servant!$B$5:$AD$29,24,FALSE)+($F26+($F26*0.5*($D26-1)))*(L$3-1)</f>
        <v>2216</v>
      </c>
      <c r="M26" s="142">
        <f>VLOOKUP($C$25,Servant!$B$5:$AD$29,24,FALSE)+($F26+($F26*0.5*($D26-1)))*(M$3-1)</f>
        <v>2700</v>
      </c>
      <c r="N26" s="142">
        <f>VLOOKUP($C$25,Servant!$B$5:$AD$29,24,FALSE)+($F26+($F26*0.5*($D26-1)))*(N$3-1)</f>
        <v>3184</v>
      </c>
      <c r="O26" s="142">
        <f>VLOOKUP($C$25,Servant!$B$5:$AD$29,24,FALSE)+($F26+($F26*0.5*($D26-1)))*(O$3-1)</f>
        <v>3668</v>
      </c>
      <c r="P26" s="142">
        <f>VLOOKUP($C$25,Servant!$B$5:$AD$29,24,FALSE)+($F26+($F26*0.5*($D26-1)))*(P$3-1)</f>
        <v>4152</v>
      </c>
      <c r="Q26" s="142">
        <f>VLOOKUP($C$25,Servant!$B$5:$AD$29,24,FALSE)+($F26+($F26*0.5*($D26-1)))*(Q$3-1)</f>
        <v>4636</v>
      </c>
      <c r="R26" s="142">
        <f>VLOOKUP($C$25,Servant!$B$5:$AD$29,24,FALSE)+($F26+($F26*0.5*($D26-1)))*(R$3-1)</f>
        <v>5120</v>
      </c>
      <c r="S26" s="142">
        <f>VLOOKUP($C$25,Servant!$B$5:$AD$29,24,FALSE)+($F26+($F26*0.5*($D26-1)))*(S$3-1)</f>
        <v>5604</v>
      </c>
      <c r="T26" s="142">
        <f>VLOOKUP($C$25,Servant!$B$5:$AD$29,24,FALSE)+($F26+($F26*0.5*($D26-1)))*(T$3-1)</f>
        <v>6088</v>
      </c>
      <c r="U26" s="142">
        <f>VLOOKUP($C$25,Servant!$B$5:$AD$29,24,FALSE)+($F26+($F26*0.5*($D26-1)))*(U$3-1)</f>
        <v>6572</v>
      </c>
      <c r="V26" s="142">
        <f>VLOOKUP($C$25,Servant!$B$5:$AD$29,24,FALSE)+($F26+($F26*0.5*($D26-1)))*(V$3-1)</f>
        <v>7056</v>
      </c>
      <c r="W26" s="142">
        <f>VLOOKUP($C$25,Servant!$B$5:$AD$29,24,FALSE)+($F26+($F26*0.5*($D26-1)))*(W$3-1)</f>
        <v>7540</v>
      </c>
      <c r="X26" s="142">
        <f>VLOOKUP($C$25,Servant!$B$5:$AD$29,24,FALSE)+($F26+($F26*0.5*($D26-1)))*(X$3-1)</f>
        <v>8024</v>
      </c>
      <c r="Y26" s="142">
        <f>VLOOKUP($C$25,Servant!$B$5:$AD$29,24,FALSE)+($F26+($F26*0.5*($D26-1)))*(Y$3-1)</f>
        <v>8508</v>
      </c>
      <c r="Z26" s="142">
        <f>VLOOKUP($C$25,Servant!$B$5:$AD$29,24,FALSE)+($F26+($F26*0.5*($D26-1)))*(Z$3-1)</f>
        <v>8992</v>
      </c>
      <c r="AA26" s="142">
        <f>VLOOKUP($C$25,Servant!$B$5:$AD$29,24,FALSE)+($F26+($F26*0.5*($D26-1)))*(AA$3-1)</f>
        <v>9476</v>
      </c>
      <c r="AB26" s="142">
        <f>VLOOKUP($C$25,Servant!$B$5:$AD$29,24,FALSE)+($F26+($F26*0.5*($D26-1)))*(AB$3-1)</f>
        <v>9960</v>
      </c>
      <c r="AC26" s="142">
        <f>VLOOKUP($C$25,Servant!$B$5:$AD$29,24,FALSE)+($F26+($F26*0.5*($D26-1)))*(AC$3-1)</f>
        <v>10444</v>
      </c>
      <c r="AD26" s="142">
        <f>VLOOKUP($C$25,Servant!$B$5:$AD$29,24,FALSE)+($F26+($F26*0.5*($D26-1)))*(AD$3-1)</f>
        <v>10928</v>
      </c>
      <c r="AE26" s="142">
        <f>VLOOKUP($C$25,Servant!$B$5:$AD$29,24,FALSE)+($F26+($F26*0.5*($D26-1)))*(AE$3-1)</f>
        <v>11412</v>
      </c>
      <c r="AF26" s="142">
        <f>VLOOKUP($C$25,Servant!$B$5:$AD$29,24,FALSE)+($F26+($F26*0.5*($D26-1)))*(AF$3-1)</f>
        <v>11896</v>
      </c>
      <c r="AG26" s="142">
        <f>VLOOKUP($C$25,Servant!$B$5:$AD$29,24,FALSE)+($F26+($F26*0.5*($D26-1)))*(AG$3-1)</f>
        <v>12380</v>
      </c>
      <c r="AH26" s="142">
        <f>VLOOKUP($C$25,Servant!$B$5:$AD$29,24,FALSE)+($F26+($F26*0.5*($D26-1)))*(AH$3-1)</f>
        <v>12864</v>
      </c>
      <c r="AI26" s="142">
        <f>VLOOKUP($C$25,Servant!$B$5:$AD$29,24,FALSE)+($F26+($F26*0.5*($D26-1)))*(AI$3-1)</f>
        <v>13348</v>
      </c>
      <c r="AJ26" s="142">
        <f>VLOOKUP($C$25,Servant!$B$5:$AD$29,24,FALSE)+($F26+($F26*0.5*($D26-1)))*(AJ$3-1)</f>
        <v>13832</v>
      </c>
      <c r="AK26" s="142">
        <f>VLOOKUP($C$25,Servant!$B$5:$AD$29,24,FALSE)+($F26+($F26*0.5*($D26-1)))*(AK$3-1)</f>
        <v>14316</v>
      </c>
    </row>
    <row r="27" spans="2:37" x14ac:dyDescent="0.3">
      <c r="B27" s="309"/>
      <c r="C27" s="319"/>
      <c r="D27" s="140">
        <v>4</v>
      </c>
      <c r="E27" s="141">
        <f>VLOOKUP($C$25,ServantLevelUPdStatus!$B$5:$AD$29,12,FALSE)+(VLOOKUP($C$25,ServantLevelUPdStatus!$B$5:$AD$29,12,FALSE)*0.5*(Simulator_DfsPow!$D27-1))</f>
        <v>605</v>
      </c>
      <c r="F27" s="143">
        <f>F26</f>
        <v>242</v>
      </c>
      <c r="H27" s="142">
        <f>VLOOKUP($C$25,Servant!$B$5:$AD$29,24,FALSE)+($F27+($F27*0.5*($D27-1)))*(H$3-1)</f>
        <v>280</v>
      </c>
      <c r="I27" s="142">
        <f>VLOOKUP($C$25,Servant!$B$5:$AD$29,24,FALSE)+($F27+($F27*0.5*($D27-1)))*(I$3-1)</f>
        <v>885</v>
      </c>
      <c r="J27" s="142">
        <f>VLOOKUP($C$25,Servant!$B$5:$AD$29,24,FALSE)+($F27+($F27*0.5*($D27-1)))*(J$3-1)</f>
        <v>1490</v>
      </c>
      <c r="K27" s="142">
        <f>VLOOKUP($C$25,Servant!$B$5:$AD$29,24,FALSE)+($F27+($F27*0.5*($D27-1)))*(K$3-1)</f>
        <v>2095</v>
      </c>
      <c r="L27" s="142">
        <f>VLOOKUP($C$25,Servant!$B$5:$AD$29,24,FALSE)+($F27+($F27*0.5*($D27-1)))*(L$3-1)</f>
        <v>2700</v>
      </c>
      <c r="M27" s="142">
        <f>VLOOKUP($C$25,Servant!$B$5:$AD$29,24,FALSE)+($F27+($F27*0.5*($D27-1)))*(M$3-1)</f>
        <v>3305</v>
      </c>
      <c r="N27" s="142">
        <f>VLOOKUP($C$25,Servant!$B$5:$AD$29,24,FALSE)+($F27+($F27*0.5*($D27-1)))*(N$3-1)</f>
        <v>3910</v>
      </c>
      <c r="O27" s="142">
        <f>VLOOKUP($C$25,Servant!$B$5:$AD$29,24,FALSE)+($F27+($F27*0.5*($D27-1)))*(O$3-1)</f>
        <v>4515</v>
      </c>
      <c r="P27" s="142">
        <f>VLOOKUP($C$25,Servant!$B$5:$AD$29,24,FALSE)+($F27+($F27*0.5*($D27-1)))*(P$3-1)</f>
        <v>5120</v>
      </c>
      <c r="Q27" s="142">
        <f>VLOOKUP($C$25,Servant!$B$5:$AD$29,24,FALSE)+($F27+($F27*0.5*($D27-1)))*(Q$3-1)</f>
        <v>5725</v>
      </c>
      <c r="R27" s="142">
        <f>VLOOKUP($C$25,Servant!$B$5:$AD$29,24,FALSE)+($F27+($F27*0.5*($D27-1)))*(R$3-1)</f>
        <v>6330</v>
      </c>
      <c r="S27" s="142">
        <f>VLOOKUP($C$25,Servant!$B$5:$AD$29,24,FALSE)+($F27+($F27*0.5*($D27-1)))*(S$3-1)</f>
        <v>6935</v>
      </c>
      <c r="T27" s="142">
        <f>VLOOKUP($C$25,Servant!$B$5:$AD$29,24,FALSE)+($F27+($F27*0.5*($D27-1)))*(T$3-1)</f>
        <v>7540</v>
      </c>
      <c r="U27" s="142">
        <f>VLOOKUP($C$25,Servant!$B$5:$AD$29,24,FALSE)+($F27+($F27*0.5*($D27-1)))*(U$3-1)</f>
        <v>8145</v>
      </c>
      <c r="V27" s="142">
        <f>VLOOKUP($C$25,Servant!$B$5:$AD$29,24,FALSE)+($F27+($F27*0.5*($D27-1)))*(V$3-1)</f>
        <v>8750</v>
      </c>
      <c r="W27" s="142">
        <f>VLOOKUP($C$25,Servant!$B$5:$AD$29,24,FALSE)+($F27+($F27*0.5*($D27-1)))*(W$3-1)</f>
        <v>9355</v>
      </c>
      <c r="X27" s="142">
        <f>VLOOKUP($C$25,Servant!$B$5:$AD$29,24,FALSE)+($F27+($F27*0.5*($D27-1)))*(X$3-1)</f>
        <v>9960</v>
      </c>
      <c r="Y27" s="142">
        <f>VLOOKUP($C$25,Servant!$B$5:$AD$29,24,FALSE)+($F27+($F27*0.5*($D27-1)))*(Y$3-1)</f>
        <v>10565</v>
      </c>
      <c r="Z27" s="142">
        <f>VLOOKUP($C$25,Servant!$B$5:$AD$29,24,FALSE)+($F27+($F27*0.5*($D27-1)))*(Z$3-1)</f>
        <v>11170</v>
      </c>
      <c r="AA27" s="142">
        <f>VLOOKUP($C$25,Servant!$B$5:$AD$29,24,FALSE)+($F27+($F27*0.5*($D27-1)))*(AA$3-1)</f>
        <v>11775</v>
      </c>
      <c r="AB27" s="142">
        <f>VLOOKUP($C$25,Servant!$B$5:$AD$29,24,FALSE)+($F27+($F27*0.5*($D27-1)))*(AB$3-1)</f>
        <v>12380</v>
      </c>
      <c r="AC27" s="142">
        <f>VLOOKUP($C$25,Servant!$B$5:$AD$29,24,FALSE)+($F27+($F27*0.5*($D27-1)))*(AC$3-1)</f>
        <v>12985</v>
      </c>
      <c r="AD27" s="142">
        <f>VLOOKUP($C$25,Servant!$B$5:$AD$29,24,FALSE)+($F27+($F27*0.5*($D27-1)))*(AD$3-1)</f>
        <v>13590</v>
      </c>
      <c r="AE27" s="142">
        <f>VLOOKUP($C$25,Servant!$B$5:$AD$29,24,FALSE)+($F27+($F27*0.5*($D27-1)))*(AE$3-1)</f>
        <v>14195</v>
      </c>
      <c r="AF27" s="142">
        <f>VLOOKUP($C$25,Servant!$B$5:$AD$29,24,FALSE)+($F27+($F27*0.5*($D27-1)))*(AF$3-1)</f>
        <v>14800</v>
      </c>
      <c r="AG27" s="142">
        <f>VLOOKUP($C$25,Servant!$B$5:$AD$29,24,FALSE)+($F27+($F27*0.5*($D27-1)))*(AG$3-1)</f>
        <v>15405</v>
      </c>
      <c r="AH27" s="142">
        <f>VLOOKUP($C$25,Servant!$B$5:$AD$29,24,FALSE)+($F27+($F27*0.5*($D27-1)))*(AH$3-1)</f>
        <v>16010</v>
      </c>
      <c r="AI27" s="142">
        <f>VLOOKUP($C$25,Servant!$B$5:$AD$29,24,FALSE)+($F27+($F27*0.5*($D27-1)))*(AI$3-1)</f>
        <v>16615</v>
      </c>
      <c r="AJ27" s="142">
        <f>VLOOKUP($C$25,Servant!$B$5:$AD$29,24,FALSE)+($F27+($F27*0.5*($D27-1)))*(AJ$3-1)</f>
        <v>17220</v>
      </c>
      <c r="AK27" s="142">
        <f>VLOOKUP($C$25,Servant!$B$5:$AD$29,24,FALSE)+($F27+($F27*0.5*($D27-1)))*(AK$3-1)</f>
        <v>17825</v>
      </c>
    </row>
    <row r="28" spans="2:37" x14ac:dyDescent="0.3">
      <c r="B28" s="309"/>
      <c r="C28" s="318" t="s">
        <v>283</v>
      </c>
      <c r="D28" s="127">
        <v>2</v>
      </c>
      <c r="E28" s="120">
        <f>VLOOKUP($C$28,ServantLevelUPdStatus!$B$5:$AD$29,12,FALSE)+(VLOOKUP($C$28,ServantLevelUPdStatus!$B$5:$AD$29,12,FALSE)*0.5*(Simulator_DfsPow!$D28-1))</f>
        <v>577.5</v>
      </c>
      <c r="F28" s="120">
        <f>VLOOKUP($C$28,ServantLevelUPdStatus!$B$5:$AD$29,12,FALSE)</f>
        <v>385</v>
      </c>
      <c r="H28" s="113">
        <f>VLOOKUP($C$28,Servant!$B$5:$AD$29,24,FALSE)+($F28+($F28*0.5*($D28-1)))*(H$3-1)</f>
        <v>519</v>
      </c>
      <c r="I28" s="113">
        <f>VLOOKUP($C$28,Servant!$B$5:$AD$29,24,FALSE)+($F28+($F28*0.5*($D28-1)))*(I$3-1)</f>
        <v>1096.5</v>
      </c>
      <c r="J28" s="113">
        <f>VLOOKUP($C$28,Servant!$B$5:$AD$29,24,FALSE)+($F28+($F28*0.5*($D28-1)))*(J$3-1)</f>
        <v>1674</v>
      </c>
      <c r="K28" s="113">
        <f>VLOOKUP($C$28,Servant!$B$5:$AD$29,24,FALSE)+($F28+($F28*0.5*($D28-1)))*(K$3-1)</f>
        <v>2251.5</v>
      </c>
      <c r="L28" s="113">
        <f>VLOOKUP($C$28,Servant!$B$5:$AD$29,24,FALSE)+($F28+($F28*0.5*($D28-1)))*(L$3-1)</f>
        <v>2829</v>
      </c>
      <c r="M28" s="113">
        <f>VLOOKUP($C$28,Servant!$B$5:$AD$29,24,FALSE)+($F28+($F28*0.5*($D28-1)))*(M$3-1)</f>
        <v>3406.5</v>
      </c>
      <c r="N28" s="113">
        <f>VLOOKUP($C$28,Servant!$B$5:$AD$29,24,FALSE)+($F28+($F28*0.5*($D28-1)))*(N$3-1)</f>
        <v>3984</v>
      </c>
      <c r="O28" s="113">
        <f>VLOOKUP($C$28,Servant!$B$5:$AD$29,24,FALSE)+($F28+($F28*0.5*($D28-1)))*(O$3-1)</f>
        <v>4561.5</v>
      </c>
      <c r="P28" s="113">
        <f>VLOOKUP($C$28,Servant!$B$5:$AD$29,24,FALSE)+($F28+($F28*0.5*($D28-1)))*(P$3-1)</f>
        <v>5139</v>
      </c>
      <c r="Q28" s="113">
        <f>VLOOKUP($C$28,Servant!$B$5:$AD$29,24,FALSE)+($F28+($F28*0.5*($D28-1)))*(Q$3-1)</f>
        <v>5716.5</v>
      </c>
      <c r="R28" s="113">
        <f>VLOOKUP($C$28,Servant!$B$5:$AD$29,24,FALSE)+($F28+($F28*0.5*($D28-1)))*(R$3-1)</f>
        <v>6294</v>
      </c>
      <c r="S28" s="113">
        <f>VLOOKUP($C$28,Servant!$B$5:$AD$29,24,FALSE)+($F28+($F28*0.5*($D28-1)))*(S$3-1)</f>
        <v>6871.5</v>
      </c>
      <c r="T28" s="113">
        <f>VLOOKUP($C$28,Servant!$B$5:$AD$29,24,FALSE)+($F28+($F28*0.5*($D28-1)))*(T$3-1)</f>
        <v>7449</v>
      </c>
      <c r="U28" s="113">
        <f>VLOOKUP($C$28,Servant!$B$5:$AD$29,24,FALSE)+($F28+($F28*0.5*($D28-1)))*(U$3-1)</f>
        <v>8026.5</v>
      </c>
      <c r="V28" s="113">
        <f>VLOOKUP($C$28,Servant!$B$5:$AD$29,24,FALSE)+($F28+($F28*0.5*($D28-1)))*(V$3-1)</f>
        <v>8604</v>
      </c>
      <c r="W28" s="113">
        <f>VLOOKUP($C$28,Servant!$B$5:$AD$29,24,FALSE)+($F28+($F28*0.5*($D28-1)))*(W$3-1)</f>
        <v>9181.5</v>
      </c>
      <c r="X28" s="113">
        <f>VLOOKUP($C$28,Servant!$B$5:$AD$29,24,FALSE)+($F28+($F28*0.5*($D28-1)))*(X$3-1)</f>
        <v>9759</v>
      </c>
      <c r="Y28" s="113">
        <f>VLOOKUP($C$28,Servant!$B$5:$AD$29,24,FALSE)+($F28+($F28*0.5*($D28-1)))*(Y$3-1)</f>
        <v>10336.5</v>
      </c>
      <c r="Z28" s="113">
        <f>VLOOKUP($C$28,Servant!$B$5:$AD$29,24,FALSE)+($F28+($F28*0.5*($D28-1)))*(Z$3-1)</f>
        <v>10914</v>
      </c>
      <c r="AA28" s="113">
        <f>VLOOKUP($C$28,Servant!$B$5:$AD$29,24,FALSE)+($F28+($F28*0.5*($D28-1)))*(AA$3-1)</f>
        <v>11491.5</v>
      </c>
      <c r="AB28" s="113">
        <f>VLOOKUP($C$28,Servant!$B$5:$AD$29,24,FALSE)+($F28+($F28*0.5*($D28-1)))*(AB$3-1)</f>
        <v>12069</v>
      </c>
      <c r="AC28" s="113">
        <f>VLOOKUP($C$28,Servant!$B$5:$AD$29,24,FALSE)+($F28+($F28*0.5*($D28-1)))*(AC$3-1)</f>
        <v>12646.5</v>
      </c>
      <c r="AD28" s="113">
        <f>VLOOKUP($C$28,Servant!$B$5:$AD$29,24,FALSE)+($F28+($F28*0.5*($D28-1)))*(AD$3-1)</f>
        <v>13224</v>
      </c>
      <c r="AE28" s="113">
        <f>VLOOKUP($C$28,Servant!$B$5:$AD$29,24,FALSE)+($F28+($F28*0.5*($D28-1)))*(AE$3-1)</f>
        <v>13801.5</v>
      </c>
      <c r="AF28" s="113">
        <f>VLOOKUP($C$28,Servant!$B$5:$AD$29,24,FALSE)+($F28+($F28*0.5*($D28-1)))*(AF$3-1)</f>
        <v>14379</v>
      </c>
      <c r="AG28" s="113">
        <f>VLOOKUP($C$28,Servant!$B$5:$AD$29,24,FALSE)+($F28+($F28*0.5*($D28-1)))*(AG$3-1)</f>
        <v>14956.5</v>
      </c>
      <c r="AH28" s="113">
        <f>VLOOKUP($C$28,Servant!$B$5:$AD$29,24,FALSE)+($F28+($F28*0.5*($D28-1)))*(AH$3-1)</f>
        <v>15534</v>
      </c>
      <c r="AI28" s="113">
        <f>VLOOKUP($C$28,Servant!$B$5:$AD$29,24,FALSE)+($F28+($F28*0.5*($D28-1)))*(AI$3-1)</f>
        <v>16111.5</v>
      </c>
      <c r="AJ28" s="113">
        <f>VLOOKUP($C$28,Servant!$B$5:$AD$29,24,FALSE)+($F28+($F28*0.5*($D28-1)))*(AJ$3-1)</f>
        <v>16689</v>
      </c>
      <c r="AK28" s="113">
        <f>VLOOKUP($C$28,Servant!$B$5:$AD$29,24,FALSE)+($F28+($F28*0.5*($D28-1)))*(AK$3-1)</f>
        <v>17266.5</v>
      </c>
    </row>
    <row r="29" spans="2:37" x14ac:dyDescent="0.3">
      <c r="B29" s="309"/>
      <c r="C29" s="318"/>
      <c r="D29" s="127">
        <v>3</v>
      </c>
      <c r="E29" s="120">
        <f>VLOOKUP($C$28,ServantLevelUPdStatus!$B$5:$AD$29,12,FALSE)+(VLOOKUP($C$28,ServantLevelUPdStatus!$B$5:$AD$29,12,FALSE)*0.5*(Simulator_DfsPow!$D29-1))</f>
        <v>770</v>
      </c>
      <c r="F29" s="119">
        <f>F28</f>
        <v>385</v>
      </c>
      <c r="H29" s="113">
        <f>VLOOKUP($C$28,Servant!$B$5:$AD$29,24,FALSE)+($F29+($F29*0.5*($D29-1)))*(H$3-1)</f>
        <v>519</v>
      </c>
      <c r="I29" s="113">
        <f>VLOOKUP($C$28,Servant!$B$5:$AD$29,24,FALSE)+($F29+($F29*0.5*($D29-1)))*(I$3-1)</f>
        <v>1289</v>
      </c>
      <c r="J29" s="113">
        <f>VLOOKUP($C$28,Servant!$B$5:$AD$29,24,FALSE)+($F29+($F29*0.5*($D29-1)))*(J$3-1)</f>
        <v>2059</v>
      </c>
      <c r="K29" s="113">
        <f>VLOOKUP($C$28,Servant!$B$5:$AD$29,24,FALSE)+($F29+($F29*0.5*($D29-1)))*(K$3-1)</f>
        <v>2829</v>
      </c>
      <c r="L29" s="113">
        <f>VLOOKUP($C$28,Servant!$B$5:$AD$29,24,FALSE)+($F29+($F29*0.5*($D29-1)))*(L$3-1)</f>
        <v>3599</v>
      </c>
      <c r="M29" s="113">
        <f>VLOOKUP($C$28,Servant!$B$5:$AD$29,24,FALSE)+($F29+($F29*0.5*($D29-1)))*(M$3-1)</f>
        <v>4369</v>
      </c>
      <c r="N29" s="113">
        <f>VLOOKUP($C$28,Servant!$B$5:$AD$29,24,FALSE)+($F29+($F29*0.5*($D29-1)))*(N$3-1)</f>
        <v>5139</v>
      </c>
      <c r="O29" s="113">
        <f>VLOOKUP($C$28,Servant!$B$5:$AD$29,24,FALSE)+($F29+($F29*0.5*($D29-1)))*(O$3-1)</f>
        <v>5909</v>
      </c>
      <c r="P29" s="113">
        <f>VLOOKUP($C$28,Servant!$B$5:$AD$29,24,FALSE)+($F29+($F29*0.5*($D29-1)))*(P$3-1)</f>
        <v>6679</v>
      </c>
      <c r="Q29" s="113">
        <f>VLOOKUP($C$28,Servant!$B$5:$AD$29,24,FALSE)+($F29+($F29*0.5*($D29-1)))*(Q$3-1)</f>
        <v>7449</v>
      </c>
      <c r="R29" s="113">
        <f>VLOOKUP($C$28,Servant!$B$5:$AD$29,24,FALSE)+($F29+($F29*0.5*($D29-1)))*(R$3-1)</f>
        <v>8219</v>
      </c>
      <c r="S29" s="113">
        <f>VLOOKUP($C$28,Servant!$B$5:$AD$29,24,FALSE)+($F29+($F29*0.5*($D29-1)))*(S$3-1)</f>
        <v>8989</v>
      </c>
      <c r="T29" s="113">
        <f>VLOOKUP($C$28,Servant!$B$5:$AD$29,24,FALSE)+($F29+($F29*0.5*($D29-1)))*(T$3-1)</f>
        <v>9759</v>
      </c>
      <c r="U29" s="113">
        <f>VLOOKUP($C$28,Servant!$B$5:$AD$29,24,FALSE)+($F29+($F29*0.5*($D29-1)))*(U$3-1)</f>
        <v>10529</v>
      </c>
      <c r="V29" s="113">
        <f>VLOOKUP($C$28,Servant!$B$5:$AD$29,24,FALSE)+($F29+($F29*0.5*($D29-1)))*(V$3-1)</f>
        <v>11299</v>
      </c>
      <c r="W29" s="113">
        <f>VLOOKUP($C$28,Servant!$B$5:$AD$29,24,FALSE)+($F29+($F29*0.5*($D29-1)))*(W$3-1)</f>
        <v>12069</v>
      </c>
      <c r="X29" s="113">
        <f>VLOOKUP($C$28,Servant!$B$5:$AD$29,24,FALSE)+($F29+($F29*0.5*($D29-1)))*(X$3-1)</f>
        <v>12839</v>
      </c>
      <c r="Y29" s="113">
        <f>VLOOKUP($C$28,Servant!$B$5:$AD$29,24,FALSE)+($F29+($F29*0.5*($D29-1)))*(Y$3-1)</f>
        <v>13609</v>
      </c>
      <c r="Z29" s="113">
        <f>VLOOKUP($C$28,Servant!$B$5:$AD$29,24,FALSE)+($F29+($F29*0.5*($D29-1)))*(Z$3-1)</f>
        <v>14379</v>
      </c>
      <c r="AA29" s="113">
        <f>VLOOKUP($C$28,Servant!$B$5:$AD$29,24,FALSE)+($F29+($F29*0.5*($D29-1)))*(AA$3-1)</f>
        <v>15149</v>
      </c>
      <c r="AB29" s="113">
        <f>VLOOKUP($C$28,Servant!$B$5:$AD$29,24,FALSE)+($F29+($F29*0.5*($D29-1)))*(AB$3-1)</f>
        <v>15919</v>
      </c>
      <c r="AC29" s="113">
        <f>VLOOKUP($C$28,Servant!$B$5:$AD$29,24,FALSE)+($F29+($F29*0.5*($D29-1)))*(AC$3-1)</f>
        <v>16689</v>
      </c>
      <c r="AD29" s="113">
        <f>VLOOKUP($C$28,Servant!$B$5:$AD$29,24,FALSE)+($F29+($F29*0.5*($D29-1)))*(AD$3-1)</f>
        <v>17459</v>
      </c>
      <c r="AE29" s="113">
        <f>VLOOKUP($C$28,Servant!$B$5:$AD$29,24,FALSE)+($F29+($F29*0.5*($D29-1)))*(AE$3-1)</f>
        <v>18229</v>
      </c>
      <c r="AF29" s="113">
        <f>VLOOKUP($C$28,Servant!$B$5:$AD$29,24,FALSE)+($F29+($F29*0.5*($D29-1)))*(AF$3-1)</f>
        <v>18999</v>
      </c>
      <c r="AG29" s="113">
        <f>VLOOKUP($C$28,Servant!$B$5:$AD$29,24,FALSE)+($F29+($F29*0.5*($D29-1)))*(AG$3-1)</f>
        <v>19769</v>
      </c>
      <c r="AH29" s="113">
        <f>VLOOKUP($C$28,Servant!$B$5:$AD$29,24,FALSE)+($F29+($F29*0.5*($D29-1)))*(AH$3-1)</f>
        <v>20539</v>
      </c>
      <c r="AI29" s="113">
        <f>VLOOKUP($C$28,Servant!$B$5:$AD$29,24,FALSE)+($F29+($F29*0.5*($D29-1)))*(AI$3-1)</f>
        <v>21309</v>
      </c>
      <c r="AJ29" s="113">
        <f>VLOOKUP($C$28,Servant!$B$5:$AD$29,24,FALSE)+($F29+($F29*0.5*($D29-1)))*(AJ$3-1)</f>
        <v>22079</v>
      </c>
      <c r="AK29" s="113">
        <f>VLOOKUP($C$28,Servant!$B$5:$AD$29,24,FALSE)+($F29+($F29*0.5*($D29-1)))*(AK$3-1)</f>
        <v>22849</v>
      </c>
    </row>
    <row r="30" spans="2:37" x14ac:dyDescent="0.3">
      <c r="B30" s="309"/>
      <c r="C30" s="318"/>
      <c r="D30" s="127">
        <v>4</v>
      </c>
      <c r="E30" s="120">
        <f>VLOOKUP($C$28,ServantLevelUPdStatus!$B$5:$AD$29,12,FALSE)+(VLOOKUP($C$28,ServantLevelUPdStatus!$B$5:$AD$29,12,FALSE)*0.5*(Simulator_DfsPow!$D30-1))</f>
        <v>962.5</v>
      </c>
      <c r="F30" s="119">
        <f>F29</f>
        <v>385</v>
      </c>
      <c r="H30" s="113">
        <f>VLOOKUP($C$28,Servant!$B$5:$AD$29,24,FALSE)+($F30+($F30*0.5*($D30-1)))*(H$3-1)</f>
        <v>519</v>
      </c>
      <c r="I30" s="113">
        <f>VLOOKUP($C$28,Servant!$B$5:$AD$29,24,FALSE)+($F30+($F30*0.5*($D30-1)))*(I$3-1)</f>
        <v>1481.5</v>
      </c>
      <c r="J30" s="113">
        <f>VLOOKUP($C$28,Servant!$B$5:$AD$29,24,FALSE)+($F30+($F30*0.5*($D30-1)))*(J$3-1)</f>
        <v>2444</v>
      </c>
      <c r="K30" s="113">
        <f>VLOOKUP($C$28,Servant!$B$5:$AD$29,24,FALSE)+($F30+($F30*0.5*($D30-1)))*(K$3-1)</f>
        <v>3406.5</v>
      </c>
      <c r="L30" s="113">
        <f>VLOOKUP($C$28,Servant!$B$5:$AD$29,24,FALSE)+($F30+($F30*0.5*($D30-1)))*(L$3-1)</f>
        <v>4369</v>
      </c>
      <c r="M30" s="113">
        <f>VLOOKUP($C$28,Servant!$B$5:$AD$29,24,FALSE)+($F30+($F30*0.5*($D30-1)))*(M$3-1)</f>
        <v>5331.5</v>
      </c>
      <c r="N30" s="113">
        <f>VLOOKUP($C$28,Servant!$B$5:$AD$29,24,FALSE)+($F30+($F30*0.5*($D30-1)))*(N$3-1)</f>
        <v>6294</v>
      </c>
      <c r="O30" s="113">
        <f>VLOOKUP($C$28,Servant!$B$5:$AD$29,24,FALSE)+($F30+($F30*0.5*($D30-1)))*(O$3-1)</f>
        <v>7256.5</v>
      </c>
      <c r="P30" s="113">
        <f>VLOOKUP($C$28,Servant!$B$5:$AD$29,24,FALSE)+($F30+($F30*0.5*($D30-1)))*(P$3-1)</f>
        <v>8219</v>
      </c>
      <c r="Q30" s="113">
        <f>VLOOKUP($C$28,Servant!$B$5:$AD$29,24,FALSE)+($F30+($F30*0.5*($D30-1)))*(Q$3-1)</f>
        <v>9181.5</v>
      </c>
      <c r="R30" s="113">
        <f>VLOOKUP($C$28,Servant!$B$5:$AD$29,24,FALSE)+($F30+($F30*0.5*($D30-1)))*(R$3-1)</f>
        <v>10144</v>
      </c>
      <c r="S30" s="113">
        <f>VLOOKUP($C$28,Servant!$B$5:$AD$29,24,FALSE)+($F30+($F30*0.5*($D30-1)))*(S$3-1)</f>
        <v>11106.5</v>
      </c>
      <c r="T30" s="113">
        <f>VLOOKUP($C$28,Servant!$B$5:$AD$29,24,FALSE)+($F30+($F30*0.5*($D30-1)))*(T$3-1)</f>
        <v>12069</v>
      </c>
      <c r="U30" s="113">
        <f>VLOOKUP($C$28,Servant!$B$5:$AD$29,24,FALSE)+($F30+($F30*0.5*($D30-1)))*(U$3-1)</f>
        <v>13031.5</v>
      </c>
      <c r="V30" s="113">
        <f>VLOOKUP($C$28,Servant!$B$5:$AD$29,24,FALSE)+($F30+($F30*0.5*($D30-1)))*(V$3-1)</f>
        <v>13994</v>
      </c>
      <c r="W30" s="113">
        <f>VLOOKUP($C$28,Servant!$B$5:$AD$29,24,FALSE)+($F30+($F30*0.5*($D30-1)))*(W$3-1)</f>
        <v>14956.5</v>
      </c>
      <c r="X30" s="113">
        <f>VLOOKUP($C$28,Servant!$B$5:$AD$29,24,FALSE)+($F30+($F30*0.5*($D30-1)))*(X$3-1)</f>
        <v>15919</v>
      </c>
      <c r="Y30" s="113">
        <f>VLOOKUP($C$28,Servant!$B$5:$AD$29,24,FALSE)+($F30+($F30*0.5*($D30-1)))*(Y$3-1)</f>
        <v>16881.5</v>
      </c>
      <c r="Z30" s="113">
        <f>VLOOKUP($C$28,Servant!$B$5:$AD$29,24,FALSE)+($F30+($F30*0.5*($D30-1)))*(Z$3-1)</f>
        <v>17844</v>
      </c>
      <c r="AA30" s="113">
        <f>VLOOKUP($C$28,Servant!$B$5:$AD$29,24,FALSE)+($F30+($F30*0.5*($D30-1)))*(AA$3-1)</f>
        <v>18806.5</v>
      </c>
      <c r="AB30" s="113">
        <f>VLOOKUP($C$28,Servant!$B$5:$AD$29,24,FALSE)+($F30+($F30*0.5*($D30-1)))*(AB$3-1)</f>
        <v>19769</v>
      </c>
      <c r="AC30" s="113">
        <f>VLOOKUP($C$28,Servant!$B$5:$AD$29,24,FALSE)+($F30+($F30*0.5*($D30-1)))*(AC$3-1)</f>
        <v>20731.5</v>
      </c>
      <c r="AD30" s="113">
        <f>VLOOKUP($C$28,Servant!$B$5:$AD$29,24,FALSE)+($F30+($F30*0.5*($D30-1)))*(AD$3-1)</f>
        <v>21694</v>
      </c>
      <c r="AE30" s="113">
        <f>VLOOKUP($C$28,Servant!$B$5:$AD$29,24,FALSE)+($F30+($F30*0.5*($D30-1)))*(AE$3-1)</f>
        <v>22656.5</v>
      </c>
      <c r="AF30" s="113">
        <f>VLOOKUP($C$28,Servant!$B$5:$AD$29,24,FALSE)+($F30+($F30*0.5*($D30-1)))*(AF$3-1)</f>
        <v>23619</v>
      </c>
      <c r="AG30" s="113">
        <f>VLOOKUP($C$28,Servant!$B$5:$AD$29,24,FALSE)+($F30+($F30*0.5*($D30-1)))*(AG$3-1)</f>
        <v>24581.5</v>
      </c>
      <c r="AH30" s="113">
        <f>VLOOKUP($C$28,Servant!$B$5:$AD$29,24,FALSE)+($F30+($F30*0.5*($D30-1)))*(AH$3-1)</f>
        <v>25544</v>
      </c>
      <c r="AI30" s="113">
        <f>VLOOKUP($C$28,Servant!$B$5:$AD$29,24,FALSE)+($F30+($F30*0.5*($D30-1)))*(AI$3-1)</f>
        <v>26506.5</v>
      </c>
      <c r="AJ30" s="113">
        <f>VLOOKUP($C$28,Servant!$B$5:$AD$29,24,FALSE)+($F30+($F30*0.5*($D30-1)))*(AJ$3-1)</f>
        <v>27469</v>
      </c>
      <c r="AK30" s="113">
        <f>VLOOKUP($C$28,Servant!$B$5:$AD$29,24,FALSE)+($F30+($F30*0.5*($D30-1)))*(AK$3-1)</f>
        <v>28431.5</v>
      </c>
    </row>
    <row r="31" spans="2:37" x14ac:dyDescent="0.3">
      <c r="B31" s="309"/>
      <c r="C31" s="319" t="s">
        <v>284</v>
      </c>
      <c r="D31" s="140">
        <v>2</v>
      </c>
      <c r="E31" s="141">
        <f>VLOOKUP($C$31,ServantLevelUPdStatus!$B$5:$AD$29,12,FALSE)+(VLOOKUP($C$31,ServantLevelUPdStatus!$B$5:$AD$29,12,FALSE)*0.5*(Simulator_DfsPow!$D31-1))</f>
        <v>478.5</v>
      </c>
      <c r="F31" s="141">
        <f>VLOOKUP($C$31,ServantLevelUPdStatus!$B$5:$AD$29,12,FALSE)</f>
        <v>319</v>
      </c>
      <c r="H31" s="142">
        <f>VLOOKUP($C$31,Servant!$B$5:$AD$29,24,FALSE)+($F31+($F31*0.5*($D31-1)))*(H$3-1)</f>
        <v>430</v>
      </c>
      <c r="I31" s="142">
        <f>VLOOKUP($C$31,Servant!$B$5:$AD$29,24,FALSE)+($F31+($F31*0.5*($D31-1)))*(I$3-1)</f>
        <v>908.5</v>
      </c>
      <c r="J31" s="142">
        <f>VLOOKUP($C$31,Servant!$B$5:$AD$29,24,FALSE)+($F31+($F31*0.5*($D31-1)))*(J$3-1)</f>
        <v>1387</v>
      </c>
      <c r="K31" s="142">
        <f>VLOOKUP($C$31,Servant!$B$5:$AD$29,24,FALSE)+($F31+($F31*0.5*($D31-1)))*(K$3-1)</f>
        <v>1865.5</v>
      </c>
      <c r="L31" s="142">
        <f>VLOOKUP($C$31,Servant!$B$5:$AD$29,24,FALSE)+($F31+($F31*0.5*($D31-1)))*(L$3-1)</f>
        <v>2344</v>
      </c>
      <c r="M31" s="142">
        <f>VLOOKUP($C$31,Servant!$B$5:$AD$29,24,FALSE)+($F31+($F31*0.5*($D31-1)))*(M$3-1)</f>
        <v>2822.5</v>
      </c>
      <c r="N31" s="142">
        <f>VLOOKUP($C$31,Servant!$B$5:$AD$29,24,FALSE)+($F31+($F31*0.5*($D31-1)))*(N$3-1)</f>
        <v>3301</v>
      </c>
      <c r="O31" s="142">
        <f>VLOOKUP($C$31,Servant!$B$5:$AD$29,24,FALSE)+($F31+($F31*0.5*($D31-1)))*(O$3-1)</f>
        <v>3779.5</v>
      </c>
      <c r="P31" s="142">
        <f>VLOOKUP($C$31,Servant!$B$5:$AD$29,24,FALSE)+($F31+($F31*0.5*($D31-1)))*(P$3-1)</f>
        <v>4258</v>
      </c>
      <c r="Q31" s="142">
        <f>VLOOKUP($C$31,Servant!$B$5:$AD$29,24,FALSE)+($F31+($F31*0.5*($D31-1)))*(Q$3-1)</f>
        <v>4736.5</v>
      </c>
      <c r="R31" s="142">
        <f>VLOOKUP($C$31,Servant!$B$5:$AD$29,24,FALSE)+($F31+($F31*0.5*($D31-1)))*(R$3-1)</f>
        <v>5215</v>
      </c>
      <c r="S31" s="142">
        <f>VLOOKUP($C$31,Servant!$B$5:$AD$29,24,FALSE)+($F31+($F31*0.5*($D31-1)))*(S$3-1)</f>
        <v>5693.5</v>
      </c>
      <c r="T31" s="142">
        <f>VLOOKUP($C$31,Servant!$B$5:$AD$29,24,FALSE)+($F31+($F31*0.5*($D31-1)))*(T$3-1)</f>
        <v>6172</v>
      </c>
      <c r="U31" s="142">
        <f>VLOOKUP($C$31,Servant!$B$5:$AD$29,24,FALSE)+($F31+($F31*0.5*($D31-1)))*(U$3-1)</f>
        <v>6650.5</v>
      </c>
      <c r="V31" s="142">
        <f>VLOOKUP($C$31,Servant!$B$5:$AD$29,24,FALSE)+($F31+($F31*0.5*($D31-1)))*(V$3-1)</f>
        <v>7129</v>
      </c>
      <c r="W31" s="142">
        <f>VLOOKUP($C$31,Servant!$B$5:$AD$29,24,FALSE)+($F31+($F31*0.5*($D31-1)))*(W$3-1)</f>
        <v>7607.5</v>
      </c>
      <c r="X31" s="142">
        <f>VLOOKUP($C$31,Servant!$B$5:$AD$29,24,FALSE)+($F31+($F31*0.5*($D31-1)))*(X$3-1)</f>
        <v>8086</v>
      </c>
      <c r="Y31" s="142">
        <f>VLOOKUP($C$31,Servant!$B$5:$AD$29,24,FALSE)+($F31+($F31*0.5*($D31-1)))*(Y$3-1)</f>
        <v>8564.5</v>
      </c>
      <c r="Z31" s="142">
        <f>VLOOKUP($C$31,Servant!$B$5:$AD$29,24,FALSE)+($F31+($F31*0.5*($D31-1)))*(Z$3-1)</f>
        <v>9043</v>
      </c>
      <c r="AA31" s="142">
        <f>VLOOKUP($C$31,Servant!$B$5:$AD$29,24,FALSE)+($F31+($F31*0.5*($D31-1)))*(AA$3-1)</f>
        <v>9521.5</v>
      </c>
      <c r="AB31" s="142">
        <f>VLOOKUP($C$31,Servant!$B$5:$AD$29,24,FALSE)+($F31+($F31*0.5*($D31-1)))*(AB$3-1)</f>
        <v>10000</v>
      </c>
      <c r="AC31" s="142">
        <f>VLOOKUP($C$31,Servant!$B$5:$AD$29,24,FALSE)+($F31+($F31*0.5*($D31-1)))*(AC$3-1)</f>
        <v>10478.5</v>
      </c>
      <c r="AD31" s="142">
        <f>VLOOKUP($C$31,Servant!$B$5:$AD$29,24,FALSE)+($F31+($F31*0.5*($D31-1)))*(AD$3-1)</f>
        <v>10957</v>
      </c>
      <c r="AE31" s="142">
        <f>VLOOKUP($C$31,Servant!$B$5:$AD$29,24,FALSE)+($F31+($F31*0.5*($D31-1)))*(AE$3-1)</f>
        <v>11435.5</v>
      </c>
      <c r="AF31" s="142">
        <f>VLOOKUP($C$31,Servant!$B$5:$AD$29,24,FALSE)+($F31+($F31*0.5*($D31-1)))*(AF$3-1)</f>
        <v>11914</v>
      </c>
      <c r="AG31" s="142">
        <f>VLOOKUP($C$31,Servant!$B$5:$AD$29,24,FALSE)+($F31+($F31*0.5*($D31-1)))*(AG$3-1)</f>
        <v>12392.5</v>
      </c>
      <c r="AH31" s="142">
        <f>VLOOKUP($C$31,Servant!$B$5:$AD$29,24,FALSE)+($F31+($F31*0.5*($D31-1)))*(AH$3-1)</f>
        <v>12871</v>
      </c>
      <c r="AI31" s="142">
        <f>VLOOKUP($C$31,Servant!$B$5:$AD$29,24,FALSE)+($F31+($F31*0.5*($D31-1)))*(AI$3-1)</f>
        <v>13349.5</v>
      </c>
      <c r="AJ31" s="142">
        <f>VLOOKUP($C$31,Servant!$B$5:$AD$29,24,FALSE)+($F31+($F31*0.5*($D31-1)))*(AJ$3-1)</f>
        <v>13828</v>
      </c>
      <c r="AK31" s="142">
        <f>VLOOKUP($C$31,Servant!$B$5:$AD$29,24,FALSE)+($F31+($F31*0.5*($D31-1)))*(AK$3-1)</f>
        <v>14306.5</v>
      </c>
    </row>
    <row r="32" spans="2:37" x14ac:dyDescent="0.3">
      <c r="B32" s="309"/>
      <c r="C32" s="319"/>
      <c r="D32" s="140">
        <v>3</v>
      </c>
      <c r="E32" s="141">
        <f>VLOOKUP($C$31,ServantLevelUPdStatus!$B$5:$AD$29,12,FALSE)+(VLOOKUP($C$31,ServantLevelUPdStatus!$B$5:$AD$29,12,FALSE)*0.5*(Simulator_DfsPow!$D32-1))</f>
        <v>638</v>
      </c>
      <c r="F32" s="143">
        <f>F31</f>
        <v>319</v>
      </c>
      <c r="H32" s="142">
        <f>VLOOKUP($C$31,Servant!$B$5:$AD$29,24,FALSE)+($F32+($F32*0.5*($D32-1)))*(H$3-1)</f>
        <v>430</v>
      </c>
      <c r="I32" s="142">
        <f>VLOOKUP($C$31,Servant!$B$5:$AD$29,24,FALSE)+($F32+($F32*0.5*($D32-1)))*(I$3-1)</f>
        <v>1068</v>
      </c>
      <c r="J32" s="142">
        <f>VLOOKUP($C$31,Servant!$B$5:$AD$29,24,FALSE)+($F32+($F32*0.5*($D32-1)))*(J$3-1)</f>
        <v>1706</v>
      </c>
      <c r="K32" s="142">
        <f>VLOOKUP($C$31,Servant!$B$5:$AD$29,24,FALSE)+($F32+($F32*0.5*($D32-1)))*(K$3-1)</f>
        <v>2344</v>
      </c>
      <c r="L32" s="142">
        <f>VLOOKUP($C$31,Servant!$B$5:$AD$29,24,FALSE)+($F32+($F32*0.5*($D32-1)))*(L$3-1)</f>
        <v>2982</v>
      </c>
      <c r="M32" s="142">
        <f>VLOOKUP($C$31,Servant!$B$5:$AD$29,24,FALSE)+($F32+($F32*0.5*($D32-1)))*(M$3-1)</f>
        <v>3620</v>
      </c>
      <c r="N32" s="142">
        <f>VLOOKUP($C$31,Servant!$B$5:$AD$29,24,FALSE)+($F32+($F32*0.5*($D32-1)))*(N$3-1)</f>
        <v>4258</v>
      </c>
      <c r="O32" s="142">
        <f>VLOOKUP($C$31,Servant!$B$5:$AD$29,24,FALSE)+($F32+($F32*0.5*($D32-1)))*(O$3-1)</f>
        <v>4896</v>
      </c>
      <c r="P32" s="142">
        <f>VLOOKUP($C$31,Servant!$B$5:$AD$29,24,FALSE)+($F32+($F32*0.5*($D32-1)))*(P$3-1)</f>
        <v>5534</v>
      </c>
      <c r="Q32" s="142">
        <f>VLOOKUP($C$31,Servant!$B$5:$AD$29,24,FALSE)+($F32+($F32*0.5*($D32-1)))*(Q$3-1)</f>
        <v>6172</v>
      </c>
      <c r="R32" s="142">
        <f>VLOOKUP($C$31,Servant!$B$5:$AD$29,24,FALSE)+($F32+($F32*0.5*($D32-1)))*(R$3-1)</f>
        <v>6810</v>
      </c>
      <c r="S32" s="142">
        <f>VLOOKUP($C$31,Servant!$B$5:$AD$29,24,FALSE)+($F32+($F32*0.5*($D32-1)))*(S$3-1)</f>
        <v>7448</v>
      </c>
      <c r="T32" s="142">
        <f>VLOOKUP($C$31,Servant!$B$5:$AD$29,24,FALSE)+($F32+($F32*0.5*($D32-1)))*(T$3-1)</f>
        <v>8086</v>
      </c>
      <c r="U32" s="142">
        <f>VLOOKUP($C$31,Servant!$B$5:$AD$29,24,FALSE)+($F32+($F32*0.5*($D32-1)))*(U$3-1)</f>
        <v>8724</v>
      </c>
      <c r="V32" s="142">
        <f>VLOOKUP($C$31,Servant!$B$5:$AD$29,24,FALSE)+($F32+($F32*0.5*($D32-1)))*(V$3-1)</f>
        <v>9362</v>
      </c>
      <c r="W32" s="142">
        <f>VLOOKUP($C$31,Servant!$B$5:$AD$29,24,FALSE)+($F32+($F32*0.5*($D32-1)))*(W$3-1)</f>
        <v>10000</v>
      </c>
      <c r="X32" s="142">
        <f>VLOOKUP($C$31,Servant!$B$5:$AD$29,24,FALSE)+($F32+($F32*0.5*($D32-1)))*(X$3-1)</f>
        <v>10638</v>
      </c>
      <c r="Y32" s="142">
        <f>VLOOKUP($C$31,Servant!$B$5:$AD$29,24,FALSE)+($F32+($F32*0.5*($D32-1)))*(Y$3-1)</f>
        <v>11276</v>
      </c>
      <c r="Z32" s="142">
        <f>VLOOKUP($C$31,Servant!$B$5:$AD$29,24,FALSE)+($F32+($F32*0.5*($D32-1)))*(Z$3-1)</f>
        <v>11914</v>
      </c>
      <c r="AA32" s="142">
        <f>VLOOKUP($C$31,Servant!$B$5:$AD$29,24,FALSE)+($F32+($F32*0.5*($D32-1)))*(AA$3-1)</f>
        <v>12552</v>
      </c>
      <c r="AB32" s="142">
        <f>VLOOKUP($C$31,Servant!$B$5:$AD$29,24,FALSE)+($F32+($F32*0.5*($D32-1)))*(AB$3-1)</f>
        <v>13190</v>
      </c>
      <c r="AC32" s="142">
        <f>VLOOKUP($C$31,Servant!$B$5:$AD$29,24,FALSE)+($F32+($F32*0.5*($D32-1)))*(AC$3-1)</f>
        <v>13828</v>
      </c>
      <c r="AD32" s="142">
        <f>VLOOKUP($C$31,Servant!$B$5:$AD$29,24,FALSE)+($F32+($F32*0.5*($D32-1)))*(AD$3-1)</f>
        <v>14466</v>
      </c>
      <c r="AE32" s="142">
        <f>VLOOKUP($C$31,Servant!$B$5:$AD$29,24,FALSE)+($F32+($F32*0.5*($D32-1)))*(AE$3-1)</f>
        <v>15104</v>
      </c>
      <c r="AF32" s="142">
        <f>VLOOKUP($C$31,Servant!$B$5:$AD$29,24,FALSE)+($F32+($F32*0.5*($D32-1)))*(AF$3-1)</f>
        <v>15742</v>
      </c>
      <c r="AG32" s="142">
        <f>VLOOKUP($C$31,Servant!$B$5:$AD$29,24,FALSE)+($F32+($F32*0.5*($D32-1)))*(AG$3-1)</f>
        <v>16380</v>
      </c>
      <c r="AH32" s="142">
        <f>VLOOKUP($C$31,Servant!$B$5:$AD$29,24,FALSE)+($F32+($F32*0.5*($D32-1)))*(AH$3-1)</f>
        <v>17018</v>
      </c>
      <c r="AI32" s="142">
        <f>VLOOKUP($C$31,Servant!$B$5:$AD$29,24,FALSE)+($F32+($F32*0.5*($D32-1)))*(AI$3-1)</f>
        <v>17656</v>
      </c>
      <c r="AJ32" s="142">
        <f>VLOOKUP($C$31,Servant!$B$5:$AD$29,24,FALSE)+($F32+($F32*0.5*($D32-1)))*(AJ$3-1)</f>
        <v>18294</v>
      </c>
      <c r="AK32" s="142">
        <f>VLOOKUP($C$31,Servant!$B$5:$AD$29,24,FALSE)+($F32+($F32*0.5*($D32-1)))*(AK$3-1)</f>
        <v>18932</v>
      </c>
    </row>
    <row r="33" spans="2:37" x14ac:dyDescent="0.3">
      <c r="B33" s="309"/>
      <c r="C33" s="319"/>
      <c r="D33" s="140">
        <v>4</v>
      </c>
      <c r="E33" s="141">
        <f>VLOOKUP($C$31,ServantLevelUPdStatus!$B$5:$AD$29,12,FALSE)+(VLOOKUP($C$31,ServantLevelUPdStatus!$B$5:$AD$29,12,FALSE)*0.5*(Simulator_DfsPow!$D33-1))</f>
        <v>797.5</v>
      </c>
      <c r="F33" s="143">
        <f>F32</f>
        <v>319</v>
      </c>
      <c r="H33" s="142">
        <f>VLOOKUP($C$31,Servant!$B$5:$AD$29,24,FALSE)+($F33+($F33*0.5*($D33-1)))*(H$3-1)</f>
        <v>430</v>
      </c>
      <c r="I33" s="142">
        <f>VLOOKUP($C$31,Servant!$B$5:$AD$29,24,FALSE)+($F33+($F33*0.5*($D33-1)))*(I$3-1)</f>
        <v>1227.5</v>
      </c>
      <c r="J33" s="142">
        <f>VLOOKUP($C$31,Servant!$B$5:$AD$29,24,FALSE)+($F33+($F33*0.5*($D33-1)))*(J$3-1)</f>
        <v>2025</v>
      </c>
      <c r="K33" s="142">
        <f>VLOOKUP($C$31,Servant!$B$5:$AD$29,24,FALSE)+($F33+($F33*0.5*($D33-1)))*(K$3-1)</f>
        <v>2822.5</v>
      </c>
      <c r="L33" s="142">
        <f>VLOOKUP($C$31,Servant!$B$5:$AD$29,24,FALSE)+($F33+($F33*0.5*($D33-1)))*(L$3-1)</f>
        <v>3620</v>
      </c>
      <c r="M33" s="142">
        <f>VLOOKUP($C$31,Servant!$B$5:$AD$29,24,FALSE)+($F33+($F33*0.5*($D33-1)))*(M$3-1)</f>
        <v>4417.5</v>
      </c>
      <c r="N33" s="142">
        <f>VLOOKUP($C$31,Servant!$B$5:$AD$29,24,FALSE)+($F33+($F33*0.5*($D33-1)))*(N$3-1)</f>
        <v>5215</v>
      </c>
      <c r="O33" s="142">
        <f>VLOOKUP($C$31,Servant!$B$5:$AD$29,24,FALSE)+($F33+($F33*0.5*($D33-1)))*(O$3-1)</f>
        <v>6012.5</v>
      </c>
      <c r="P33" s="142">
        <f>VLOOKUP($C$31,Servant!$B$5:$AD$29,24,FALSE)+($F33+($F33*0.5*($D33-1)))*(P$3-1)</f>
        <v>6810</v>
      </c>
      <c r="Q33" s="142">
        <f>VLOOKUP($C$31,Servant!$B$5:$AD$29,24,FALSE)+($F33+($F33*0.5*($D33-1)))*(Q$3-1)</f>
        <v>7607.5</v>
      </c>
      <c r="R33" s="142">
        <f>VLOOKUP($C$31,Servant!$B$5:$AD$29,24,FALSE)+($F33+($F33*0.5*($D33-1)))*(R$3-1)</f>
        <v>8405</v>
      </c>
      <c r="S33" s="142">
        <f>VLOOKUP($C$31,Servant!$B$5:$AD$29,24,FALSE)+($F33+($F33*0.5*($D33-1)))*(S$3-1)</f>
        <v>9202.5</v>
      </c>
      <c r="T33" s="142">
        <f>VLOOKUP($C$31,Servant!$B$5:$AD$29,24,FALSE)+($F33+($F33*0.5*($D33-1)))*(T$3-1)</f>
        <v>10000</v>
      </c>
      <c r="U33" s="142">
        <f>VLOOKUP($C$31,Servant!$B$5:$AD$29,24,FALSE)+($F33+($F33*0.5*($D33-1)))*(U$3-1)</f>
        <v>10797.5</v>
      </c>
      <c r="V33" s="142">
        <f>VLOOKUP($C$31,Servant!$B$5:$AD$29,24,FALSE)+($F33+($F33*0.5*($D33-1)))*(V$3-1)</f>
        <v>11595</v>
      </c>
      <c r="W33" s="142">
        <f>VLOOKUP($C$31,Servant!$B$5:$AD$29,24,FALSE)+($F33+($F33*0.5*($D33-1)))*(W$3-1)</f>
        <v>12392.5</v>
      </c>
      <c r="X33" s="142">
        <f>VLOOKUP($C$31,Servant!$B$5:$AD$29,24,FALSE)+($F33+($F33*0.5*($D33-1)))*(X$3-1)</f>
        <v>13190</v>
      </c>
      <c r="Y33" s="142">
        <f>VLOOKUP($C$31,Servant!$B$5:$AD$29,24,FALSE)+($F33+($F33*0.5*($D33-1)))*(Y$3-1)</f>
        <v>13987.5</v>
      </c>
      <c r="Z33" s="142">
        <f>VLOOKUP($C$31,Servant!$B$5:$AD$29,24,FALSE)+($F33+($F33*0.5*($D33-1)))*(Z$3-1)</f>
        <v>14785</v>
      </c>
      <c r="AA33" s="142">
        <f>VLOOKUP($C$31,Servant!$B$5:$AD$29,24,FALSE)+($F33+($F33*0.5*($D33-1)))*(AA$3-1)</f>
        <v>15582.5</v>
      </c>
      <c r="AB33" s="142">
        <f>VLOOKUP($C$31,Servant!$B$5:$AD$29,24,FALSE)+($F33+($F33*0.5*($D33-1)))*(AB$3-1)</f>
        <v>16380</v>
      </c>
      <c r="AC33" s="142">
        <f>VLOOKUP($C$31,Servant!$B$5:$AD$29,24,FALSE)+($F33+($F33*0.5*($D33-1)))*(AC$3-1)</f>
        <v>17177.5</v>
      </c>
      <c r="AD33" s="142">
        <f>VLOOKUP($C$31,Servant!$B$5:$AD$29,24,FALSE)+($F33+($F33*0.5*($D33-1)))*(AD$3-1)</f>
        <v>17975</v>
      </c>
      <c r="AE33" s="142">
        <f>VLOOKUP($C$31,Servant!$B$5:$AD$29,24,FALSE)+($F33+($F33*0.5*($D33-1)))*(AE$3-1)</f>
        <v>18772.5</v>
      </c>
      <c r="AF33" s="142">
        <f>VLOOKUP($C$31,Servant!$B$5:$AD$29,24,FALSE)+($F33+($F33*0.5*($D33-1)))*(AF$3-1)</f>
        <v>19570</v>
      </c>
      <c r="AG33" s="142">
        <f>VLOOKUP($C$31,Servant!$B$5:$AD$29,24,FALSE)+($F33+($F33*0.5*($D33-1)))*(AG$3-1)</f>
        <v>20367.5</v>
      </c>
      <c r="AH33" s="142">
        <f>VLOOKUP($C$31,Servant!$B$5:$AD$29,24,FALSE)+($F33+($F33*0.5*($D33-1)))*(AH$3-1)</f>
        <v>21165</v>
      </c>
      <c r="AI33" s="142">
        <f>VLOOKUP($C$31,Servant!$B$5:$AD$29,24,FALSE)+($F33+($F33*0.5*($D33-1)))*(AI$3-1)</f>
        <v>21962.5</v>
      </c>
      <c r="AJ33" s="142">
        <f>VLOOKUP($C$31,Servant!$B$5:$AD$29,24,FALSE)+($F33+($F33*0.5*($D33-1)))*(AJ$3-1)</f>
        <v>22760</v>
      </c>
      <c r="AK33" s="142">
        <f>VLOOKUP($C$31,Servant!$B$5:$AD$29,24,FALSE)+($F33+($F33*0.5*($D33-1)))*(AK$3-1)</f>
        <v>23557.5</v>
      </c>
    </row>
    <row r="34" spans="2:37" x14ac:dyDescent="0.3">
      <c r="B34" s="309"/>
      <c r="C34" s="318" t="s">
        <v>285</v>
      </c>
      <c r="D34" s="127">
        <v>2</v>
      </c>
      <c r="E34" s="120">
        <f>VLOOKUP($C$34,ServantLevelUPdStatus!$B$5:$AD$29,12,FALSE)+(VLOOKUP($C$34,ServantLevelUPdStatus!$B$5:$AD$29,12,FALSE)*0.5*(Simulator_DfsPow!$D34-1))</f>
        <v>571.5</v>
      </c>
      <c r="F34" s="120">
        <f>VLOOKUP($C$34,ServantLevelUPdStatus!$B$5:$AD$29,12,FALSE)</f>
        <v>381</v>
      </c>
      <c r="H34" s="113">
        <f>VLOOKUP($C$34,Servant!$B$5:$AD$29,24,FALSE)+($F34+($F34*0.5*($D34-1)))*(H$3-1)</f>
        <v>453</v>
      </c>
      <c r="I34" s="113">
        <f>VLOOKUP($C$34,Servant!$B$5:$AD$29,24,FALSE)+($F34+($F34*0.5*($D34-1)))*(I$3-1)</f>
        <v>1024.5</v>
      </c>
      <c r="J34" s="113">
        <f>VLOOKUP($C$34,Servant!$B$5:$AD$29,24,FALSE)+($F34+($F34*0.5*($D34-1)))*(J$3-1)</f>
        <v>1596</v>
      </c>
      <c r="K34" s="113">
        <f>VLOOKUP($C$34,Servant!$B$5:$AD$29,24,FALSE)+($F34+($F34*0.5*($D34-1)))*(K$3-1)</f>
        <v>2167.5</v>
      </c>
      <c r="L34" s="113">
        <f>VLOOKUP($C$34,Servant!$B$5:$AD$29,24,FALSE)+($F34+($F34*0.5*($D34-1)))*(L$3-1)</f>
        <v>2739</v>
      </c>
      <c r="M34" s="113">
        <f>VLOOKUP($C$34,Servant!$B$5:$AD$29,24,FALSE)+($F34+($F34*0.5*($D34-1)))*(M$3-1)</f>
        <v>3310.5</v>
      </c>
      <c r="N34" s="113">
        <f>VLOOKUP($C$34,Servant!$B$5:$AD$29,24,FALSE)+($F34+($F34*0.5*($D34-1)))*(N$3-1)</f>
        <v>3882</v>
      </c>
      <c r="O34" s="113">
        <f>VLOOKUP($C$34,Servant!$B$5:$AD$29,24,FALSE)+($F34+($F34*0.5*($D34-1)))*(O$3-1)</f>
        <v>4453.5</v>
      </c>
      <c r="P34" s="113">
        <f>VLOOKUP($C$34,Servant!$B$5:$AD$29,24,FALSE)+($F34+($F34*0.5*($D34-1)))*(P$3-1)</f>
        <v>5025</v>
      </c>
      <c r="Q34" s="113">
        <f>VLOOKUP($C$34,Servant!$B$5:$AD$29,24,FALSE)+($F34+($F34*0.5*($D34-1)))*(Q$3-1)</f>
        <v>5596.5</v>
      </c>
      <c r="R34" s="113">
        <f>VLOOKUP($C$34,Servant!$B$5:$AD$29,24,FALSE)+($F34+($F34*0.5*($D34-1)))*(R$3-1)</f>
        <v>6168</v>
      </c>
      <c r="S34" s="113">
        <f>VLOOKUP($C$34,Servant!$B$5:$AD$29,24,FALSE)+($F34+($F34*0.5*($D34-1)))*(S$3-1)</f>
        <v>6739.5</v>
      </c>
      <c r="T34" s="113">
        <f>VLOOKUP($C$34,Servant!$B$5:$AD$29,24,FALSE)+($F34+($F34*0.5*($D34-1)))*(T$3-1)</f>
        <v>7311</v>
      </c>
      <c r="U34" s="113">
        <f>VLOOKUP($C$34,Servant!$B$5:$AD$29,24,FALSE)+($F34+($F34*0.5*($D34-1)))*(U$3-1)</f>
        <v>7882.5</v>
      </c>
      <c r="V34" s="113">
        <f>VLOOKUP($C$34,Servant!$B$5:$AD$29,24,FALSE)+($F34+($F34*0.5*($D34-1)))*(V$3-1)</f>
        <v>8454</v>
      </c>
      <c r="W34" s="113">
        <f>VLOOKUP($C$34,Servant!$B$5:$AD$29,24,FALSE)+($F34+($F34*0.5*($D34-1)))*(W$3-1)</f>
        <v>9025.5</v>
      </c>
      <c r="X34" s="113">
        <f>VLOOKUP($C$34,Servant!$B$5:$AD$29,24,FALSE)+($F34+($F34*0.5*($D34-1)))*(X$3-1)</f>
        <v>9597</v>
      </c>
      <c r="Y34" s="113">
        <f>VLOOKUP($C$34,Servant!$B$5:$AD$29,24,FALSE)+($F34+($F34*0.5*($D34-1)))*(Y$3-1)</f>
        <v>10168.5</v>
      </c>
      <c r="Z34" s="113">
        <f>VLOOKUP($C$34,Servant!$B$5:$AD$29,24,FALSE)+($F34+($F34*0.5*($D34-1)))*(Z$3-1)</f>
        <v>10740</v>
      </c>
      <c r="AA34" s="113">
        <f>VLOOKUP($C$34,Servant!$B$5:$AD$29,24,FALSE)+($F34+($F34*0.5*($D34-1)))*(AA$3-1)</f>
        <v>11311.5</v>
      </c>
      <c r="AB34" s="113">
        <f>VLOOKUP($C$34,Servant!$B$5:$AD$29,24,FALSE)+($F34+($F34*0.5*($D34-1)))*(AB$3-1)</f>
        <v>11883</v>
      </c>
      <c r="AC34" s="113">
        <f>VLOOKUP($C$34,Servant!$B$5:$AD$29,24,FALSE)+($F34+($F34*0.5*($D34-1)))*(AC$3-1)</f>
        <v>12454.5</v>
      </c>
      <c r="AD34" s="113">
        <f>VLOOKUP($C$34,Servant!$B$5:$AD$29,24,FALSE)+($F34+($F34*0.5*($D34-1)))*(AD$3-1)</f>
        <v>13026</v>
      </c>
      <c r="AE34" s="113">
        <f>VLOOKUP($C$34,Servant!$B$5:$AD$29,24,FALSE)+($F34+($F34*0.5*($D34-1)))*(AE$3-1)</f>
        <v>13597.5</v>
      </c>
      <c r="AF34" s="113">
        <f>VLOOKUP($C$34,Servant!$B$5:$AD$29,24,FALSE)+($F34+($F34*0.5*($D34-1)))*(AF$3-1)</f>
        <v>14169</v>
      </c>
      <c r="AG34" s="113">
        <f>VLOOKUP($C$34,Servant!$B$5:$AD$29,24,FALSE)+($F34+($F34*0.5*($D34-1)))*(AG$3-1)</f>
        <v>14740.5</v>
      </c>
      <c r="AH34" s="113">
        <f>VLOOKUP($C$34,Servant!$B$5:$AD$29,24,FALSE)+($F34+($F34*0.5*($D34-1)))*(AH$3-1)</f>
        <v>15312</v>
      </c>
      <c r="AI34" s="113">
        <f>VLOOKUP($C$34,Servant!$B$5:$AD$29,24,FALSE)+($F34+($F34*0.5*($D34-1)))*(AI$3-1)</f>
        <v>15883.5</v>
      </c>
      <c r="AJ34" s="113">
        <f>VLOOKUP($C$34,Servant!$B$5:$AD$29,24,FALSE)+($F34+($F34*0.5*($D34-1)))*(AJ$3-1)</f>
        <v>16455</v>
      </c>
      <c r="AK34" s="113">
        <f>VLOOKUP($C$34,Servant!$B$5:$AD$29,24,FALSE)+($F34+($F34*0.5*($D34-1)))*(AK$3-1)</f>
        <v>17026.5</v>
      </c>
    </row>
    <row r="35" spans="2:37" x14ac:dyDescent="0.3">
      <c r="B35" s="309"/>
      <c r="C35" s="318"/>
      <c r="D35" s="127">
        <v>3</v>
      </c>
      <c r="E35" s="120">
        <f>VLOOKUP($C$34,ServantLevelUPdStatus!$B$5:$AD$29,12,FALSE)+(VLOOKUP($C$34,ServantLevelUPdStatus!$B$5:$AD$29,12,FALSE)*0.5*(Simulator_DfsPow!$D35-1))</f>
        <v>762</v>
      </c>
      <c r="F35" s="119">
        <f>F34</f>
        <v>381</v>
      </c>
      <c r="H35" s="113">
        <f>VLOOKUP($C$34,Servant!$B$5:$AD$29,24,FALSE)+($F35+($F35*0.5*($D35-1)))*(H$3-1)</f>
        <v>453</v>
      </c>
      <c r="I35" s="113">
        <f>VLOOKUP($C$34,Servant!$B$5:$AD$29,24,FALSE)+($F35+($F35*0.5*($D35-1)))*(I$3-1)</f>
        <v>1215</v>
      </c>
      <c r="J35" s="113">
        <f>VLOOKUP($C$34,Servant!$B$5:$AD$29,24,FALSE)+($F35+($F35*0.5*($D35-1)))*(J$3-1)</f>
        <v>1977</v>
      </c>
      <c r="K35" s="113">
        <f>VLOOKUP($C$34,Servant!$B$5:$AD$29,24,FALSE)+($F35+($F35*0.5*($D35-1)))*(K$3-1)</f>
        <v>2739</v>
      </c>
      <c r="L35" s="113">
        <f>VLOOKUP($C$34,Servant!$B$5:$AD$29,24,FALSE)+($F35+($F35*0.5*($D35-1)))*(L$3-1)</f>
        <v>3501</v>
      </c>
      <c r="M35" s="113">
        <f>VLOOKUP($C$34,Servant!$B$5:$AD$29,24,FALSE)+($F35+($F35*0.5*($D35-1)))*(M$3-1)</f>
        <v>4263</v>
      </c>
      <c r="N35" s="113">
        <f>VLOOKUP($C$34,Servant!$B$5:$AD$29,24,FALSE)+($F35+($F35*0.5*($D35-1)))*(N$3-1)</f>
        <v>5025</v>
      </c>
      <c r="O35" s="113">
        <f>VLOOKUP($C$34,Servant!$B$5:$AD$29,24,FALSE)+($F35+($F35*0.5*($D35-1)))*(O$3-1)</f>
        <v>5787</v>
      </c>
      <c r="P35" s="113">
        <f>VLOOKUP($C$34,Servant!$B$5:$AD$29,24,FALSE)+($F35+($F35*0.5*($D35-1)))*(P$3-1)</f>
        <v>6549</v>
      </c>
      <c r="Q35" s="113">
        <f>VLOOKUP($C$34,Servant!$B$5:$AD$29,24,FALSE)+($F35+($F35*0.5*($D35-1)))*(Q$3-1)</f>
        <v>7311</v>
      </c>
      <c r="R35" s="113">
        <f>VLOOKUP($C$34,Servant!$B$5:$AD$29,24,FALSE)+($F35+($F35*0.5*($D35-1)))*(R$3-1)</f>
        <v>8073</v>
      </c>
      <c r="S35" s="113">
        <f>VLOOKUP($C$34,Servant!$B$5:$AD$29,24,FALSE)+($F35+($F35*0.5*($D35-1)))*(S$3-1)</f>
        <v>8835</v>
      </c>
      <c r="T35" s="113">
        <f>VLOOKUP($C$34,Servant!$B$5:$AD$29,24,FALSE)+($F35+($F35*0.5*($D35-1)))*(T$3-1)</f>
        <v>9597</v>
      </c>
      <c r="U35" s="113">
        <f>VLOOKUP($C$34,Servant!$B$5:$AD$29,24,FALSE)+($F35+($F35*0.5*($D35-1)))*(U$3-1)</f>
        <v>10359</v>
      </c>
      <c r="V35" s="113">
        <f>VLOOKUP($C$34,Servant!$B$5:$AD$29,24,FALSE)+($F35+($F35*0.5*($D35-1)))*(V$3-1)</f>
        <v>11121</v>
      </c>
      <c r="W35" s="113">
        <f>VLOOKUP($C$34,Servant!$B$5:$AD$29,24,FALSE)+($F35+($F35*0.5*($D35-1)))*(W$3-1)</f>
        <v>11883</v>
      </c>
      <c r="X35" s="113">
        <f>VLOOKUP($C$34,Servant!$B$5:$AD$29,24,FALSE)+($F35+($F35*0.5*($D35-1)))*(X$3-1)</f>
        <v>12645</v>
      </c>
      <c r="Y35" s="113">
        <f>VLOOKUP($C$34,Servant!$B$5:$AD$29,24,FALSE)+($F35+($F35*0.5*($D35-1)))*(Y$3-1)</f>
        <v>13407</v>
      </c>
      <c r="Z35" s="113">
        <f>VLOOKUP($C$34,Servant!$B$5:$AD$29,24,FALSE)+($F35+($F35*0.5*($D35-1)))*(Z$3-1)</f>
        <v>14169</v>
      </c>
      <c r="AA35" s="113">
        <f>VLOOKUP($C$34,Servant!$B$5:$AD$29,24,FALSE)+($F35+($F35*0.5*($D35-1)))*(AA$3-1)</f>
        <v>14931</v>
      </c>
      <c r="AB35" s="113">
        <f>VLOOKUP($C$34,Servant!$B$5:$AD$29,24,FALSE)+($F35+($F35*0.5*($D35-1)))*(AB$3-1)</f>
        <v>15693</v>
      </c>
      <c r="AC35" s="113">
        <f>VLOOKUP($C$34,Servant!$B$5:$AD$29,24,FALSE)+($F35+($F35*0.5*($D35-1)))*(AC$3-1)</f>
        <v>16455</v>
      </c>
      <c r="AD35" s="113">
        <f>VLOOKUP($C$34,Servant!$B$5:$AD$29,24,FALSE)+($F35+($F35*0.5*($D35-1)))*(AD$3-1)</f>
        <v>17217</v>
      </c>
      <c r="AE35" s="113">
        <f>VLOOKUP($C$34,Servant!$B$5:$AD$29,24,FALSE)+($F35+($F35*0.5*($D35-1)))*(AE$3-1)</f>
        <v>17979</v>
      </c>
      <c r="AF35" s="113">
        <f>VLOOKUP($C$34,Servant!$B$5:$AD$29,24,FALSE)+($F35+($F35*0.5*($D35-1)))*(AF$3-1)</f>
        <v>18741</v>
      </c>
      <c r="AG35" s="113">
        <f>VLOOKUP($C$34,Servant!$B$5:$AD$29,24,FALSE)+($F35+($F35*0.5*($D35-1)))*(AG$3-1)</f>
        <v>19503</v>
      </c>
      <c r="AH35" s="113">
        <f>VLOOKUP($C$34,Servant!$B$5:$AD$29,24,FALSE)+($F35+($F35*0.5*($D35-1)))*(AH$3-1)</f>
        <v>20265</v>
      </c>
      <c r="AI35" s="113">
        <f>VLOOKUP($C$34,Servant!$B$5:$AD$29,24,FALSE)+($F35+($F35*0.5*($D35-1)))*(AI$3-1)</f>
        <v>21027</v>
      </c>
      <c r="AJ35" s="113">
        <f>VLOOKUP($C$34,Servant!$B$5:$AD$29,24,FALSE)+($F35+($F35*0.5*($D35-1)))*(AJ$3-1)</f>
        <v>21789</v>
      </c>
      <c r="AK35" s="113">
        <f>VLOOKUP($C$34,Servant!$B$5:$AD$29,24,FALSE)+($F35+($F35*0.5*($D35-1)))*(AK$3-1)</f>
        <v>22551</v>
      </c>
    </row>
    <row r="36" spans="2:37" x14ac:dyDescent="0.3">
      <c r="B36" s="309"/>
      <c r="C36" s="318"/>
      <c r="D36" s="127">
        <v>4</v>
      </c>
      <c r="E36" s="120">
        <f>VLOOKUP($C$34,ServantLevelUPdStatus!$B$5:$AD$29,12,FALSE)+(VLOOKUP($C$34,ServantLevelUPdStatus!$B$5:$AD$29,12,FALSE)*0.5*(Simulator_DfsPow!$D36-1))</f>
        <v>952.5</v>
      </c>
      <c r="F36" s="119">
        <f>F35</f>
        <v>381</v>
      </c>
      <c r="H36" s="113">
        <f>VLOOKUP($C$34,Servant!$B$5:$AD$29,24,FALSE)+($F36+($F36*0.5*($D36-1)))*(H$3-1)</f>
        <v>453</v>
      </c>
      <c r="I36" s="113">
        <f>VLOOKUP($C$34,Servant!$B$5:$AD$29,24,FALSE)+($F36+($F36*0.5*($D36-1)))*(I$3-1)</f>
        <v>1405.5</v>
      </c>
      <c r="J36" s="113">
        <f>VLOOKUP($C$34,Servant!$B$5:$AD$29,24,FALSE)+($F36+($F36*0.5*($D36-1)))*(J$3-1)</f>
        <v>2358</v>
      </c>
      <c r="K36" s="113">
        <f>VLOOKUP($C$34,Servant!$B$5:$AD$29,24,FALSE)+($F36+($F36*0.5*($D36-1)))*(K$3-1)</f>
        <v>3310.5</v>
      </c>
      <c r="L36" s="113">
        <f>VLOOKUP($C$34,Servant!$B$5:$AD$29,24,FALSE)+($F36+($F36*0.5*($D36-1)))*(L$3-1)</f>
        <v>4263</v>
      </c>
      <c r="M36" s="113">
        <f>VLOOKUP($C$34,Servant!$B$5:$AD$29,24,FALSE)+($F36+($F36*0.5*($D36-1)))*(M$3-1)</f>
        <v>5215.5</v>
      </c>
      <c r="N36" s="113">
        <f>VLOOKUP($C$34,Servant!$B$5:$AD$29,24,FALSE)+($F36+($F36*0.5*($D36-1)))*(N$3-1)</f>
        <v>6168</v>
      </c>
      <c r="O36" s="113">
        <f>VLOOKUP($C$34,Servant!$B$5:$AD$29,24,FALSE)+($F36+($F36*0.5*($D36-1)))*(O$3-1)</f>
        <v>7120.5</v>
      </c>
      <c r="P36" s="113">
        <f>VLOOKUP($C$34,Servant!$B$5:$AD$29,24,FALSE)+($F36+($F36*0.5*($D36-1)))*(P$3-1)</f>
        <v>8073</v>
      </c>
      <c r="Q36" s="113">
        <f>VLOOKUP($C$34,Servant!$B$5:$AD$29,24,FALSE)+($F36+($F36*0.5*($D36-1)))*(Q$3-1)</f>
        <v>9025.5</v>
      </c>
      <c r="R36" s="113">
        <f>VLOOKUP($C$34,Servant!$B$5:$AD$29,24,FALSE)+($F36+($F36*0.5*($D36-1)))*(R$3-1)</f>
        <v>9978</v>
      </c>
      <c r="S36" s="113">
        <f>VLOOKUP($C$34,Servant!$B$5:$AD$29,24,FALSE)+($F36+($F36*0.5*($D36-1)))*(S$3-1)</f>
        <v>10930.5</v>
      </c>
      <c r="T36" s="113">
        <f>VLOOKUP($C$34,Servant!$B$5:$AD$29,24,FALSE)+($F36+($F36*0.5*($D36-1)))*(T$3-1)</f>
        <v>11883</v>
      </c>
      <c r="U36" s="113">
        <f>VLOOKUP($C$34,Servant!$B$5:$AD$29,24,FALSE)+($F36+($F36*0.5*($D36-1)))*(U$3-1)</f>
        <v>12835.5</v>
      </c>
      <c r="V36" s="113">
        <f>VLOOKUP($C$34,Servant!$B$5:$AD$29,24,FALSE)+($F36+($F36*0.5*($D36-1)))*(V$3-1)</f>
        <v>13788</v>
      </c>
      <c r="W36" s="113">
        <f>VLOOKUP($C$34,Servant!$B$5:$AD$29,24,FALSE)+($F36+($F36*0.5*($D36-1)))*(W$3-1)</f>
        <v>14740.5</v>
      </c>
      <c r="X36" s="113">
        <f>VLOOKUP($C$34,Servant!$B$5:$AD$29,24,FALSE)+($F36+($F36*0.5*($D36-1)))*(X$3-1)</f>
        <v>15693</v>
      </c>
      <c r="Y36" s="113">
        <f>VLOOKUP($C$34,Servant!$B$5:$AD$29,24,FALSE)+($F36+($F36*0.5*($D36-1)))*(Y$3-1)</f>
        <v>16645.5</v>
      </c>
      <c r="Z36" s="113">
        <f>VLOOKUP($C$34,Servant!$B$5:$AD$29,24,FALSE)+($F36+($F36*0.5*($D36-1)))*(Z$3-1)</f>
        <v>17598</v>
      </c>
      <c r="AA36" s="113">
        <f>VLOOKUP($C$34,Servant!$B$5:$AD$29,24,FALSE)+($F36+($F36*0.5*($D36-1)))*(AA$3-1)</f>
        <v>18550.5</v>
      </c>
      <c r="AB36" s="113">
        <f>VLOOKUP($C$34,Servant!$B$5:$AD$29,24,FALSE)+($F36+($F36*0.5*($D36-1)))*(AB$3-1)</f>
        <v>19503</v>
      </c>
      <c r="AC36" s="113">
        <f>VLOOKUP($C$34,Servant!$B$5:$AD$29,24,FALSE)+($F36+($F36*0.5*($D36-1)))*(AC$3-1)</f>
        <v>20455.5</v>
      </c>
      <c r="AD36" s="113">
        <f>VLOOKUP($C$34,Servant!$B$5:$AD$29,24,FALSE)+($F36+($F36*0.5*($D36-1)))*(AD$3-1)</f>
        <v>21408</v>
      </c>
      <c r="AE36" s="113">
        <f>VLOOKUP($C$34,Servant!$B$5:$AD$29,24,FALSE)+($F36+($F36*0.5*($D36-1)))*(AE$3-1)</f>
        <v>22360.5</v>
      </c>
      <c r="AF36" s="113">
        <f>VLOOKUP($C$34,Servant!$B$5:$AD$29,24,FALSE)+($F36+($F36*0.5*($D36-1)))*(AF$3-1)</f>
        <v>23313</v>
      </c>
      <c r="AG36" s="113">
        <f>VLOOKUP($C$34,Servant!$B$5:$AD$29,24,FALSE)+($F36+($F36*0.5*($D36-1)))*(AG$3-1)</f>
        <v>24265.5</v>
      </c>
      <c r="AH36" s="113">
        <f>VLOOKUP($C$34,Servant!$B$5:$AD$29,24,FALSE)+($F36+($F36*0.5*($D36-1)))*(AH$3-1)</f>
        <v>25218</v>
      </c>
      <c r="AI36" s="113">
        <f>VLOOKUP($C$34,Servant!$B$5:$AD$29,24,FALSE)+($F36+($F36*0.5*($D36-1)))*(AI$3-1)</f>
        <v>26170.5</v>
      </c>
      <c r="AJ36" s="113">
        <f>VLOOKUP($C$34,Servant!$B$5:$AD$29,24,FALSE)+($F36+($F36*0.5*($D36-1)))*(AJ$3-1)</f>
        <v>27123</v>
      </c>
      <c r="AK36" s="113">
        <f>VLOOKUP($C$34,Servant!$B$5:$AD$29,24,FALSE)+($F36+($F36*0.5*($D36-1)))*(AK$3-1)</f>
        <v>28075.5</v>
      </c>
    </row>
    <row r="37" spans="2:37" x14ac:dyDescent="0.3">
      <c r="B37" s="309"/>
      <c r="C37" s="319" t="s">
        <v>286</v>
      </c>
      <c r="D37" s="140">
        <v>2</v>
      </c>
      <c r="E37" s="141">
        <f>VLOOKUP($C$37,ServantLevelUPdStatus!$B$5:$AD$29,12,FALSE)+(VLOOKUP($C$37,ServantLevelUPdStatus!$B$5:$AD$29,12,FALSE)*0.5*(Simulator_DfsPow!$D37-1))</f>
        <v>478.5</v>
      </c>
      <c r="F37" s="141">
        <f>VLOOKUP($C$37,ServantLevelUPdStatus!$B$5:$AD$29,12,FALSE)</f>
        <v>319</v>
      </c>
      <c r="H37" s="142">
        <f>VLOOKUP($C$37,Servant!$B$5:$AD$29,24,FALSE)+($F37+($F37*0.5*($D37-1)))*(H$3-1)</f>
        <v>430</v>
      </c>
      <c r="I37" s="142">
        <f>VLOOKUP($C$37,Servant!$B$5:$AD$29,24,FALSE)+($F37+($F37*0.5*($D37-1)))*(I$3-1)</f>
        <v>908.5</v>
      </c>
      <c r="J37" s="142">
        <f>VLOOKUP($C$37,Servant!$B$5:$AD$29,24,FALSE)+($F37+($F37*0.5*($D37-1)))*(J$3-1)</f>
        <v>1387</v>
      </c>
      <c r="K37" s="142">
        <f>VLOOKUP($C$37,Servant!$B$5:$AD$29,24,FALSE)+($F37+($F37*0.5*($D37-1)))*(K$3-1)</f>
        <v>1865.5</v>
      </c>
      <c r="L37" s="142">
        <f>VLOOKUP($C$37,Servant!$B$5:$AD$29,24,FALSE)+($F37+($F37*0.5*($D37-1)))*(L$3-1)</f>
        <v>2344</v>
      </c>
      <c r="M37" s="142">
        <f>VLOOKUP($C$37,Servant!$B$5:$AD$29,24,FALSE)+($F37+($F37*0.5*($D37-1)))*(M$3-1)</f>
        <v>2822.5</v>
      </c>
      <c r="N37" s="142">
        <f>VLOOKUP($C$37,Servant!$B$5:$AD$29,24,FALSE)+($F37+($F37*0.5*($D37-1)))*(N$3-1)</f>
        <v>3301</v>
      </c>
      <c r="O37" s="142">
        <f>VLOOKUP($C$37,Servant!$B$5:$AD$29,24,FALSE)+($F37+($F37*0.5*($D37-1)))*(O$3-1)</f>
        <v>3779.5</v>
      </c>
      <c r="P37" s="142">
        <f>VLOOKUP($C$37,Servant!$B$5:$AD$29,24,FALSE)+($F37+($F37*0.5*($D37-1)))*(P$3-1)</f>
        <v>4258</v>
      </c>
      <c r="Q37" s="142">
        <f>VLOOKUP($C$37,Servant!$B$5:$AD$29,24,FALSE)+($F37+($F37*0.5*($D37-1)))*(Q$3-1)</f>
        <v>4736.5</v>
      </c>
      <c r="R37" s="142">
        <f>VLOOKUP($C$37,Servant!$B$5:$AD$29,24,FALSE)+($F37+($F37*0.5*($D37-1)))*(R$3-1)</f>
        <v>5215</v>
      </c>
      <c r="S37" s="142">
        <f>VLOOKUP($C$37,Servant!$B$5:$AD$29,24,FALSE)+($F37+($F37*0.5*($D37-1)))*(S$3-1)</f>
        <v>5693.5</v>
      </c>
      <c r="T37" s="142">
        <f>VLOOKUP($C$37,Servant!$B$5:$AD$29,24,FALSE)+($F37+($F37*0.5*($D37-1)))*(T$3-1)</f>
        <v>6172</v>
      </c>
      <c r="U37" s="142">
        <f>VLOOKUP($C$37,Servant!$B$5:$AD$29,24,FALSE)+($F37+($F37*0.5*($D37-1)))*(U$3-1)</f>
        <v>6650.5</v>
      </c>
      <c r="V37" s="142">
        <f>VLOOKUP($C$37,Servant!$B$5:$AD$29,24,FALSE)+($F37+($F37*0.5*($D37-1)))*(V$3-1)</f>
        <v>7129</v>
      </c>
      <c r="W37" s="142">
        <f>VLOOKUP($C$37,Servant!$B$5:$AD$29,24,FALSE)+($F37+($F37*0.5*($D37-1)))*(W$3-1)</f>
        <v>7607.5</v>
      </c>
      <c r="X37" s="142">
        <f>VLOOKUP($C$37,Servant!$B$5:$AD$29,24,FALSE)+($F37+($F37*0.5*($D37-1)))*(X$3-1)</f>
        <v>8086</v>
      </c>
      <c r="Y37" s="142">
        <f>VLOOKUP($C$37,Servant!$B$5:$AD$29,24,FALSE)+($F37+($F37*0.5*($D37-1)))*(Y$3-1)</f>
        <v>8564.5</v>
      </c>
      <c r="Z37" s="142">
        <f>VLOOKUP($C$37,Servant!$B$5:$AD$29,24,FALSE)+($F37+($F37*0.5*($D37-1)))*(Z$3-1)</f>
        <v>9043</v>
      </c>
      <c r="AA37" s="142">
        <f>VLOOKUP($C$37,Servant!$B$5:$AD$29,24,FALSE)+($F37+($F37*0.5*($D37-1)))*(AA$3-1)</f>
        <v>9521.5</v>
      </c>
      <c r="AB37" s="142">
        <f>VLOOKUP($C$37,Servant!$B$5:$AD$29,24,FALSE)+($F37+($F37*0.5*($D37-1)))*(AB$3-1)</f>
        <v>10000</v>
      </c>
      <c r="AC37" s="142">
        <f>VLOOKUP($C$37,Servant!$B$5:$AD$29,24,FALSE)+($F37+($F37*0.5*($D37-1)))*(AC$3-1)</f>
        <v>10478.5</v>
      </c>
      <c r="AD37" s="142">
        <f>VLOOKUP($C$37,Servant!$B$5:$AD$29,24,FALSE)+($F37+($F37*0.5*($D37-1)))*(AD$3-1)</f>
        <v>10957</v>
      </c>
      <c r="AE37" s="142">
        <f>VLOOKUP($C$37,Servant!$B$5:$AD$29,24,FALSE)+($F37+($F37*0.5*($D37-1)))*(AE$3-1)</f>
        <v>11435.5</v>
      </c>
      <c r="AF37" s="142">
        <f>VLOOKUP($C$37,Servant!$B$5:$AD$29,24,FALSE)+($F37+($F37*0.5*($D37-1)))*(AF$3-1)</f>
        <v>11914</v>
      </c>
      <c r="AG37" s="142">
        <f>VLOOKUP($C$37,Servant!$B$5:$AD$29,24,FALSE)+($F37+($F37*0.5*($D37-1)))*(AG$3-1)</f>
        <v>12392.5</v>
      </c>
      <c r="AH37" s="142">
        <f>VLOOKUP($C$37,Servant!$B$5:$AD$29,24,FALSE)+($F37+($F37*0.5*($D37-1)))*(AH$3-1)</f>
        <v>12871</v>
      </c>
      <c r="AI37" s="142">
        <f>VLOOKUP($C$37,Servant!$B$5:$AD$29,24,FALSE)+($F37+($F37*0.5*($D37-1)))*(AI$3-1)</f>
        <v>13349.5</v>
      </c>
      <c r="AJ37" s="142">
        <f>VLOOKUP($C$37,Servant!$B$5:$AD$29,24,FALSE)+($F37+($F37*0.5*($D37-1)))*(AJ$3-1)</f>
        <v>13828</v>
      </c>
      <c r="AK37" s="142">
        <f>VLOOKUP($C$37,Servant!$B$5:$AD$29,24,FALSE)+($F37+($F37*0.5*($D37-1)))*(AK$3-1)</f>
        <v>14306.5</v>
      </c>
    </row>
    <row r="38" spans="2:37" x14ac:dyDescent="0.3">
      <c r="B38" s="309"/>
      <c r="C38" s="319"/>
      <c r="D38" s="140">
        <v>3</v>
      </c>
      <c r="E38" s="141">
        <f>VLOOKUP($C$37,ServantLevelUPdStatus!$B$5:$AD$29,12,FALSE)+(VLOOKUP($C$37,ServantLevelUPdStatus!$B$5:$AD$29,12,FALSE)*0.5*(Simulator_DfsPow!$D38-1))</f>
        <v>638</v>
      </c>
      <c r="F38" s="143">
        <f>F37</f>
        <v>319</v>
      </c>
      <c r="H38" s="142">
        <f>VLOOKUP($C$37,Servant!$B$5:$AD$29,24,FALSE)+($F38+($F38*0.5*($D38-1)))*(H$3-1)</f>
        <v>430</v>
      </c>
      <c r="I38" s="142">
        <f>VLOOKUP($C$37,Servant!$B$5:$AD$29,24,FALSE)+($F38+($F38*0.5*($D38-1)))*(I$3-1)</f>
        <v>1068</v>
      </c>
      <c r="J38" s="142">
        <f>VLOOKUP($C$37,Servant!$B$5:$AD$29,24,FALSE)+($F38+($F38*0.5*($D38-1)))*(J$3-1)</f>
        <v>1706</v>
      </c>
      <c r="K38" s="142">
        <f>VLOOKUP($C$37,Servant!$B$5:$AD$29,24,FALSE)+($F38+($F38*0.5*($D38-1)))*(K$3-1)</f>
        <v>2344</v>
      </c>
      <c r="L38" s="142">
        <f>VLOOKUP($C$37,Servant!$B$5:$AD$29,24,FALSE)+($F38+($F38*0.5*($D38-1)))*(L$3-1)</f>
        <v>2982</v>
      </c>
      <c r="M38" s="142">
        <f>VLOOKUP($C$37,Servant!$B$5:$AD$29,24,FALSE)+($F38+($F38*0.5*($D38-1)))*(M$3-1)</f>
        <v>3620</v>
      </c>
      <c r="N38" s="142">
        <f>VLOOKUP($C$37,Servant!$B$5:$AD$29,24,FALSE)+($F38+($F38*0.5*($D38-1)))*(N$3-1)</f>
        <v>4258</v>
      </c>
      <c r="O38" s="142">
        <f>VLOOKUP($C$37,Servant!$B$5:$AD$29,24,FALSE)+($F38+($F38*0.5*($D38-1)))*(O$3-1)</f>
        <v>4896</v>
      </c>
      <c r="P38" s="142">
        <f>VLOOKUP($C$37,Servant!$B$5:$AD$29,24,FALSE)+($F38+($F38*0.5*($D38-1)))*(P$3-1)</f>
        <v>5534</v>
      </c>
      <c r="Q38" s="142">
        <f>VLOOKUP($C$37,Servant!$B$5:$AD$29,24,FALSE)+($F38+($F38*0.5*($D38-1)))*(Q$3-1)</f>
        <v>6172</v>
      </c>
      <c r="R38" s="142">
        <f>VLOOKUP($C$37,Servant!$B$5:$AD$29,24,FALSE)+($F38+($F38*0.5*($D38-1)))*(R$3-1)</f>
        <v>6810</v>
      </c>
      <c r="S38" s="142">
        <f>VLOOKUP($C$37,Servant!$B$5:$AD$29,24,FALSE)+($F38+($F38*0.5*($D38-1)))*(S$3-1)</f>
        <v>7448</v>
      </c>
      <c r="T38" s="142">
        <f>VLOOKUP($C$37,Servant!$B$5:$AD$29,24,FALSE)+($F38+($F38*0.5*($D38-1)))*(T$3-1)</f>
        <v>8086</v>
      </c>
      <c r="U38" s="142">
        <f>VLOOKUP($C$37,Servant!$B$5:$AD$29,24,FALSE)+($F38+($F38*0.5*($D38-1)))*(U$3-1)</f>
        <v>8724</v>
      </c>
      <c r="V38" s="142">
        <f>VLOOKUP($C$37,Servant!$B$5:$AD$29,24,FALSE)+($F38+($F38*0.5*($D38-1)))*(V$3-1)</f>
        <v>9362</v>
      </c>
      <c r="W38" s="142">
        <f>VLOOKUP($C$37,Servant!$B$5:$AD$29,24,FALSE)+($F38+($F38*0.5*($D38-1)))*(W$3-1)</f>
        <v>10000</v>
      </c>
      <c r="X38" s="142">
        <f>VLOOKUP($C$37,Servant!$B$5:$AD$29,24,FALSE)+($F38+($F38*0.5*($D38-1)))*(X$3-1)</f>
        <v>10638</v>
      </c>
      <c r="Y38" s="142">
        <f>VLOOKUP($C$37,Servant!$B$5:$AD$29,24,FALSE)+($F38+($F38*0.5*($D38-1)))*(Y$3-1)</f>
        <v>11276</v>
      </c>
      <c r="Z38" s="142">
        <f>VLOOKUP($C$37,Servant!$B$5:$AD$29,24,FALSE)+($F38+($F38*0.5*($D38-1)))*(Z$3-1)</f>
        <v>11914</v>
      </c>
      <c r="AA38" s="142">
        <f>VLOOKUP($C$37,Servant!$B$5:$AD$29,24,FALSE)+($F38+($F38*0.5*($D38-1)))*(AA$3-1)</f>
        <v>12552</v>
      </c>
      <c r="AB38" s="142">
        <f>VLOOKUP($C$37,Servant!$B$5:$AD$29,24,FALSE)+($F38+($F38*0.5*($D38-1)))*(AB$3-1)</f>
        <v>13190</v>
      </c>
      <c r="AC38" s="142">
        <f>VLOOKUP($C$37,Servant!$B$5:$AD$29,24,FALSE)+($F38+($F38*0.5*($D38-1)))*(AC$3-1)</f>
        <v>13828</v>
      </c>
      <c r="AD38" s="142">
        <f>VLOOKUP($C$37,Servant!$B$5:$AD$29,24,FALSE)+($F38+($F38*0.5*($D38-1)))*(AD$3-1)</f>
        <v>14466</v>
      </c>
      <c r="AE38" s="142">
        <f>VLOOKUP($C$37,Servant!$B$5:$AD$29,24,FALSE)+($F38+($F38*0.5*($D38-1)))*(AE$3-1)</f>
        <v>15104</v>
      </c>
      <c r="AF38" s="142">
        <f>VLOOKUP($C$37,Servant!$B$5:$AD$29,24,FALSE)+($F38+($F38*0.5*($D38-1)))*(AF$3-1)</f>
        <v>15742</v>
      </c>
      <c r="AG38" s="142">
        <f>VLOOKUP($C$37,Servant!$B$5:$AD$29,24,FALSE)+($F38+($F38*0.5*($D38-1)))*(AG$3-1)</f>
        <v>16380</v>
      </c>
      <c r="AH38" s="142">
        <f>VLOOKUP($C$37,Servant!$B$5:$AD$29,24,FALSE)+($F38+($F38*0.5*($D38-1)))*(AH$3-1)</f>
        <v>17018</v>
      </c>
      <c r="AI38" s="142">
        <f>VLOOKUP($C$37,Servant!$B$5:$AD$29,24,FALSE)+($F38+($F38*0.5*($D38-1)))*(AI$3-1)</f>
        <v>17656</v>
      </c>
      <c r="AJ38" s="142">
        <f>VLOOKUP($C$37,Servant!$B$5:$AD$29,24,FALSE)+($F38+($F38*0.5*($D38-1)))*(AJ$3-1)</f>
        <v>18294</v>
      </c>
      <c r="AK38" s="142">
        <f>VLOOKUP($C$37,Servant!$B$5:$AD$29,24,FALSE)+($F38+($F38*0.5*($D38-1)))*(AK$3-1)</f>
        <v>18932</v>
      </c>
    </row>
    <row r="39" spans="2:37" x14ac:dyDescent="0.3">
      <c r="B39" s="309"/>
      <c r="C39" s="319"/>
      <c r="D39" s="140">
        <v>4</v>
      </c>
      <c r="E39" s="141">
        <f>VLOOKUP($C$37,ServantLevelUPdStatus!$B$5:$AD$29,12,FALSE)+(VLOOKUP($C$37,ServantLevelUPdStatus!$B$5:$AD$29,12,FALSE)*0.5*(Simulator_DfsPow!$D39-1))</f>
        <v>797.5</v>
      </c>
      <c r="F39" s="143">
        <f>F38</f>
        <v>319</v>
      </c>
      <c r="H39" s="142">
        <f>VLOOKUP($C$37,Servant!$B$5:$AD$29,24,FALSE)+($F39+($F39*0.5*($D39-1)))*(H$3-1)</f>
        <v>430</v>
      </c>
      <c r="I39" s="142">
        <f>VLOOKUP($C$37,Servant!$B$5:$AD$29,24,FALSE)+($F39+($F39*0.5*($D39-1)))*(I$3-1)</f>
        <v>1227.5</v>
      </c>
      <c r="J39" s="142">
        <f>VLOOKUP($C$37,Servant!$B$5:$AD$29,24,FALSE)+($F39+($F39*0.5*($D39-1)))*(J$3-1)</f>
        <v>2025</v>
      </c>
      <c r="K39" s="142">
        <f>VLOOKUP($C$37,Servant!$B$5:$AD$29,24,FALSE)+($F39+($F39*0.5*($D39-1)))*(K$3-1)</f>
        <v>2822.5</v>
      </c>
      <c r="L39" s="142">
        <f>VLOOKUP($C$37,Servant!$B$5:$AD$29,24,FALSE)+($F39+($F39*0.5*($D39-1)))*(L$3-1)</f>
        <v>3620</v>
      </c>
      <c r="M39" s="142">
        <f>VLOOKUP($C$37,Servant!$B$5:$AD$29,24,FALSE)+($F39+($F39*0.5*($D39-1)))*(M$3-1)</f>
        <v>4417.5</v>
      </c>
      <c r="N39" s="142">
        <f>VLOOKUP($C$37,Servant!$B$5:$AD$29,24,FALSE)+($F39+($F39*0.5*($D39-1)))*(N$3-1)</f>
        <v>5215</v>
      </c>
      <c r="O39" s="142">
        <f>VLOOKUP($C$37,Servant!$B$5:$AD$29,24,FALSE)+($F39+($F39*0.5*($D39-1)))*(O$3-1)</f>
        <v>6012.5</v>
      </c>
      <c r="P39" s="142">
        <f>VLOOKUP($C$37,Servant!$B$5:$AD$29,24,FALSE)+($F39+($F39*0.5*($D39-1)))*(P$3-1)</f>
        <v>6810</v>
      </c>
      <c r="Q39" s="142">
        <f>VLOOKUP($C$37,Servant!$B$5:$AD$29,24,FALSE)+($F39+($F39*0.5*($D39-1)))*(Q$3-1)</f>
        <v>7607.5</v>
      </c>
      <c r="R39" s="142">
        <f>VLOOKUP($C$37,Servant!$B$5:$AD$29,24,FALSE)+($F39+($F39*0.5*($D39-1)))*(R$3-1)</f>
        <v>8405</v>
      </c>
      <c r="S39" s="142">
        <f>VLOOKUP($C$37,Servant!$B$5:$AD$29,24,FALSE)+($F39+($F39*0.5*($D39-1)))*(S$3-1)</f>
        <v>9202.5</v>
      </c>
      <c r="T39" s="142">
        <f>VLOOKUP($C$37,Servant!$B$5:$AD$29,24,FALSE)+($F39+($F39*0.5*($D39-1)))*(T$3-1)</f>
        <v>10000</v>
      </c>
      <c r="U39" s="142">
        <f>VLOOKUP($C$37,Servant!$B$5:$AD$29,24,FALSE)+($F39+($F39*0.5*($D39-1)))*(U$3-1)</f>
        <v>10797.5</v>
      </c>
      <c r="V39" s="142">
        <f>VLOOKUP($C$37,Servant!$B$5:$AD$29,24,FALSE)+($F39+($F39*0.5*($D39-1)))*(V$3-1)</f>
        <v>11595</v>
      </c>
      <c r="W39" s="142">
        <f>VLOOKUP($C$37,Servant!$B$5:$AD$29,24,FALSE)+($F39+($F39*0.5*($D39-1)))*(W$3-1)</f>
        <v>12392.5</v>
      </c>
      <c r="X39" s="142">
        <f>VLOOKUP($C$37,Servant!$B$5:$AD$29,24,FALSE)+($F39+($F39*0.5*($D39-1)))*(X$3-1)</f>
        <v>13190</v>
      </c>
      <c r="Y39" s="142">
        <f>VLOOKUP($C$37,Servant!$B$5:$AD$29,24,FALSE)+($F39+($F39*0.5*($D39-1)))*(Y$3-1)</f>
        <v>13987.5</v>
      </c>
      <c r="Z39" s="142">
        <f>VLOOKUP($C$37,Servant!$B$5:$AD$29,24,FALSE)+($F39+($F39*0.5*($D39-1)))*(Z$3-1)</f>
        <v>14785</v>
      </c>
      <c r="AA39" s="142">
        <f>VLOOKUP($C$37,Servant!$B$5:$AD$29,24,FALSE)+($F39+($F39*0.5*($D39-1)))*(AA$3-1)</f>
        <v>15582.5</v>
      </c>
      <c r="AB39" s="142">
        <f>VLOOKUP($C$37,Servant!$B$5:$AD$29,24,FALSE)+($F39+($F39*0.5*($D39-1)))*(AB$3-1)</f>
        <v>16380</v>
      </c>
      <c r="AC39" s="142">
        <f>VLOOKUP($C$37,Servant!$B$5:$AD$29,24,FALSE)+($F39+($F39*0.5*($D39-1)))*(AC$3-1)</f>
        <v>17177.5</v>
      </c>
      <c r="AD39" s="142">
        <f>VLOOKUP($C$37,Servant!$B$5:$AD$29,24,FALSE)+($F39+($F39*0.5*($D39-1)))*(AD$3-1)</f>
        <v>17975</v>
      </c>
      <c r="AE39" s="142">
        <f>VLOOKUP($C$37,Servant!$B$5:$AD$29,24,FALSE)+($F39+($F39*0.5*($D39-1)))*(AE$3-1)</f>
        <v>18772.5</v>
      </c>
      <c r="AF39" s="142">
        <f>VLOOKUP($C$37,Servant!$B$5:$AD$29,24,FALSE)+($F39+($F39*0.5*($D39-1)))*(AF$3-1)</f>
        <v>19570</v>
      </c>
      <c r="AG39" s="142">
        <f>VLOOKUP($C$37,Servant!$B$5:$AD$29,24,FALSE)+($F39+($F39*0.5*($D39-1)))*(AG$3-1)</f>
        <v>20367.5</v>
      </c>
      <c r="AH39" s="142">
        <f>VLOOKUP($C$37,Servant!$B$5:$AD$29,24,FALSE)+($F39+($F39*0.5*($D39-1)))*(AH$3-1)</f>
        <v>21165</v>
      </c>
      <c r="AI39" s="142">
        <f>VLOOKUP($C$37,Servant!$B$5:$AD$29,24,FALSE)+($F39+($F39*0.5*($D39-1)))*(AI$3-1)</f>
        <v>21962.5</v>
      </c>
      <c r="AJ39" s="142">
        <f>VLOOKUP($C$37,Servant!$B$5:$AD$29,24,FALSE)+($F39+($F39*0.5*($D39-1)))*(AJ$3-1)</f>
        <v>22760</v>
      </c>
      <c r="AK39" s="142">
        <f>VLOOKUP($C$37,Servant!$B$5:$AD$29,24,FALSE)+($F39+($F39*0.5*($D39-1)))*(AK$3-1)</f>
        <v>23557.5</v>
      </c>
    </row>
    <row r="40" spans="2:37" x14ac:dyDescent="0.3">
      <c r="B40" s="309"/>
      <c r="C40" s="300" t="s">
        <v>238</v>
      </c>
      <c r="D40" s="128">
        <v>3</v>
      </c>
      <c r="E40" s="122">
        <f>VLOOKUP($C$40,ServantLevelUPdStatus!$B$5:$AD$29,12,FALSE)+(VLOOKUP($C$40,ServantLevelUPdStatus!$B$5:$AD$29,12,FALSE)*0.5*(Simulator_DfsPow!$D40-1))</f>
        <v>970</v>
      </c>
      <c r="F40" s="122">
        <f>VLOOKUP($C$40,ServantLevelUPdStatus!$B$5:$AD$29,12,FALSE)</f>
        <v>485</v>
      </c>
      <c r="H40" s="114">
        <f>VLOOKUP($C$40,Servant!$B$5:$AD$29,24,FALSE)+($F40+($F40*0.5*($D40-1)))*(H$3-1)</f>
        <v>702</v>
      </c>
      <c r="I40" s="114">
        <f>VLOOKUP($C$40,Servant!$B$5:$AD$29,24,FALSE)+($F40+($F40*0.5*($D40-1)))*(I$3-1)</f>
        <v>1672</v>
      </c>
      <c r="J40" s="114">
        <f>VLOOKUP($C$40,Servant!$B$5:$AD$29,24,FALSE)+($F40+($F40*0.5*($D40-1)))*(J$3-1)</f>
        <v>2642</v>
      </c>
      <c r="K40" s="114">
        <f>VLOOKUP($C$40,Servant!$B$5:$AD$29,24,FALSE)+($F40+($F40*0.5*($D40-1)))*(K$3-1)</f>
        <v>3612</v>
      </c>
      <c r="L40" s="114">
        <f>VLOOKUP($C$40,Servant!$B$5:$AD$29,24,FALSE)+($F40+($F40*0.5*($D40-1)))*(L$3-1)</f>
        <v>4582</v>
      </c>
      <c r="M40" s="114">
        <f>VLOOKUP($C$40,Servant!$B$5:$AD$29,24,FALSE)+($F40+($F40*0.5*($D40-1)))*(M$3-1)</f>
        <v>5552</v>
      </c>
      <c r="N40" s="114">
        <f>VLOOKUP($C$40,Servant!$B$5:$AD$29,24,FALSE)+($F40+($F40*0.5*($D40-1)))*(N$3-1)</f>
        <v>6522</v>
      </c>
      <c r="O40" s="114">
        <f>VLOOKUP($C$40,Servant!$B$5:$AD$29,24,FALSE)+($F40+($F40*0.5*($D40-1)))*(O$3-1)</f>
        <v>7492</v>
      </c>
      <c r="P40" s="114">
        <f>VLOOKUP($C$40,Servant!$B$5:$AD$29,24,FALSE)+($F40+($F40*0.5*($D40-1)))*(P$3-1)</f>
        <v>8462</v>
      </c>
      <c r="Q40" s="114">
        <f>VLOOKUP($C$40,Servant!$B$5:$AD$29,24,FALSE)+($F40+($F40*0.5*($D40-1)))*(Q$3-1)</f>
        <v>9432</v>
      </c>
      <c r="R40" s="114">
        <f>VLOOKUP($C$40,Servant!$B$5:$AD$29,24,FALSE)+($F40+($F40*0.5*($D40-1)))*(R$3-1)</f>
        <v>10402</v>
      </c>
      <c r="S40" s="114">
        <f>VLOOKUP($C$40,Servant!$B$5:$AD$29,24,FALSE)+($F40+($F40*0.5*($D40-1)))*(S$3-1)</f>
        <v>11372</v>
      </c>
      <c r="T40" s="114">
        <f>VLOOKUP($C$40,Servant!$B$5:$AD$29,24,FALSE)+($F40+($F40*0.5*($D40-1)))*(T$3-1)</f>
        <v>12342</v>
      </c>
      <c r="U40" s="114">
        <f>VLOOKUP($C$40,Servant!$B$5:$AD$29,24,FALSE)+($F40+($F40*0.5*($D40-1)))*(U$3-1)</f>
        <v>13312</v>
      </c>
      <c r="V40" s="114">
        <f>VLOOKUP($C$40,Servant!$B$5:$AD$29,24,FALSE)+($F40+($F40*0.5*($D40-1)))*(V$3-1)</f>
        <v>14282</v>
      </c>
      <c r="W40" s="114">
        <f>VLOOKUP($C$40,Servant!$B$5:$AD$29,24,FALSE)+($F40+($F40*0.5*($D40-1)))*(W$3-1)</f>
        <v>15252</v>
      </c>
      <c r="X40" s="114">
        <f>VLOOKUP($C$40,Servant!$B$5:$AD$29,24,FALSE)+($F40+($F40*0.5*($D40-1)))*(X$3-1)</f>
        <v>16222</v>
      </c>
      <c r="Y40" s="114">
        <f>VLOOKUP($C$40,Servant!$B$5:$AD$29,24,FALSE)+($F40+($F40*0.5*($D40-1)))*(Y$3-1)</f>
        <v>17192</v>
      </c>
      <c r="Z40" s="114">
        <f>VLOOKUP($C$40,Servant!$B$5:$AD$29,24,FALSE)+($F40+($F40*0.5*($D40-1)))*(Z$3-1)</f>
        <v>18162</v>
      </c>
      <c r="AA40" s="114">
        <f>VLOOKUP($C$40,Servant!$B$5:$AD$29,24,FALSE)+($F40+($F40*0.5*($D40-1)))*(AA$3-1)</f>
        <v>19132</v>
      </c>
      <c r="AB40" s="114">
        <f>VLOOKUP($C$40,Servant!$B$5:$AD$29,24,FALSE)+($F40+($F40*0.5*($D40-1)))*(AB$3-1)</f>
        <v>20102</v>
      </c>
      <c r="AC40" s="114">
        <f>VLOOKUP($C$40,Servant!$B$5:$AD$29,24,FALSE)+($F40+($F40*0.5*($D40-1)))*(AC$3-1)</f>
        <v>21072</v>
      </c>
      <c r="AD40" s="114">
        <f>VLOOKUP($C$40,Servant!$B$5:$AD$29,24,FALSE)+($F40+($F40*0.5*($D40-1)))*(AD$3-1)</f>
        <v>22042</v>
      </c>
      <c r="AE40" s="114">
        <f>VLOOKUP($C$40,Servant!$B$5:$AD$29,24,FALSE)+($F40+($F40*0.5*($D40-1)))*(AE$3-1)</f>
        <v>23012</v>
      </c>
      <c r="AF40" s="114">
        <f>VLOOKUP($C$40,Servant!$B$5:$AD$29,24,FALSE)+($F40+($F40*0.5*($D40-1)))*(AF$3-1)</f>
        <v>23982</v>
      </c>
      <c r="AG40" s="114">
        <f>VLOOKUP($C$40,Servant!$B$5:$AD$29,24,FALSE)+($F40+($F40*0.5*($D40-1)))*(AG$3-1)</f>
        <v>24952</v>
      </c>
      <c r="AH40" s="114">
        <f>VLOOKUP($C$40,Servant!$B$5:$AD$29,24,FALSE)+($F40+($F40*0.5*($D40-1)))*(AH$3-1)</f>
        <v>25922</v>
      </c>
      <c r="AI40" s="114">
        <f>VLOOKUP($C$40,Servant!$B$5:$AD$29,24,FALSE)+($F40+($F40*0.5*($D40-1)))*(AI$3-1)</f>
        <v>26892</v>
      </c>
      <c r="AJ40" s="114">
        <f>VLOOKUP($C$40,Servant!$B$5:$AD$29,24,FALSE)+($F40+($F40*0.5*($D40-1)))*(AJ$3-1)</f>
        <v>27862</v>
      </c>
      <c r="AK40" s="114">
        <f>VLOOKUP($C$40,Servant!$B$5:$AD$29,24,FALSE)+($F40+($F40*0.5*($D40-1)))*(AK$3-1)</f>
        <v>28832</v>
      </c>
    </row>
    <row r="41" spans="2:37" x14ac:dyDescent="0.3">
      <c r="B41" s="309"/>
      <c r="C41" s="300"/>
      <c r="D41" s="128">
        <v>4</v>
      </c>
      <c r="E41" s="122">
        <f>VLOOKUP($C$40,ServantLevelUPdStatus!$B$5:$AD$29,12,FALSE)+(VLOOKUP($C$40,ServantLevelUPdStatus!$B$5:$AD$29,12,FALSE)*0.5*(Simulator_DfsPow!$D41-1))</f>
        <v>1212.5</v>
      </c>
      <c r="F41" s="121">
        <f>F40</f>
        <v>485</v>
      </c>
      <c r="H41" s="114">
        <f>VLOOKUP($C$40,Servant!$B$5:$AD$29,24,FALSE)+($F41+($F41*0.5*($D41-1)))*(H$3-1)</f>
        <v>702</v>
      </c>
      <c r="I41" s="114">
        <f>VLOOKUP($C$40,Servant!$B$5:$AD$29,24,FALSE)+($F41+($F41*0.5*($D41-1)))*(I$3-1)</f>
        <v>1914.5</v>
      </c>
      <c r="J41" s="114">
        <f>VLOOKUP($C$40,Servant!$B$5:$AD$29,24,FALSE)+($F41+($F41*0.5*($D41-1)))*(J$3-1)</f>
        <v>3127</v>
      </c>
      <c r="K41" s="114">
        <f>VLOOKUP($C$40,Servant!$B$5:$AD$29,24,FALSE)+($F41+($F41*0.5*($D41-1)))*(K$3-1)</f>
        <v>4339.5</v>
      </c>
      <c r="L41" s="114">
        <f>VLOOKUP($C$40,Servant!$B$5:$AD$29,24,FALSE)+($F41+($F41*0.5*($D41-1)))*(L$3-1)</f>
        <v>5552</v>
      </c>
      <c r="M41" s="114">
        <f>VLOOKUP($C$40,Servant!$B$5:$AD$29,24,FALSE)+($F41+($F41*0.5*($D41-1)))*(M$3-1)</f>
        <v>6764.5</v>
      </c>
      <c r="N41" s="114">
        <f>VLOOKUP($C$40,Servant!$B$5:$AD$29,24,FALSE)+($F41+($F41*0.5*($D41-1)))*(N$3-1)</f>
        <v>7977</v>
      </c>
      <c r="O41" s="114">
        <f>VLOOKUP($C$40,Servant!$B$5:$AD$29,24,FALSE)+($F41+($F41*0.5*($D41-1)))*(O$3-1)</f>
        <v>9189.5</v>
      </c>
      <c r="P41" s="114">
        <f>VLOOKUP($C$40,Servant!$B$5:$AD$29,24,FALSE)+($F41+($F41*0.5*($D41-1)))*(P$3-1)</f>
        <v>10402</v>
      </c>
      <c r="Q41" s="114">
        <f>VLOOKUP($C$40,Servant!$B$5:$AD$29,24,FALSE)+($F41+($F41*0.5*($D41-1)))*(Q$3-1)</f>
        <v>11614.5</v>
      </c>
      <c r="R41" s="114">
        <f>VLOOKUP($C$40,Servant!$B$5:$AD$29,24,FALSE)+($F41+($F41*0.5*($D41-1)))*(R$3-1)</f>
        <v>12827</v>
      </c>
      <c r="S41" s="114">
        <f>VLOOKUP($C$40,Servant!$B$5:$AD$29,24,FALSE)+($F41+($F41*0.5*($D41-1)))*(S$3-1)</f>
        <v>14039.5</v>
      </c>
      <c r="T41" s="114">
        <f>VLOOKUP($C$40,Servant!$B$5:$AD$29,24,FALSE)+($F41+($F41*0.5*($D41-1)))*(T$3-1)</f>
        <v>15252</v>
      </c>
      <c r="U41" s="114">
        <f>VLOOKUP($C$40,Servant!$B$5:$AD$29,24,FALSE)+($F41+($F41*0.5*($D41-1)))*(U$3-1)</f>
        <v>16464.5</v>
      </c>
      <c r="V41" s="114">
        <f>VLOOKUP($C$40,Servant!$B$5:$AD$29,24,FALSE)+($F41+($F41*0.5*($D41-1)))*(V$3-1)</f>
        <v>17677</v>
      </c>
      <c r="W41" s="114">
        <f>VLOOKUP($C$40,Servant!$B$5:$AD$29,24,FALSE)+($F41+($F41*0.5*($D41-1)))*(W$3-1)</f>
        <v>18889.5</v>
      </c>
      <c r="X41" s="114">
        <f>VLOOKUP($C$40,Servant!$B$5:$AD$29,24,FALSE)+($F41+($F41*0.5*($D41-1)))*(X$3-1)</f>
        <v>20102</v>
      </c>
      <c r="Y41" s="114">
        <f>VLOOKUP($C$40,Servant!$B$5:$AD$29,24,FALSE)+($F41+($F41*0.5*($D41-1)))*(Y$3-1)</f>
        <v>21314.5</v>
      </c>
      <c r="Z41" s="114">
        <f>VLOOKUP($C$40,Servant!$B$5:$AD$29,24,FALSE)+($F41+($F41*0.5*($D41-1)))*(Z$3-1)</f>
        <v>22527</v>
      </c>
      <c r="AA41" s="114">
        <f>VLOOKUP($C$40,Servant!$B$5:$AD$29,24,FALSE)+($F41+($F41*0.5*($D41-1)))*(AA$3-1)</f>
        <v>23739.5</v>
      </c>
      <c r="AB41" s="114">
        <f>VLOOKUP($C$40,Servant!$B$5:$AD$29,24,FALSE)+($F41+($F41*0.5*($D41-1)))*(AB$3-1)</f>
        <v>24952</v>
      </c>
      <c r="AC41" s="114">
        <f>VLOOKUP($C$40,Servant!$B$5:$AD$29,24,FALSE)+($F41+($F41*0.5*($D41-1)))*(AC$3-1)</f>
        <v>26164.5</v>
      </c>
      <c r="AD41" s="114">
        <f>VLOOKUP($C$40,Servant!$B$5:$AD$29,24,FALSE)+($F41+($F41*0.5*($D41-1)))*(AD$3-1)</f>
        <v>27377</v>
      </c>
      <c r="AE41" s="114">
        <f>VLOOKUP($C$40,Servant!$B$5:$AD$29,24,FALSE)+($F41+($F41*0.5*($D41-1)))*(AE$3-1)</f>
        <v>28589.5</v>
      </c>
      <c r="AF41" s="114">
        <f>VLOOKUP($C$40,Servant!$B$5:$AD$29,24,FALSE)+($F41+($F41*0.5*($D41-1)))*(AF$3-1)</f>
        <v>29802</v>
      </c>
      <c r="AG41" s="114">
        <f>VLOOKUP($C$40,Servant!$B$5:$AD$29,24,FALSE)+($F41+($F41*0.5*($D41-1)))*(AG$3-1)</f>
        <v>31014.5</v>
      </c>
      <c r="AH41" s="114">
        <f>VLOOKUP($C$40,Servant!$B$5:$AD$29,24,FALSE)+($F41+($F41*0.5*($D41-1)))*(AH$3-1)</f>
        <v>32227</v>
      </c>
      <c r="AI41" s="114">
        <f>VLOOKUP($C$40,Servant!$B$5:$AD$29,24,FALSE)+($F41+($F41*0.5*($D41-1)))*(AI$3-1)</f>
        <v>33439.5</v>
      </c>
      <c r="AJ41" s="114">
        <f>VLOOKUP($C$40,Servant!$B$5:$AD$29,24,FALSE)+($F41+($F41*0.5*($D41-1)))*(AJ$3-1)</f>
        <v>34652</v>
      </c>
      <c r="AK41" s="114">
        <f>VLOOKUP($C$40,Servant!$B$5:$AD$29,24,FALSE)+($F41+($F41*0.5*($D41-1)))*(AK$3-1)</f>
        <v>35864.5</v>
      </c>
    </row>
    <row r="42" spans="2:37" x14ac:dyDescent="0.3">
      <c r="B42" s="309"/>
      <c r="C42" s="300"/>
      <c r="D42" s="128">
        <v>5</v>
      </c>
      <c r="E42" s="122">
        <f>VLOOKUP($C$40,ServantLevelUPdStatus!$B$5:$AD$29,12,FALSE)+(VLOOKUP($C$40,ServantLevelUPdStatus!$B$5:$AD$29,12,FALSE)*0.5*(Simulator_DfsPow!$D42-1))</f>
        <v>1455</v>
      </c>
      <c r="F42" s="121">
        <f>F41</f>
        <v>485</v>
      </c>
      <c r="H42" s="114">
        <f>VLOOKUP($C$40,Servant!$B$5:$AD$29,24,FALSE)+($F42+($F42*0.5*($D42-1)))*(H$3-1)</f>
        <v>702</v>
      </c>
      <c r="I42" s="114">
        <f>VLOOKUP($C$40,Servant!$B$5:$AD$29,24,FALSE)+($F42+($F42*0.5*($D42-1)))*(I$3-1)</f>
        <v>2157</v>
      </c>
      <c r="J42" s="114">
        <f>VLOOKUP($C$40,Servant!$B$5:$AD$29,24,FALSE)+($F42+($F42*0.5*($D42-1)))*(J$3-1)</f>
        <v>3612</v>
      </c>
      <c r="K42" s="114">
        <f>VLOOKUP($C$40,Servant!$B$5:$AD$29,24,FALSE)+($F42+($F42*0.5*($D42-1)))*(K$3-1)</f>
        <v>5067</v>
      </c>
      <c r="L42" s="114">
        <f>VLOOKUP($C$40,Servant!$B$5:$AD$29,24,FALSE)+($F42+($F42*0.5*($D42-1)))*(L$3-1)</f>
        <v>6522</v>
      </c>
      <c r="M42" s="114">
        <f>VLOOKUP($C$40,Servant!$B$5:$AD$29,24,FALSE)+($F42+($F42*0.5*($D42-1)))*(M$3-1)</f>
        <v>7977</v>
      </c>
      <c r="N42" s="114">
        <f>VLOOKUP($C$40,Servant!$B$5:$AD$29,24,FALSE)+($F42+($F42*0.5*($D42-1)))*(N$3-1)</f>
        <v>9432</v>
      </c>
      <c r="O42" s="114">
        <f>VLOOKUP($C$40,Servant!$B$5:$AD$29,24,FALSE)+($F42+($F42*0.5*($D42-1)))*(O$3-1)</f>
        <v>10887</v>
      </c>
      <c r="P42" s="114">
        <f>VLOOKUP($C$40,Servant!$B$5:$AD$29,24,FALSE)+($F42+($F42*0.5*($D42-1)))*(P$3-1)</f>
        <v>12342</v>
      </c>
      <c r="Q42" s="114">
        <f>VLOOKUP($C$40,Servant!$B$5:$AD$29,24,FALSE)+($F42+($F42*0.5*($D42-1)))*(Q$3-1)</f>
        <v>13797</v>
      </c>
      <c r="R42" s="114">
        <f>VLOOKUP($C$40,Servant!$B$5:$AD$29,24,FALSE)+($F42+($F42*0.5*($D42-1)))*(R$3-1)</f>
        <v>15252</v>
      </c>
      <c r="S42" s="114">
        <f>VLOOKUP($C$40,Servant!$B$5:$AD$29,24,FALSE)+($F42+($F42*0.5*($D42-1)))*(S$3-1)</f>
        <v>16707</v>
      </c>
      <c r="T42" s="114">
        <f>VLOOKUP($C$40,Servant!$B$5:$AD$29,24,FALSE)+($F42+($F42*0.5*($D42-1)))*(T$3-1)</f>
        <v>18162</v>
      </c>
      <c r="U42" s="114">
        <f>VLOOKUP($C$40,Servant!$B$5:$AD$29,24,FALSE)+($F42+($F42*0.5*($D42-1)))*(U$3-1)</f>
        <v>19617</v>
      </c>
      <c r="V42" s="114">
        <f>VLOOKUP($C$40,Servant!$B$5:$AD$29,24,FALSE)+($F42+($F42*0.5*($D42-1)))*(V$3-1)</f>
        <v>21072</v>
      </c>
      <c r="W42" s="114">
        <f>VLOOKUP($C$40,Servant!$B$5:$AD$29,24,FALSE)+($F42+($F42*0.5*($D42-1)))*(W$3-1)</f>
        <v>22527</v>
      </c>
      <c r="X42" s="114">
        <f>VLOOKUP($C$40,Servant!$B$5:$AD$29,24,FALSE)+($F42+($F42*0.5*($D42-1)))*(X$3-1)</f>
        <v>23982</v>
      </c>
      <c r="Y42" s="114">
        <f>VLOOKUP($C$40,Servant!$B$5:$AD$29,24,FALSE)+($F42+($F42*0.5*($D42-1)))*(Y$3-1)</f>
        <v>25437</v>
      </c>
      <c r="Z42" s="114">
        <f>VLOOKUP($C$40,Servant!$B$5:$AD$29,24,FALSE)+($F42+($F42*0.5*($D42-1)))*(Z$3-1)</f>
        <v>26892</v>
      </c>
      <c r="AA42" s="114">
        <f>VLOOKUP($C$40,Servant!$B$5:$AD$29,24,FALSE)+($F42+($F42*0.5*($D42-1)))*(AA$3-1)</f>
        <v>28347</v>
      </c>
      <c r="AB42" s="114">
        <f>VLOOKUP($C$40,Servant!$B$5:$AD$29,24,FALSE)+($F42+($F42*0.5*($D42-1)))*(AB$3-1)</f>
        <v>29802</v>
      </c>
      <c r="AC42" s="114">
        <f>VLOOKUP($C$40,Servant!$B$5:$AD$29,24,FALSE)+($F42+($F42*0.5*($D42-1)))*(AC$3-1)</f>
        <v>31257</v>
      </c>
      <c r="AD42" s="114">
        <f>VLOOKUP($C$40,Servant!$B$5:$AD$29,24,FALSE)+($F42+($F42*0.5*($D42-1)))*(AD$3-1)</f>
        <v>32712</v>
      </c>
      <c r="AE42" s="114">
        <f>VLOOKUP($C$40,Servant!$B$5:$AD$29,24,FALSE)+($F42+($F42*0.5*($D42-1)))*(AE$3-1)</f>
        <v>34167</v>
      </c>
      <c r="AF42" s="114">
        <f>VLOOKUP($C$40,Servant!$B$5:$AD$29,24,FALSE)+($F42+($F42*0.5*($D42-1)))*(AF$3-1)</f>
        <v>35622</v>
      </c>
      <c r="AG42" s="114">
        <f>VLOOKUP($C$40,Servant!$B$5:$AD$29,24,FALSE)+($F42+($F42*0.5*($D42-1)))*(AG$3-1)</f>
        <v>37077</v>
      </c>
      <c r="AH42" s="114">
        <f>VLOOKUP($C$40,Servant!$B$5:$AD$29,24,FALSE)+($F42+($F42*0.5*($D42-1)))*(AH$3-1)</f>
        <v>38532</v>
      </c>
      <c r="AI42" s="114">
        <f>VLOOKUP($C$40,Servant!$B$5:$AD$29,24,FALSE)+($F42+($F42*0.5*($D42-1)))*(AI$3-1)</f>
        <v>39987</v>
      </c>
      <c r="AJ42" s="114">
        <f>VLOOKUP($C$40,Servant!$B$5:$AD$29,24,FALSE)+($F42+($F42*0.5*($D42-1)))*(AJ$3-1)</f>
        <v>41442</v>
      </c>
      <c r="AK42" s="114">
        <f>VLOOKUP($C$40,Servant!$B$5:$AD$29,24,FALSE)+($F42+($F42*0.5*($D42-1)))*(AK$3-1)</f>
        <v>42897</v>
      </c>
    </row>
    <row r="43" spans="2:37" x14ac:dyDescent="0.3">
      <c r="B43" s="309"/>
      <c r="C43" s="317" t="s">
        <v>287</v>
      </c>
      <c r="D43" s="136">
        <v>3</v>
      </c>
      <c r="E43" s="137">
        <f>VLOOKUP($C$43,ServantLevelUPdStatus!$B$5:$AD$29,12,FALSE)+(VLOOKUP($C$43,ServantLevelUPdStatus!$B$5:$AD$29,12,FALSE)*0.5*(Simulator_DfsPow!$D43-1))</f>
        <v>794</v>
      </c>
      <c r="F43" s="137">
        <f>VLOOKUP($C$43,ServantLevelUPdStatus!$B$5:$AD$29,12,FALSE)</f>
        <v>397</v>
      </c>
      <c r="H43" s="138">
        <f>VLOOKUP($C$43,Servant!$B$5:$AD$29,24,FALSE)+($F43+($F43*0.5*($D43-1)))*(H$3-1)</f>
        <v>575</v>
      </c>
      <c r="I43" s="138">
        <f>VLOOKUP($C$43,Servant!$B$5:$AD$29,24,FALSE)+($F43+($F43*0.5*($D43-1)))*(I$3-1)</f>
        <v>1369</v>
      </c>
      <c r="J43" s="138">
        <f>VLOOKUP($C$43,Servant!$B$5:$AD$29,24,FALSE)+($F43+($F43*0.5*($D43-1)))*(J$3-1)</f>
        <v>2163</v>
      </c>
      <c r="K43" s="138">
        <f>VLOOKUP($C$43,Servant!$B$5:$AD$29,24,FALSE)+($F43+($F43*0.5*($D43-1)))*(K$3-1)</f>
        <v>2957</v>
      </c>
      <c r="L43" s="138">
        <f>VLOOKUP($C$43,Servant!$B$5:$AD$29,24,FALSE)+($F43+($F43*0.5*($D43-1)))*(L$3-1)</f>
        <v>3751</v>
      </c>
      <c r="M43" s="138">
        <f>VLOOKUP($C$43,Servant!$B$5:$AD$29,24,FALSE)+($F43+($F43*0.5*($D43-1)))*(M$3-1)</f>
        <v>4545</v>
      </c>
      <c r="N43" s="138">
        <f>VLOOKUP($C$43,Servant!$B$5:$AD$29,24,FALSE)+($F43+($F43*0.5*($D43-1)))*(N$3-1)</f>
        <v>5339</v>
      </c>
      <c r="O43" s="138">
        <f>VLOOKUP($C$43,Servant!$B$5:$AD$29,24,FALSE)+($F43+($F43*0.5*($D43-1)))*(O$3-1)</f>
        <v>6133</v>
      </c>
      <c r="P43" s="138">
        <f>VLOOKUP($C$43,Servant!$B$5:$AD$29,24,FALSE)+($F43+($F43*0.5*($D43-1)))*(P$3-1)</f>
        <v>6927</v>
      </c>
      <c r="Q43" s="138">
        <f>VLOOKUP($C$43,Servant!$B$5:$AD$29,24,FALSE)+($F43+($F43*0.5*($D43-1)))*(Q$3-1)</f>
        <v>7721</v>
      </c>
      <c r="R43" s="138">
        <f>VLOOKUP($C$43,Servant!$B$5:$AD$29,24,FALSE)+($F43+($F43*0.5*($D43-1)))*(R$3-1)</f>
        <v>8515</v>
      </c>
      <c r="S43" s="138">
        <f>VLOOKUP($C$43,Servant!$B$5:$AD$29,24,FALSE)+($F43+($F43*0.5*($D43-1)))*(S$3-1)</f>
        <v>9309</v>
      </c>
      <c r="T43" s="138">
        <f>VLOOKUP($C$43,Servant!$B$5:$AD$29,24,FALSE)+($F43+($F43*0.5*($D43-1)))*(T$3-1)</f>
        <v>10103</v>
      </c>
      <c r="U43" s="138">
        <f>VLOOKUP($C$43,Servant!$B$5:$AD$29,24,FALSE)+($F43+($F43*0.5*($D43-1)))*(U$3-1)</f>
        <v>10897</v>
      </c>
      <c r="V43" s="138">
        <f>VLOOKUP($C$43,Servant!$B$5:$AD$29,24,FALSE)+($F43+($F43*0.5*($D43-1)))*(V$3-1)</f>
        <v>11691</v>
      </c>
      <c r="W43" s="138">
        <f>VLOOKUP($C$43,Servant!$B$5:$AD$29,24,FALSE)+($F43+($F43*0.5*($D43-1)))*(W$3-1)</f>
        <v>12485</v>
      </c>
      <c r="X43" s="138">
        <f>VLOOKUP($C$43,Servant!$B$5:$AD$29,24,FALSE)+($F43+($F43*0.5*($D43-1)))*(X$3-1)</f>
        <v>13279</v>
      </c>
      <c r="Y43" s="138">
        <f>VLOOKUP($C$43,Servant!$B$5:$AD$29,24,FALSE)+($F43+($F43*0.5*($D43-1)))*(Y$3-1)</f>
        <v>14073</v>
      </c>
      <c r="Z43" s="138">
        <f>VLOOKUP($C$43,Servant!$B$5:$AD$29,24,FALSE)+($F43+($F43*0.5*($D43-1)))*(Z$3-1)</f>
        <v>14867</v>
      </c>
      <c r="AA43" s="138">
        <f>VLOOKUP($C$43,Servant!$B$5:$AD$29,24,FALSE)+($F43+($F43*0.5*($D43-1)))*(AA$3-1)</f>
        <v>15661</v>
      </c>
      <c r="AB43" s="138">
        <f>VLOOKUP($C$43,Servant!$B$5:$AD$29,24,FALSE)+($F43+($F43*0.5*($D43-1)))*(AB$3-1)</f>
        <v>16455</v>
      </c>
      <c r="AC43" s="138">
        <f>VLOOKUP($C$43,Servant!$B$5:$AD$29,24,FALSE)+($F43+($F43*0.5*($D43-1)))*(AC$3-1)</f>
        <v>17249</v>
      </c>
      <c r="AD43" s="138">
        <f>VLOOKUP($C$43,Servant!$B$5:$AD$29,24,FALSE)+($F43+($F43*0.5*($D43-1)))*(AD$3-1)</f>
        <v>18043</v>
      </c>
      <c r="AE43" s="138">
        <f>VLOOKUP($C$43,Servant!$B$5:$AD$29,24,FALSE)+($F43+($F43*0.5*($D43-1)))*(AE$3-1)</f>
        <v>18837</v>
      </c>
      <c r="AF43" s="138">
        <f>VLOOKUP($C$43,Servant!$B$5:$AD$29,24,FALSE)+($F43+($F43*0.5*($D43-1)))*(AF$3-1)</f>
        <v>19631</v>
      </c>
      <c r="AG43" s="138">
        <f>VLOOKUP($C$43,Servant!$B$5:$AD$29,24,FALSE)+($F43+($F43*0.5*($D43-1)))*(AG$3-1)</f>
        <v>20425</v>
      </c>
      <c r="AH43" s="138">
        <f>VLOOKUP($C$43,Servant!$B$5:$AD$29,24,FALSE)+($F43+($F43*0.5*($D43-1)))*(AH$3-1)</f>
        <v>21219</v>
      </c>
      <c r="AI43" s="138">
        <f>VLOOKUP($C$43,Servant!$B$5:$AD$29,24,FALSE)+($F43+($F43*0.5*($D43-1)))*(AI$3-1)</f>
        <v>22013</v>
      </c>
      <c r="AJ43" s="138">
        <f>VLOOKUP($C$43,Servant!$B$5:$AD$29,24,FALSE)+($F43+($F43*0.5*($D43-1)))*(AJ$3-1)</f>
        <v>22807</v>
      </c>
      <c r="AK43" s="138">
        <f>VLOOKUP($C$43,Servant!$B$5:$AD$29,24,FALSE)+($F43+($F43*0.5*($D43-1)))*(AK$3-1)</f>
        <v>23601</v>
      </c>
    </row>
    <row r="44" spans="2:37" x14ac:dyDescent="0.3">
      <c r="B44" s="309"/>
      <c r="C44" s="317"/>
      <c r="D44" s="136">
        <v>4</v>
      </c>
      <c r="E44" s="137">
        <f>VLOOKUP($C$43,ServantLevelUPdStatus!$B$5:$AD$29,12,FALSE)+(VLOOKUP($C$43,ServantLevelUPdStatus!$B$5:$AD$29,12,FALSE)*0.5*(Simulator_DfsPow!$D44-1))</f>
        <v>992.5</v>
      </c>
      <c r="F44" s="139">
        <f>F43</f>
        <v>397</v>
      </c>
      <c r="H44" s="138">
        <f>VLOOKUP($C$43,Servant!$B$5:$AD$29,24,FALSE)+($F44+($F44*0.5*($D44-1)))*(H$3-1)</f>
        <v>575</v>
      </c>
      <c r="I44" s="138">
        <f>VLOOKUP($C$43,Servant!$B$5:$AD$29,24,FALSE)+($F44+($F44*0.5*($D44-1)))*(I$3-1)</f>
        <v>1567.5</v>
      </c>
      <c r="J44" s="138">
        <f>VLOOKUP($C$43,Servant!$B$5:$AD$29,24,FALSE)+($F44+($F44*0.5*($D44-1)))*(J$3-1)</f>
        <v>2560</v>
      </c>
      <c r="K44" s="138">
        <f>VLOOKUP($C$43,Servant!$B$5:$AD$29,24,FALSE)+($F44+($F44*0.5*($D44-1)))*(K$3-1)</f>
        <v>3552.5</v>
      </c>
      <c r="L44" s="138">
        <f>VLOOKUP($C$43,Servant!$B$5:$AD$29,24,FALSE)+($F44+($F44*0.5*($D44-1)))*(L$3-1)</f>
        <v>4545</v>
      </c>
      <c r="M44" s="138">
        <f>VLOOKUP($C$43,Servant!$B$5:$AD$29,24,FALSE)+($F44+($F44*0.5*($D44-1)))*(M$3-1)</f>
        <v>5537.5</v>
      </c>
      <c r="N44" s="138">
        <f>VLOOKUP($C$43,Servant!$B$5:$AD$29,24,FALSE)+($F44+($F44*0.5*($D44-1)))*(N$3-1)</f>
        <v>6530</v>
      </c>
      <c r="O44" s="138">
        <f>VLOOKUP($C$43,Servant!$B$5:$AD$29,24,FALSE)+($F44+($F44*0.5*($D44-1)))*(O$3-1)</f>
        <v>7522.5</v>
      </c>
      <c r="P44" s="138">
        <f>VLOOKUP($C$43,Servant!$B$5:$AD$29,24,FALSE)+($F44+($F44*0.5*($D44-1)))*(P$3-1)</f>
        <v>8515</v>
      </c>
      <c r="Q44" s="138">
        <f>VLOOKUP($C$43,Servant!$B$5:$AD$29,24,FALSE)+($F44+($F44*0.5*($D44-1)))*(Q$3-1)</f>
        <v>9507.5</v>
      </c>
      <c r="R44" s="138">
        <f>VLOOKUP($C$43,Servant!$B$5:$AD$29,24,FALSE)+($F44+($F44*0.5*($D44-1)))*(R$3-1)</f>
        <v>10500</v>
      </c>
      <c r="S44" s="138">
        <f>VLOOKUP($C$43,Servant!$B$5:$AD$29,24,FALSE)+($F44+($F44*0.5*($D44-1)))*(S$3-1)</f>
        <v>11492.5</v>
      </c>
      <c r="T44" s="138">
        <f>VLOOKUP($C$43,Servant!$B$5:$AD$29,24,FALSE)+($F44+($F44*0.5*($D44-1)))*(T$3-1)</f>
        <v>12485</v>
      </c>
      <c r="U44" s="138">
        <f>VLOOKUP($C$43,Servant!$B$5:$AD$29,24,FALSE)+($F44+($F44*0.5*($D44-1)))*(U$3-1)</f>
        <v>13477.5</v>
      </c>
      <c r="V44" s="138">
        <f>VLOOKUP($C$43,Servant!$B$5:$AD$29,24,FALSE)+($F44+($F44*0.5*($D44-1)))*(V$3-1)</f>
        <v>14470</v>
      </c>
      <c r="W44" s="138">
        <f>VLOOKUP($C$43,Servant!$B$5:$AD$29,24,FALSE)+($F44+($F44*0.5*($D44-1)))*(W$3-1)</f>
        <v>15462.5</v>
      </c>
      <c r="X44" s="138">
        <f>VLOOKUP($C$43,Servant!$B$5:$AD$29,24,FALSE)+($F44+($F44*0.5*($D44-1)))*(X$3-1)</f>
        <v>16455</v>
      </c>
      <c r="Y44" s="138">
        <f>VLOOKUP($C$43,Servant!$B$5:$AD$29,24,FALSE)+($F44+($F44*0.5*($D44-1)))*(Y$3-1)</f>
        <v>17447.5</v>
      </c>
      <c r="Z44" s="138">
        <f>VLOOKUP($C$43,Servant!$B$5:$AD$29,24,FALSE)+($F44+($F44*0.5*($D44-1)))*(Z$3-1)</f>
        <v>18440</v>
      </c>
      <c r="AA44" s="138">
        <f>VLOOKUP($C$43,Servant!$B$5:$AD$29,24,FALSE)+($F44+($F44*0.5*($D44-1)))*(AA$3-1)</f>
        <v>19432.5</v>
      </c>
      <c r="AB44" s="138">
        <f>VLOOKUP($C$43,Servant!$B$5:$AD$29,24,FALSE)+($F44+($F44*0.5*($D44-1)))*(AB$3-1)</f>
        <v>20425</v>
      </c>
      <c r="AC44" s="138">
        <f>VLOOKUP($C$43,Servant!$B$5:$AD$29,24,FALSE)+($F44+($F44*0.5*($D44-1)))*(AC$3-1)</f>
        <v>21417.5</v>
      </c>
      <c r="AD44" s="138">
        <f>VLOOKUP($C$43,Servant!$B$5:$AD$29,24,FALSE)+($F44+($F44*0.5*($D44-1)))*(AD$3-1)</f>
        <v>22410</v>
      </c>
      <c r="AE44" s="138">
        <f>VLOOKUP($C$43,Servant!$B$5:$AD$29,24,FALSE)+($F44+($F44*0.5*($D44-1)))*(AE$3-1)</f>
        <v>23402.5</v>
      </c>
      <c r="AF44" s="138">
        <f>VLOOKUP($C$43,Servant!$B$5:$AD$29,24,FALSE)+($F44+($F44*0.5*($D44-1)))*(AF$3-1)</f>
        <v>24395</v>
      </c>
      <c r="AG44" s="138">
        <f>VLOOKUP($C$43,Servant!$B$5:$AD$29,24,FALSE)+($F44+($F44*0.5*($D44-1)))*(AG$3-1)</f>
        <v>25387.5</v>
      </c>
      <c r="AH44" s="138">
        <f>VLOOKUP($C$43,Servant!$B$5:$AD$29,24,FALSE)+($F44+($F44*0.5*($D44-1)))*(AH$3-1)</f>
        <v>26380</v>
      </c>
      <c r="AI44" s="138">
        <f>VLOOKUP($C$43,Servant!$B$5:$AD$29,24,FALSE)+($F44+($F44*0.5*($D44-1)))*(AI$3-1)</f>
        <v>27372.5</v>
      </c>
      <c r="AJ44" s="138">
        <f>VLOOKUP($C$43,Servant!$B$5:$AD$29,24,FALSE)+($F44+($F44*0.5*($D44-1)))*(AJ$3-1)</f>
        <v>28365</v>
      </c>
      <c r="AK44" s="138">
        <f>VLOOKUP($C$43,Servant!$B$5:$AD$29,24,FALSE)+($F44+($F44*0.5*($D44-1)))*(AK$3-1)</f>
        <v>29357.5</v>
      </c>
    </row>
    <row r="45" spans="2:37" x14ac:dyDescent="0.3">
      <c r="B45" s="309"/>
      <c r="C45" s="317"/>
      <c r="D45" s="136">
        <v>5</v>
      </c>
      <c r="E45" s="137">
        <f>VLOOKUP($C$43,ServantLevelUPdStatus!$B$5:$AD$29,12,FALSE)+(VLOOKUP($C$43,ServantLevelUPdStatus!$B$5:$AD$29,12,FALSE)*0.5*(Simulator_DfsPow!$D45-1))</f>
        <v>1191</v>
      </c>
      <c r="F45" s="139">
        <f>F44</f>
        <v>397</v>
      </c>
      <c r="H45" s="138">
        <f>VLOOKUP($C$43,Servant!$B$5:$AD$29,24,FALSE)+($F45+($F45*0.5*($D45-1)))*(H$3-1)</f>
        <v>575</v>
      </c>
      <c r="I45" s="138">
        <f>VLOOKUP($C$43,Servant!$B$5:$AD$29,24,FALSE)+($F45+($F45*0.5*($D45-1)))*(I$3-1)</f>
        <v>1766</v>
      </c>
      <c r="J45" s="138">
        <f>VLOOKUP($C$43,Servant!$B$5:$AD$29,24,FALSE)+($F45+($F45*0.5*($D45-1)))*(J$3-1)</f>
        <v>2957</v>
      </c>
      <c r="K45" s="138">
        <f>VLOOKUP($C$43,Servant!$B$5:$AD$29,24,FALSE)+($F45+($F45*0.5*($D45-1)))*(K$3-1)</f>
        <v>4148</v>
      </c>
      <c r="L45" s="138">
        <f>VLOOKUP($C$43,Servant!$B$5:$AD$29,24,FALSE)+($F45+($F45*0.5*($D45-1)))*(L$3-1)</f>
        <v>5339</v>
      </c>
      <c r="M45" s="138">
        <f>VLOOKUP($C$43,Servant!$B$5:$AD$29,24,FALSE)+($F45+($F45*0.5*($D45-1)))*(M$3-1)</f>
        <v>6530</v>
      </c>
      <c r="N45" s="138">
        <f>VLOOKUP($C$43,Servant!$B$5:$AD$29,24,FALSE)+($F45+($F45*0.5*($D45-1)))*(N$3-1)</f>
        <v>7721</v>
      </c>
      <c r="O45" s="138">
        <f>VLOOKUP($C$43,Servant!$B$5:$AD$29,24,FALSE)+($F45+($F45*0.5*($D45-1)))*(O$3-1)</f>
        <v>8912</v>
      </c>
      <c r="P45" s="138">
        <f>VLOOKUP($C$43,Servant!$B$5:$AD$29,24,FALSE)+($F45+($F45*0.5*($D45-1)))*(P$3-1)</f>
        <v>10103</v>
      </c>
      <c r="Q45" s="138">
        <f>VLOOKUP($C$43,Servant!$B$5:$AD$29,24,FALSE)+($F45+($F45*0.5*($D45-1)))*(Q$3-1)</f>
        <v>11294</v>
      </c>
      <c r="R45" s="138">
        <f>VLOOKUP($C$43,Servant!$B$5:$AD$29,24,FALSE)+($F45+($F45*0.5*($D45-1)))*(R$3-1)</f>
        <v>12485</v>
      </c>
      <c r="S45" s="138">
        <f>VLOOKUP($C$43,Servant!$B$5:$AD$29,24,FALSE)+($F45+($F45*0.5*($D45-1)))*(S$3-1)</f>
        <v>13676</v>
      </c>
      <c r="T45" s="138">
        <f>VLOOKUP($C$43,Servant!$B$5:$AD$29,24,FALSE)+($F45+($F45*0.5*($D45-1)))*(T$3-1)</f>
        <v>14867</v>
      </c>
      <c r="U45" s="138">
        <f>VLOOKUP($C$43,Servant!$B$5:$AD$29,24,FALSE)+($F45+($F45*0.5*($D45-1)))*(U$3-1)</f>
        <v>16058</v>
      </c>
      <c r="V45" s="138">
        <f>VLOOKUP($C$43,Servant!$B$5:$AD$29,24,FALSE)+($F45+($F45*0.5*($D45-1)))*(V$3-1)</f>
        <v>17249</v>
      </c>
      <c r="W45" s="138">
        <f>VLOOKUP($C$43,Servant!$B$5:$AD$29,24,FALSE)+($F45+($F45*0.5*($D45-1)))*(W$3-1)</f>
        <v>18440</v>
      </c>
      <c r="X45" s="138">
        <f>VLOOKUP($C$43,Servant!$B$5:$AD$29,24,FALSE)+($F45+($F45*0.5*($D45-1)))*(X$3-1)</f>
        <v>19631</v>
      </c>
      <c r="Y45" s="138">
        <f>VLOOKUP($C$43,Servant!$B$5:$AD$29,24,FALSE)+($F45+($F45*0.5*($D45-1)))*(Y$3-1)</f>
        <v>20822</v>
      </c>
      <c r="Z45" s="138">
        <f>VLOOKUP($C$43,Servant!$B$5:$AD$29,24,FALSE)+($F45+($F45*0.5*($D45-1)))*(Z$3-1)</f>
        <v>22013</v>
      </c>
      <c r="AA45" s="138">
        <f>VLOOKUP($C$43,Servant!$B$5:$AD$29,24,FALSE)+($F45+($F45*0.5*($D45-1)))*(AA$3-1)</f>
        <v>23204</v>
      </c>
      <c r="AB45" s="138">
        <f>VLOOKUP($C$43,Servant!$B$5:$AD$29,24,FALSE)+($F45+($F45*0.5*($D45-1)))*(AB$3-1)</f>
        <v>24395</v>
      </c>
      <c r="AC45" s="138">
        <f>VLOOKUP($C$43,Servant!$B$5:$AD$29,24,FALSE)+($F45+($F45*0.5*($D45-1)))*(AC$3-1)</f>
        <v>25586</v>
      </c>
      <c r="AD45" s="138">
        <f>VLOOKUP($C$43,Servant!$B$5:$AD$29,24,FALSE)+($F45+($F45*0.5*($D45-1)))*(AD$3-1)</f>
        <v>26777</v>
      </c>
      <c r="AE45" s="138">
        <f>VLOOKUP($C$43,Servant!$B$5:$AD$29,24,FALSE)+($F45+($F45*0.5*($D45-1)))*(AE$3-1)</f>
        <v>27968</v>
      </c>
      <c r="AF45" s="138">
        <f>VLOOKUP($C$43,Servant!$B$5:$AD$29,24,FALSE)+($F45+($F45*0.5*($D45-1)))*(AF$3-1)</f>
        <v>29159</v>
      </c>
      <c r="AG45" s="138">
        <f>VLOOKUP($C$43,Servant!$B$5:$AD$29,24,FALSE)+($F45+($F45*0.5*($D45-1)))*(AG$3-1)</f>
        <v>30350</v>
      </c>
      <c r="AH45" s="138">
        <f>VLOOKUP($C$43,Servant!$B$5:$AD$29,24,FALSE)+($F45+($F45*0.5*($D45-1)))*(AH$3-1)</f>
        <v>31541</v>
      </c>
      <c r="AI45" s="138">
        <f>VLOOKUP($C$43,Servant!$B$5:$AD$29,24,FALSE)+($F45+($F45*0.5*($D45-1)))*(AI$3-1)</f>
        <v>32732</v>
      </c>
      <c r="AJ45" s="138">
        <f>VLOOKUP($C$43,Servant!$B$5:$AD$29,24,FALSE)+($F45+($F45*0.5*($D45-1)))*(AJ$3-1)</f>
        <v>33923</v>
      </c>
      <c r="AK45" s="138">
        <f>VLOOKUP($C$43,Servant!$B$5:$AD$29,24,FALSE)+($F45+($F45*0.5*($D45-1)))*(AK$3-1)</f>
        <v>35114</v>
      </c>
    </row>
    <row r="46" spans="2:37" x14ac:dyDescent="0.3">
      <c r="B46" s="309"/>
      <c r="C46" s="300" t="s">
        <v>288</v>
      </c>
      <c r="D46" s="128">
        <v>3</v>
      </c>
      <c r="E46" s="122">
        <f>VLOOKUP($C$46,ServantLevelUPdStatus!$B$5:$AD$29,12,FALSE)+(VLOOKUP($C$46,ServantLevelUPdStatus!$B$5:$AD$29,12,FALSE)*0.5*(Simulator_DfsPow!$D46-1))</f>
        <v>940</v>
      </c>
      <c r="F46" s="122">
        <f>VLOOKUP($C$46,ServantLevelUPdStatus!$B$5:$AD$29,12,FALSE)</f>
        <v>470</v>
      </c>
      <c r="H46" s="114">
        <f>VLOOKUP($C$46,Servant!$B$5:$AD$29,24,FALSE)+($F46+($F46*0.5*($D46-1)))*(H$3-1)</f>
        <v>680</v>
      </c>
      <c r="I46" s="114">
        <f>VLOOKUP($C$46,Servant!$B$5:$AD$29,24,FALSE)+($F46+($F46*0.5*($D46-1)))*(I$3-1)</f>
        <v>1620</v>
      </c>
      <c r="J46" s="114">
        <f>VLOOKUP($C$46,Servant!$B$5:$AD$29,24,FALSE)+($F46+($F46*0.5*($D46-1)))*(J$3-1)</f>
        <v>2560</v>
      </c>
      <c r="K46" s="114">
        <f>VLOOKUP($C$46,Servant!$B$5:$AD$29,24,FALSE)+($F46+($F46*0.5*($D46-1)))*(K$3-1)</f>
        <v>3500</v>
      </c>
      <c r="L46" s="114">
        <f>VLOOKUP($C$46,Servant!$B$5:$AD$29,24,FALSE)+($F46+($F46*0.5*($D46-1)))*(L$3-1)</f>
        <v>4440</v>
      </c>
      <c r="M46" s="114">
        <f>VLOOKUP($C$46,Servant!$B$5:$AD$29,24,FALSE)+($F46+($F46*0.5*($D46-1)))*(M$3-1)</f>
        <v>5380</v>
      </c>
      <c r="N46" s="114">
        <f>VLOOKUP($C$46,Servant!$B$5:$AD$29,24,FALSE)+($F46+($F46*0.5*($D46-1)))*(N$3-1)</f>
        <v>6320</v>
      </c>
      <c r="O46" s="114">
        <f>VLOOKUP($C$46,Servant!$B$5:$AD$29,24,FALSE)+($F46+($F46*0.5*($D46-1)))*(O$3-1)</f>
        <v>7260</v>
      </c>
      <c r="P46" s="114">
        <f>VLOOKUP($C$46,Servant!$B$5:$AD$29,24,FALSE)+($F46+($F46*0.5*($D46-1)))*(P$3-1)</f>
        <v>8200</v>
      </c>
      <c r="Q46" s="114">
        <f>VLOOKUP($C$46,Servant!$B$5:$AD$29,24,FALSE)+($F46+($F46*0.5*($D46-1)))*(Q$3-1)</f>
        <v>9140</v>
      </c>
      <c r="R46" s="114">
        <f>VLOOKUP($C$46,Servant!$B$5:$AD$29,24,FALSE)+($F46+($F46*0.5*($D46-1)))*(R$3-1)</f>
        <v>10080</v>
      </c>
      <c r="S46" s="114">
        <f>VLOOKUP($C$46,Servant!$B$5:$AD$29,24,FALSE)+($F46+($F46*0.5*($D46-1)))*(S$3-1)</f>
        <v>11020</v>
      </c>
      <c r="T46" s="114">
        <f>VLOOKUP($C$46,Servant!$B$5:$AD$29,24,FALSE)+($F46+($F46*0.5*($D46-1)))*(T$3-1)</f>
        <v>11960</v>
      </c>
      <c r="U46" s="114">
        <f>VLOOKUP($C$46,Servant!$B$5:$AD$29,24,FALSE)+($F46+($F46*0.5*($D46-1)))*(U$3-1)</f>
        <v>12900</v>
      </c>
      <c r="V46" s="114">
        <f>VLOOKUP($C$46,Servant!$B$5:$AD$29,24,FALSE)+($F46+($F46*0.5*($D46-1)))*(V$3-1)</f>
        <v>13840</v>
      </c>
      <c r="W46" s="114">
        <f>VLOOKUP($C$46,Servant!$B$5:$AD$29,24,FALSE)+($F46+($F46*0.5*($D46-1)))*(W$3-1)</f>
        <v>14780</v>
      </c>
      <c r="X46" s="114">
        <f>VLOOKUP($C$46,Servant!$B$5:$AD$29,24,FALSE)+($F46+($F46*0.5*($D46-1)))*(X$3-1)</f>
        <v>15720</v>
      </c>
      <c r="Y46" s="114">
        <f>VLOOKUP($C$46,Servant!$B$5:$AD$29,24,FALSE)+($F46+($F46*0.5*($D46-1)))*(Y$3-1)</f>
        <v>16660</v>
      </c>
      <c r="Z46" s="114">
        <f>VLOOKUP($C$46,Servant!$B$5:$AD$29,24,FALSE)+($F46+($F46*0.5*($D46-1)))*(Z$3-1)</f>
        <v>17600</v>
      </c>
      <c r="AA46" s="114">
        <f>VLOOKUP($C$46,Servant!$B$5:$AD$29,24,FALSE)+($F46+($F46*0.5*($D46-1)))*(AA$3-1)</f>
        <v>18540</v>
      </c>
      <c r="AB46" s="114">
        <f>VLOOKUP($C$46,Servant!$B$5:$AD$29,24,FALSE)+($F46+($F46*0.5*($D46-1)))*(AB$3-1)</f>
        <v>19480</v>
      </c>
      <c r="AC46" s="114">
        <f>VLOOKUP($C$46,Servant!$B$5:$AD$29,24,FALSE)+($F46+($F46*0.5*($D46-1)))*(AC$3-1)</f>
        <v>20420</v>
      </c>
      <c r="AD46" s="114">
        <f>VLOOKUP($C$46,Servant!$B$5:$AD$29,24,FALSE)+($F46+($F46*0.5*($D46-1)))*(AD$3-1)</f>
        <v>21360</v>
      </c>
      <c r="AE46" s="114">
        <f>VLOOKUP($C$46,Servant!$B$5:$AD$29,24,FALSE)+($F46+($F46*0.5*($D46-1)))*(AE$3-1)</f>
        <v>22300</v>
      </c>
      <c r="AF46" s="114">
        <f>VLOOKUP($C$46,Servant!$B$5:$AD$29,24,FALSE)+($F46+($F46*0.5*($D46-1)))*(AF$3-1)</f>
        <v>23240</v>
      </c>
      <c r="AG46" s="114">
        <f>VLOOKUP($C$46,Servant!$B$5:$AD$29,24,FALSE)+($F46+($F46*0.5*($D46-1)))*(AG$3-1)</f>
        <v>24180</v>
      </c>
      <c r="AH46" s="114">
        <f>VLOOKUP($C$46,Servant!$B$5:$AD$29,24,FALSE)+($F46+($F46*0.5*($D46-1)))*(AH$3-1)</f>
        <v>25120</v>
      </c>
      <c r="AI46" s="114">
        <f>VLOOKUP($C$46,Servant!$B$5:$AD$29,24,FALSE)+($F46+($F46*0.5*($D46-1)))*(AI$3-1)</f>
        <v>26060</v>
      </c>
      <c r="AJ46" s="114">
        <f>VLOOKUP($C$46,Servant!$B$5:$AD$29,24,FALSE)+($F46+($F46*0.5*($D46-1)))*(AJ$3-1)</f>
        <v>27000</v>
      </c>
      <c r="AK46" s="114">
        <f>VLOOKUP($C$46,Servant!$B$5:$AD$29,24,FALSE)+($F46+($F46*0.5*($D46-1)))*(AK$3-1)</f>
        <v>27940</v>
      </c>
    </row>
    <row r="47" spans="2:37" x14ac:dyDescent="0.3">
      <c r="B47" s="309"/>
      <c r="C47" s="300"/>
      <c r="D47" s="128">
        <v>4</v>
      </c>
      <c r="E47" s="122">
        <f>VLOOKUP($C$46,ServantLevelUPdStatus!$B$5:$AD$29,12,FALSE)+(VLOOKUP($C$46,ServantLevelUPdStatus!$B$5:$AD$29,12,FALSE)*0.5*(Simulator_DfsPow!$D47-1))</f>
        <v>1175</v>
      </c>
      <c r="F47" s="121">
        <f>F46</f>
        <v>470</v>
      </c>
      <c r="H47" s="114">
        <f>VLOOKUP($C$46,Servant!$B$5:$AD$29,24,FALSE)+($F47+($F47*0.5*($D47-1)))*(H$3-1)</f>
        <v>680</v>
      </c>
      <c r="I47" s="114">
        <f>VLOOKUP($C$46,Servant!$B$5:$AD$29,24,FALSE)+($F47+($F47*0.5*($D47-1)))*(I$3-1)</f>
        <v>1855</v>
      </c>
      <c r="J47" s="114">
        <f>VLOOKUP($C$46,Servant!$B$5:$AD$29,24,FALSE)+($F47+($F47*0.5*($D47-1)))*(J$3-1)</f>
        <v>3030</v>
      </c>
      <c r="K47" s="114">
        <f>VLOOKUP($C$46,Servant!$B$5:$AD$29,24,FALSE)+($F47+($F47*0.5*($D47-1)))*(K$3-1)</f>
        <v>4205</v>
      </c>
      <c r="L47" s="114">
        <f>VLOOKUP($C$46,Servant!$B$5:$AD$29,24,FALSE)+($F47+($F47*0.5*($D47-1)))*(L$3-1)</f>
        <v>5380</v>
      </c>
      <c r="M47" s="114">
        <f>VLOOKUP($C$46,Servant!$B$5:$AD$29,24,FALSE)+($F47+($F47*0.5*($D47-1)))*(M$3-1)</f>
        <v>6555</v>
      </c>
      <c r="N47" s="114">
        <f>VLOOKUP($C$46,Servant!$B$5:$AD$29,24,FALSE)+($F47+($F47*0.5*($D47-1)))*(N$3-1)</f>
        <v>7730</v>
      </c>
      <c r="O47" s="114">
        <f>VLOOKUP($C$46,Servant!$B$5:$AD$29,24,FALSE)+($F47+($F47*0.5*($D47-1)))*(O$3-1)</f>
        <v>8905</v>
      </c>
      <c r="P47" s="114">
        <f>VLOOKUP($C$46,Servant!$B$5:$AD$29,24,FALSE)+($F47+($F47*0.5*($D47-1)))*(P$3-1)</f>
        <v>10080</v>
      </c>
      <c r="Q47" s="114">
        <f>VLOOKUP($C$46,Servant!$B$5:$AD$29,24,FALSE)+($F47+($F47*0.5*($D47-1)))*(Q$3-1)</f>
        <v>11255</v>
      </c>
      <c r="R47" s="114">
        <f>VLOOKUP($C$46,Servant!$B$5:$AD$29,24,FALSE)+($F47+($F47*0.5*($D47-1)))*(R$3-1)</f>
        <v>12430</v>
      </c>
      <c r="S47" s="114">
        <f>VLOOKUP($C$46,Servant!$B$5:$AD$29,24,FALSE)+($F47+($F47*0.5*($D47-1)))*(S$3-1)</f>
        <v>13605</v>
      </c>
      <c r="T47" s="114">
        <f>VLOOKUP($C$46,Servant!$B$5:$AD$29,24,FALSE)+($F47+($F47*0.5*($D47-1)))*(T$3-1)</f>
        <v>14780</v>
      </c>
      <c r="U47" s="114">
        <f>VLOOKUP($C$46,Servant!$B$5:$AD$29,24,FALSE)+($F47+($F47*0.5*($D47-1)))*(U$3-1)</f>
        <v>15955</v>
      </c>
      <c r="V47" s="114">
        <f>VLOOKUP($C$46,Servant!$B$5:$AD$29,24,FALSE)+($F47+($F47*0.5*($D47-1)))*(V$3-1)</f>
        <v>17130</v>
      </c>
      <c r="W47" s="114">
        <f>VLOOKUP($C$46,Servant!$B$5:$AD$29,24,FALSE)+($F47+($F47*0.5*($D47-1)))*(W$3-1)</f>
        <v>18305</v>
      </c>
      <c r="X47" s="114">
        <f>VLOOKUP($C$46,Servant!$B$5:$AD$29,24,FALSE)+($F47+($F47*0.5*($D47-1)))*(X$3-1)</f>
        <v>19480</v>
      </c>
      <c r="Y47" s="114">
        <f>VLOOKUP($C$46,Servant!$B$5:$AD$29,24,FALSE)+($F47+($F47*0.5*($D47-1)))*(Y$3-1)</f>
        <v>20655</v>
      </c>
      <c r="Z47" s="114">
        <f>VLOOKUP($C$46,Servant!$B$5:$AD$29,24,FALSE)+($F47+($F47*0.5*($D47-1)))*(Z$3-1)</f>
        <v>21830</v>
      </c>
      <c r="AA47" s="114">
        <f>VLOOKUP($C$46,Servant!$B$5:$AD$29,24,FALSE)+($F47+($F47*0.5*($D47-1)))*(AA$3-1)</f>
        <v>23005</v>
      </c>
      <c r="AB47" s="114">
        <f>VLOOKUP($C$46,Servant!$B$5:$AD$29,24,FALSE)+($F47+($F47*0.5*($D47-1)))*(AB$3-1)</f>
        <v>24180</v>
      </c>
      <c r="AC47" s="114">
        <f>VLOOKUP($C$46,Servant!$B$5:$AD$29,24,FALSE)+($F47+($F47*0.5*($D47-1)))*(AC$3-1)</f>
        <v>25355</v>
      </c>
      <c r="AD47" s="114">
        <f>VLOOKUP($C$46,Servant!$B$5:$AD$29,24,FALSE)+($F47+($F47*0.5*($D47-1)))*(AD$3-1)</f>
        <v>26530</v>
      </c>
      <c r="AE47" s="114">
        <f>VLOOKUP($C$46,Servant!$B$5:$AD$29,24,FALSE)+($F47+($F47*0.5*($D47-1)))*(AE$3-1)</f>
        <v>27705</v>
      </c>
      <c r="AF47" s="114">
        <f>VLOOKUP($C$46,Servant!$B$5:$AD$29,24,FALSE)+($F47+($F47*0.5*($D47-1)))*(AF$3-1)</f>
        <v>28880</v>
      </c>
      <c r="AG47" s="114">
        <f>VLOOKUP($C$46,Servant!$B$5:$AD$29,24,FALSE)+($F47+($F47*0.5*($D47-1)))*(AG$3-1)</f>
        <v>30055</v>
      </c>
      <c r="AH47" s="114">
        <f>VLOOKUP($C$46,Servant!$B$5:$AD$29,24,FALSE)+($F47+($F47*0.5*($D47-1)))*(AH$3-1)</f>
        <v>31230</v>
      </c>
      <c r="AI47" s="114">
        <f>VLOOKUP($C$46,Servant!$B$5:$AD$29,24,FALSE)+($F47+($F47*0.5*($D47-1)))*(AI$3-1)</f>
        <v>32405</v>
      </c>
      <c r="AJ47" s="114">
        <f>VLOOKUP($C$46,Servant!$B$5:$AD$29,24,FALSE)+($F47+($F47*0.5*($D47-1)))*(AJ$3-1)</f>
        <v>33580</v>
      </c>
      <c r="AK47" s="114">
        <f>VLOOKUP($C$46,Servant!$B$5:$AD$29,24,FALSE)+($F47+($F47*0.5*($D47-1)))*(AK$3-1)</f>
        <v>34755</v>
      </c>
    </row>
    <row r="48" spans="2:37" x14ac:dyDescent="0.3">
      <c r="B48" s="309"/>
      <c r="C48" s="300"/>
      <c r="D48" s="128">
        <v>5</v>
      </c>
      <c r="E48" s="122">
        <f>VLOOKUP($C$46,ServantLevelUPdStatus!$B$5:$AD$29,12,FALSE)+(VLOOKUP($C$46,ServantLevelUPdStatus!$B$5:$AD$29,12,FALSE)*0.5*(Simulator_DfsPow!$D48-1))</f>
        <v>1410</v>
      </c>
      <c r="F48" s="121">
        <f>F47</f>
        <v>470</v>
      </c>
      <c r="H48" s="114">
        <f>VLOOKUP($C$46,Servant!$B$5:$AD$29,24,FALSE)+($F48+($F48*0.5*($D48-1)))*(H$3-1)</f>
        <v>680</v>
      </c>
      <c r="I48" s="114">
        <f>VLOOKUP($C$46,Servant!$B$5:$AD$29,24,FALSE)+($F48+($F48*0.5*($D48-1)))*(I$3-1)</f>
        <v>2090</v>
      </c>
      <c r="J48" s="114">
        <f>VLOOKUP($C$46,Servant!$B$5:$AD$29,24,FALSE)+($F48+($F48*0.5*($D48-1)))*(J$3-1)</f>
        <v>3500</v>
      </c>
      <c r="K48" s="114">
        <f>VLOOKUP($C$46,Servant!$B$5:$AD$29,24,FALSE)+($F48+($F48*0.5*($D48-1)))*(K$3-1)</f>
        <v>4910</v>
      </c>
      <c r="L48" s="114">
        <f>VLOOKUP($C$46,Servant!$B$5:$AD$29,24,FALSE)+($F48+($F48*0.5*($D48-1)))*(L$3-1)</f>
        <v>6320</v>
      </c>
      <c r="M48" s="114">
        <f>VLOOKUP($C$46,Servant!$B$5:$AD$29,24,FALSE)+($F48+($F48*0.5*($D48-1)))*(M$3-1)</f>
        <v>7730</v>
      </c>
      <c r="N48" s="114">
        <f>VLOOKUP($C$46,Servant!$B$5:$AD$29,24,FALSE)+($F48+($F48*0.5*($D48-1)))*(N$3-1)</f>
        <v>9140</v>
      </c>
      <c r="O48" s="114">
        <f>VLOOKUP($C$46,Servant!$B$5:$AD$29,24,FALSE)+($F48+($F48*0.5*($D48-1)))*(O$3-1)</f>
        <v>10550</v>
      </c>
      <c r="P48" s="114">
        <f>VLOOKUP($C$46,Servant!$B$5:$AD$29,24,FALSE)+($F48+($F48*0.5*($D48-1)))*(P$3-1)</f>
        <v>11960</v>
      </c>
      <c r="Q48" s="114">
        <f>VLOOKUP($C$46,Servant!$B$5:$AD$29,24,FALSE)+($F48+($F48*0.5*($D48-1)))*(Q$3-1)</f>
        <v>13370</v>
      </c>
      <c r="R48" s="114">
        <f>VLOOKUP($C$46,Servant!$B$5:$AD$29,24,FALSE)+($F48+($F48*0.5*($D48-1)))*(R$3-1)</f>
        <v>14780</v>
      </c>
      <c r="S48" s="114">
        <f>VLOOKUP($C$46,Servant!$B$5:$AD$29,24,FALSE)+($F48+($F48*0.5*($D48-1)))*(S$3-1)</f>
        <v>16190</v>
      </c>
      <c r="T48" s="114">
        <f>VLOOKUP($C$46,Servant!$B$5:$AD$29,24,FALSE)+($F48+($F48*0.5*($D48-1)))*(T$3-1)</f>
        <v>17600</v>
      </c>
      <c r="U48" s="114">
        <f>VLOOKUP($C$46,Servant!$B$5:$AD$29,24,FALSE)+($F48+($F48*0.5*($D48-1)))*(U$3-1)</f>
        <v>19010</v>
      </c>
      <c r="V48" s="114">
        <f>VLOOKUP($C$46,Servant!$B$5:$AD$29,24,FALSE)+($F48+($F48*0.5*($D48-1)))*(V$3-1)</f>
        <v>20420</v>
      </c>
      <c r="W48" s="114">
        <f>VLOOKUP($C$46,Servant!$B$5:$AD$29,24,FALSE)+($F48+($F48*0.5*($D48-1)))*(W$3-1)</f>
        <v>21830</v>
      </c>
      <c r="X48" s="114">
        <f>VLOOKUP($C$46,Servant!$B$5:$AD$29,24,FALSE)+($F48+($F48*0.5*($D48-1)))*(X$3-1)</f>
        <v>23240</v>
      </c>
      <c r="Y48" s="114">
        <f>VLOOKUP($C$46,Servant!$B$5:$AD$29,24,FALSE)+($F48+($F48*0.5*($D48-1)))*(Y$3-1)</f>
        <v>24650</v>
      </c>
      <c r="Z48" s="114">
        <f>VLOOKUP($C$46,Servant!$B$5:$AD$29,24,FALSE)+($F48+($F48*0.5*($D48-1)))*(Z$3-1)</f>
        <v>26060</v>
      </c>
      <c r="AA48" s="114">
        <f>VLOOKUP($C$46,Servant!$B$5:$AD$29,24,FALSE)+($F48+($F48*0.5*($D48-1)))*(AA$3-1)</f>
        <v>27470</v>
      </c>
      <c r="AB48" s="114">
        <f>VLOOKUP($C$46,Servant!$B$5:$AD$29,24,FALSE)+($F48+($F48*0.5*($D48-1)))*(AB$3-1)</f>
        <v>28880</v>
      </c>
      <c r="AC48" s="114">
        <f>VLOOKUP($C$46,Servant!$B$5:$AD$29,24,FALSE)+($F48+($F48*0.5*($D48-1)))*(AC$3-1)</f>
        <v>30290</v>
      </c>
      <c r="AD48" s="114">
        <f>VLOOKUP($C$46,Servant!$B$5:$AD$29,24,FALSE)+($F48+($F48*0.5*($D48-1)))*(AD$3-1)</f>
        <v>31700</v>
      </c>
      <c r="AE48" s="114">
        <f>VLOOKUP($C$46,Servant!$B$5:$AD$29,24,FALSE)+($F48+($F48*0.5*($D48-1)))*(AE$3-1)</f>
        <v>33110</v>
      </c>
      <c r="AF48" s="114">
        <f>VLOOKUP($C$46,Servant!$B$5:$AD$29,24,FALSE)+($F48+($F48*0.5*($D48-1)))*(AF$3-1)</f>
        <v>34520</v>
      </c>
      <c r="AG48" s="114">
        <f>VLOOKUP($C$46,Servant!$B$5:$AD$29,24,FALSE)+($F48+($F48*0.5*($D48-1)))*(AG$3-1)</f>
        <v>35930</v>
      </c>
      <c r="AH48" s="114">
        <f>VLOOKUP($C$46,Servant!$B$5:$AD$29,24,FALSE)+($F48+($F48*0.5*($D48-1)))*(AH$3-1)</f>
        <v>37340</v>
      </c>
      <c r="AI48" s="114">
        <f>VLOOKUP($C$46,Servant!$B$5:$AD$29,24,FALSE)+($F48+($F48*0.5*($D48-1)))*(AI$3-1)</f>
        <v>38750</v>
      </c>
      <c r="AJ48" s="114">
        <f>VLOOKUP($C$46,Servant!$B$5:$AD$29,24,FALSE)+($F48+($F48*0.5*($D48-1)))*(AJ$3-1)</f>
        <v>40160</v>
      </c>
      <c r="AK48" s="114">
        <f>VLOOKUP($C$46,Servant!$B$5:$AD$29,24,FALSE)+($F48+($F48*0.5*($D48-1)))*(AK$3-1)</f>
        <v>41570</v>
      </c>
    </row>
    <row r="49" spans="2:37" x14ac:dyDescent="0.3">
      <c r="B49" s="309"/>
      <c r="C49" s="317" t="s">
        <v>289</v>
      </c>
      <c r="D49" s="136">
        <v>3</v>
      </c>
      <c r="E49" s="137">
        <f>VLOOKUP($C$49,ServantLevelUPdStatus!$B$5:$AD$29,12,FALSE)+(VLOOKUP($C$49,ServantLevelUPdStatus!$B$5:$AD$29,12,FALSE)*0.5*(Simulator_DfsPow!$D49-1))</f>
        <v>804</v>
      </c>
      <c r="F49" s="137">
        <f>VLOOKUP($C$49,ServantLevelUPdStatus!$B$5:$AD$29,12,FALSE)</f>
        <v>402</v>
      </c>
      <c r="H49" s="138">
        <f>VLOOKUP($C$49,Servant!$B$5:$AD$29,24,FALSE)+($F49+($F49*0.5*($D49-1)))*(H$3-1)</f>
        <v>582</v>
      </c>
      <c r="I49" s="138">
        <f>VLOOKUP($C$49,Servant!$B$5:$AD$29,24,FALSE)+($F49+($F49*0.5*($D49-1)))*(I$3-1)</f>
        <v>1386</v>
      </c>
      <c r="J49" s="138">
        <f>VLOOKUP($C$49,Servant!$B$5:$AD$29,24,FALSE)+($F49+($F49*0.5*($D49-1)))*(J$3-1)</f>
        <v>2190</v>
      </c>
      <c r="K49" s="138">
        <f>VLOOKUP($C$49,Servant!$B$5:$AD$29,24,FALSE)+($F49+($F49*0.5*($D49-1)))*(K$3-1)</f>
        <v>2994</v>
      </c>
      <c r="L49" s="138">
        <f>VLOOKUP($C$49,Servant!$B$5:$AD$29,24,FALSE)+($F49+($F49*0.5*($D49-1)))*(L$3-1)</f>
        <v>3798</v>
      </c>
      <c r="M49" s="138">
        <f>VLOOKUP($C$49,Servant!$B$5:$AD$29,24,FALSE)+($F49+($F49*0.5*($D49-1)))*(M$3-1)</f>
        <v>4602</v>
      </c>
      <c r="N49" s="138">
        <f>VLOOKUP($C$49,Servant!$B$5:$AD$29,24,FALSE)+($F49+($F49*0.5*($D49-1)))*(N$3-1)</f>
        <v>5406</v>
      </c>
      <c r="O49" s="138">
        <f>VLOOKUP($C$49,Servant!$B$5:$AD$29,24,FALSE)+($F49+($F49*0.5*($D49-1)))*(O$3-1)</f>
        <v>6210</v>
      </c>
      <c r="P49" s="138">
        <f>VLOOKUP($C$49,Servant!$B$5:$AD$29,24,FALSE)+($F49+($F49*0.5*($D49-1)))*(P$3-1)</f>
        <v>7014</v>
      </c>
      <c r="Q49" s="138">
        <f>VLOOKUP($C$49,Servant!$B$5:$AD$29,24,FALSE)+($F49+($F49*0.5*($D49-1)))*(Q$3-1)</f>
        <v>7818</v>
      </c>
      <c r="R49" s="138">
        <f>VLOOKUP($C$49,Servant!$B$5:$AD$29,24,FALSE)+($F49+($F49*0.5*($D49-1)))*(R$3-1)</f>
        <v>8622</v>
      </c>
      <c r="S49" s="138">
        <f>VLOOKUP($C$49,Servant!$B$5:$AD$29,24,FALSE)+($F49+($F49*0.5*($D49-1)))*(S$3-1)</f>
        <v>9426</v>
      </c>
      <c r="T49" s="138">
        <f>VLOOKUP($C$49,Servant!$B$5:$AD$29,24,FALSE)+($F49+($F49*0.5*($D49-1)))*(T$3-1)</f>
        <v>10230</v>
      </c>
      <c r="U49" s="138">
        <f>VLOOKUP($C$49,Servant!$B$5:$AD$29,24,FALSE)+($F49+($F49*0.5*($D49-1)))*(U$3-1)</f>
        <v>11034</v>
      </c>
      <c r="V49" s="138">
        <f>VLOOKUP($C$49,Servant!$B$5:$AD$29,24,FALSE)+($F49+($F49*0.5*($D49-1)))*(V$3-1)</f>
        <v>11838</v>
      </c>
      <c r="W49" s="138">
        <f>VLOOKUP($C$49,Servant!$B$5:$AD$29,24,FALSE)+($F49+($F49*0.5*($D49-1)))*(W$3-1)</f>
        <v>12642</v>
      </c>
      <c r="X49" s="138">
        <f>VLOOKUP($C$49,Servant!$B$5:$AD$29,24,FALSE)+($F49+($F49*0.5*($D49-1)))*(X$3-1)</f>
        <v>13446</v>
      </c>
      <c r="Y49" s="138">
        <f>VLOOKUP($C$49,Servant!$B$5:$AD$29,24,FALSE)+($F49+($F49*0.5*($D49-1)))*(Y$3-1)</f>
        <v>14250</v>
      </c>
      <c r="Z49" s="138">
        <f>VLOOKUP($C$49,Servant!$B$5:$AD$29,24,FALSE)+($F49+($F49*0.5*($D49-1)))*(Z$3-1)</f>
        <v>15054</v>
      </c>
      <c r="AA49" s="138">
        <f>VLOOKUP($C$49,Servant!$B$5:$AD$29,24,FALSE)+($F49+($F49*0.5*($D49-1)))*(AA$3-1)</f>
        <v>15858</v>
      </c>
      <c r="AB49" s="138">
        <f>VLOOKUP($C$49,Servant!$B$5:$AD$29,24,FALSE)+($F49+($F49*0.5*($D49-1)))*(AB$3-1)</f>
        <v>16662</v>
      </c>
      <c r="AC49" s="138">
        <f>VLOOKUP($C$49,Servant!$B$5:$AD$29,24,FALSE)+($F49+($F49*0.5*($D49-1)))*(AC$3-1)</f>
        <v>17466</v>
      </c>
      <c r="AD49" s="138">
        <f>VLOOKUP($C$49,Servant!$B$5:$AD$29,24,FALSE)+($F49+($F49*0.5*($D49-1)))*(AD$3-1)</f>
        <v>18270</v>
      </c>
      <c r="AE49" s="138">
        <f>VLOOKUP($C$49,Servant!$B$5:$AD$29,24,FALSE)+($F49+($F49*0.5*($D49-1)))*(AE$3-1)</f>
        <v>19074</v>
      </c>
      <c r="AF49" s="138">
        <f>VLOOKUP($C$49,Servant!$B$5:$AD$29,24,FALSE)+($F49+($F49*0.5*($D49-1)))*(AF$3-1)</f>
        <v>19878</v>
      </c>
      <c r="AG49" s="138">
        <f>VLOOKUP($C$49,Servant!$B$5:$AD$29,24,FALSE)+($F49+($F49*0.5*($D49-1)))*(AG$3-1)</f>
        <v>20682</v>
      </c>
      <c r="AH49" s="138">
        <f>VLOOKUP($C$49,Servant!$B$5:$AD$29,24,FALSE)+($F49+($F49*0.5*($D49-1)))*(AH$3-1)</f>
        <v>21486</v>
      </c>
      <c r="AI49" s="138">
        <f>VLOOKUP($C$49,Servant!$B$5:$AD$29,24,FALSE)+($F49+($F49*0.5*($D49-1)))*(AI$3-1)</f>
        <v>22290</v>
      </c>
      <c r="AJ49" s="138">
        <f>VLOOKUP($C$49,Servant!$B$5:$AD$29,24,FALSE)+($F49+($F49*0.5*($D49-1)))*(AJ$3-1)</f>
        <v>23094</v>
      </c>
      <c r="AK49" s="138">
        <f>VLOOKUP($C$49,Servant!$B$5:$AD$29,24,FALSE)+($F49+($F49*0.5*($D49-1)))*(AK$3-1)</f>
        <v>23898</v>
      </c>
    </row>
    <row r="50" spans="2:37" x14ac:dyDescent="0.3">
      <c r="B50" s="309"/>
      <c r="C50" s="317"/>
      <c r="D50" s="136">
        <v>4</v>
      </c>
      <c r="E50" s="137">
        <f>VLOOKUP($C$49,ServantLevelUPdStatus!$B$5:$AD$29,12,FALSE)+(VLOOKUP($C$49,ServantLevelUPdStatus!$B$5:$AD$29,12,FALSE)*0.5*(Simulator_DfsPow!$D50-1))</f>
        <v>1005</v>
      </c>
      <c r="F50" s="139">
        <f>F49</f>
        <v>402</v>
      </c>
      <c r="H50" s="138">
        <f>VLOOKUP($C$49,Servant!$B$5:$AD$29,24,FALSE)+($F50+($F50*0.5*($D50-1)))*(H$3-1)</f>
        <v>582</v>
      </c>
      <c r="I50" s="138">
        <f>VLOOKUP($C$49,Servant!$B$5:$AD$29,24,FALSE)+($F50+($F50*0.5*($D50-1)))*(I$3-1)</f>
        <v>1587</v>
      </c>
      <c r="J50" s="138">
        <f>VLOOKUP($C$49,Servant!$B$5:$AD$29,24,FALSE)+($F50+($F50*0.5*($D50-1)))*(J$3-1)</f>
        <v>2592</v>
      </c>
      <c r="K50" s="138">
        <f>VLOOKUP($C$49,Servant!$B$5:$AD$29,24,FALSE)+($F50+($F50*0.5*($D50-1)))*(K$3-1)</f>
        <v>3597</v>
      </c>
      <c r="L50" s="138">
        <f>VLOOKUP($C$49,Servant!$B$5:$AD$29,24,FALSE)+($F50+($F50*0.5*($D50-1)))*(L$3-1)</f>
        <v>4602</v>
      </c>
      <c r="M50" s="138">
        <f>VLOOKUP($C$49,Servant!$B$5:$AD$29,24,FALSE)+($F50+($F50*0.5*($D50-1)))*(M$3-1)</f>
        <v>5607</v>
      </c>
      <c r="N50" s="138">
        <f>VLOOKUP($C$49,Servant!$B$5:$AD$29,24,FALSE)+($F50+($F50*0.5*($D50-1)))*(N$3-1)</f>
        <v>6612</v>
      </c>
      <c r="O50" s="138">
        <f>VLOOKUP($C$49,Servant!$B$5:$AD$29,24,FALSE)+($F50+($F50*0.5*($D50-1)))*(O$3-1)</f>
        <v>7617</v>
      </c>
      <c r="P50" s="138">
        <f>VLOOKUP($C$49,Servant!$B$5:$AD$29,24,FALSE)+($F50+($F50*0.5*($D50-1)))*(P$3-1)</f>
        <v>8622</v>
      </c>
      <c r="Q50" s="138">
        <f>VLOOKUP($C$49,Servant!$B$5:$AD$29,24,FALSE)+($F50+($F50*0.5*($D50-1)))*(Q$3-1)</f>
        <v>9627</v>
      </c>
      <c r="R50" s="138">
        <f>VLOOKUP($C$49,Servant!$B$5:$AD$29,24,FALSE)+($F50+($F50*0.5*($D50-1)))*(R$3-1)</f>
        <v>10632</v>
      </c>
      <c r="S50" s="138">
        <f>VLOOKUP($C$49,Servant!$B$5:$AD$29,24,FALSE)+($F50+($F50*0.5*($D50-1)))*(S$3-1)</f>
        <v>11637</v>
      </c>
      <c r="T50" s="138">
        <f>VLOOKUP($C$49,Servant!$B$5:$AD$29,24,FALSE)+($F50+($F50*0.5*($D50-1)))*(T$3-1)</f>
        <v>12642</v>
      </c>
      <c r="U50" s="138">
        <f>VLOOKUP($C$49,Servant!$B$5:$AD$29,24,FALSE)+($F50+($F50*0.5*($D50-1)))*(U$3-1)</f>
        <v>13647</v>
      </c>
      <c r="V50" s="138">
        <f>VLOOKUP($C$49,Servant!$B$5:$AD$29,24,FALSE)+($F50+($F50*0.5*($D50-1)))*(V$3-1)</f>
        <v>14652</v>
      </c>
      <c r="W50" s="138">
        <f>VLOOKUP($C$49,Servant!$B$5:$AD$29,24,FALSE)+($F50+($F50*0.5*($D50-1)))*(W$3-1)</f>
        <v>15657</v>
      </c>
      <c r="X50" s="138">
        <f>VLOOKUP($C$49,Servant!$B$5:$AD$29,24,FALSE)+($F50+($F50*0.5*($D50-1)))*(X$3-1)</f>
        <v>16662</v>
      </c>
      <c r="Y50" s="138">
        <f>VLOOKUP($C$49,Servant!$B$5:$AD$29,24,FALSE)+($F50+($F50*0.5*($D50-1)))*(Y$3-1)</f>
        <v>17667</v>
      </c>
      <c r="Z50" s="138">
        <f>VLOOKUP($C$49,Servant!$B$5:$AD$29,24,FALSE)+($F50+($F50*0.5*($D50-1)))*(Z$3-1)</f>
        <v>18672</v>
      </c>
      <c r="AA50" s="138">
        <f>VLOOKUP($C$49,Servant!$B$5:$AD$29,24,FALSE)+($F50+($F50*0.5*($D50-1)))*(AA$3-1)</f>
        <v>19677</v>
      </c>
      <c r="AB50" s="138">
        <f>VLOOKUP($C$49,Servant!$B$5:$AD$29,24,FALSE)+($F50+($F50*0.5*($D50-1)))*(AB$3-1)</f>
        <v>20682</v>
      </c>
      <c r="AC50" s="138">
        <f>VLOOKUP($C$49,Servant!$B$5:$AD$29,24,FALSE)+($F50+($F50*0.5*($D50-1)))*(AC$3-1)</f>
        <v>21687</v>
      </c>
      <c r="AD50" s="138">
        <f>VLOOKUP($C$49,Servant!$B$5:$AD$29,24,FALSE)+($F50+($F50*0.5*($D50-1)))*(AD$3-1)</f>
        <v>22692</v>
      </c>
      <c r="AE50" s="138">
        <f>VLOOKUP($C$49,Servant!$B$5:$AD$29,24,FALSE)+($F50+($F50*0.5*($D50-1)))*(AE$3-1)</f>
        <v>23697</v>
      </c>
      <c r="AF50" s="138">
        <f>VLOOKUP($C$49,Servant!$B$5:$AD$29,24,FALSE)+($F50+($F50*0.5*($D50-1)))*(AF$3-1)</f>
        <v>24702</v>
      </c>
      <c r="AG50" s="138">
        <f>VLOOKUP($C$49,Servant!$B$5:$AD$29,24,FALSE)+($F50+($F50*0.5*($D50-1)))*(AG$3-1)</f>
        <v>25707</v>
      </c>
      <c r="AH50" s="138">
        <f>VLOOKUP($C$49,Servant!$B$5:$AD$29,24,FALSE)+($F50+($F50*0.5*($D50-1)))*(AH$3-1)</f>
        <v>26712</v>
      </c>
      <c r="AI50" s="138">
        <f>VLOOKUP($C$49,Servant!$B$5:$AD$29,24,FALSE)+($F50+($F50*0.5*($D50-1)))*(AI$3-1)</f>
        <v>27717</v>
      </c>
      <c r="AJ50" s="138">
        <f>VLOOKUP($C$49,Servant!$B$5:$AD$29,24,FALSE)+($F50+($F50*0.5*($D50-1)))*(AJ$3-1)</f>
        <v>28722</v>
      </c>
      <c r="AK50" s="138">
        <f>VLOOKUP($C$49,Servant!$B$5:$AD$29,24,FALSE)+($F50+($F50*0.5*($D50-1)))*(AK$3-1)</f>
        <v>29727</v>
      </c>
    </row>
    <row r="51" spans="2:37" x14ac:dyDescent="0.3">
      <c r="B51" s="309"/>
      <c r="C51" s="317"/>
      <c r="D51" s="136">
        <v>5</v>
      </c>
      <c r="E51" s="137">
        <f>VLOOKUP($C$49,ServantLevelUPdStatus!$B$5:$AD$29,12,FALSE)+(VLOOKUP($C$49,ServantLevelUPdStatus!$B$5:$AD$29,12,FALSE)*0.5*(Simulator_DfsPow!$D51-1))</f>
        <v>1206</v>
      </c>
      <c r="F51" s="139">
        <f>F50</f>
        <v>402</v>
      </c>
      <c r="H51" s="138">
        <f>VLOOKUP($C$49,Servant!$B$5:$AD$29,24,FALSE)+($F51+($F51*0.5*($D51-1)))*(H$3-1)</f>
        <v>582</v>
      </c>
      <c r="I51" s="138">
        <f>VLOOKUP($C$49,Servant!$B$5:$AD$29,24,FALSE)+($F51+($F51*0.5*($D51-1)))*(I$3-1)</f>
        <v>1788</v>
      </c>
      <c r="J51" s="138">
        <f>VLOOKUP($C$49,Servant!$B$5:$AD$29,24,FALSE)+($F51+($F51*0.5*($D51-1)))*(J$3-1)</f>
        <v>2994</v>
      </c>
      <c r="K51" s="138">
        <f>VLOOKUP($C$49,Servant!$B$5:$AD$29,24,FALSE)+($F51+($F51*0.5*($D51-1)))*(K$3-1)</f>
        <v>4200</v>
      </c>
      <c r="L51" s="138">
        <f>VLOOKUP($C$49,Servant!$B$5:$AD$29,24,FALSE)+($F51+($F51*0.5*($D51-1)))*(L$3-1)</f>
        <v>5406</v>
      </c>
      <c r="M51" s="138">
        <f>VLOOKUP($C$49,Servant!$B$5:$AD$29,24,FALSE)+($F51+($F51*0.5*($D51-1)))*(M$3-1)</f>
        <v>6612</v>
      </c>
      <c r="N51" s="138">
        <f>VLOOKUP($C$49,Servant!$B$5:$AD$29,24,FALSE)+($F51+($F51*0.5*($D51-1)))*(N$3-1)</f>
        <v>7818</v>
      </c>
      <c r="O51" s="138">
        <f>VLOOKUP($C$49,Servant!$B$5:$AD$29,24,FALSE)+($F51+($F51*0.5*($D51-1)))*(O$3-1)</f>
        <v>9024</v>
      </c>
      <c r="P51" s="138">
        <f>VLOOKUP($C$49,Servant!$B$5:$AD$29,24,FALSE)+($F51+($F51*0.5*($D51-1)))*(P$3-1)</f>
        <v>10230</v>
      </c>
      <c r="Q51" s="138">
        <f>VLOOKUP($C$49,Servant!$B$5:$AD$29,24,FALSE)+($F51+($F51*0.5*($D51-1)))*(Q$3-1)</f>
        <v>11436</v>
      </c>
      <c r="R51" s="138">
        <f>VLOOKUP($C$49,Servant!$B$5:$AD$29,24,FALSE)+($F51+($F51*0.5*($D51-1)))*(R$3-1)</f>
        <v>12642</v>
      </c>
      <c r="S51" s="138">
        <f>VLOOKUP($C$49,Servant!$B$5:$AD$29,24,FALSE)+($F51+($F51*0.5*($D51-1)))*(S$3-1)</f>
        <v>13848</v>
      </c>
      <c r="T51" s="138">
        <f>VLOOKUP($C$49,Servant!$B$5:$AD$29,24,FALSE)+($F51+($F51*0.5*($D51-1)))*(T$3-1)</f>
        <v>15054</v>
      </c>
      <c r="U51" s="138">
        <f>VLOOKUP($C$49,Servant!$B$5:$AD$29,24,FALSE)+($F51+($F51*0.5*($D51-1)))*(U$3-1)</f>
        <v>16260</v>
      </c>
      <c r="V51" s="138">
        <f>VLOOKUP($C$49,Servant!$B$5:$AD$29,24,FALSE)+($F51+($F51*0.5*($D51-1)))*(V$3-1)</f>
        <v>17466</v>
      </c>
      <c r="W51" s="138">
        <f>VLOOKUP($C$49,Servant!$B$5:$AD$29,24,FALSE)+($F51+($F51*0.5*($D51-1)))*(W$3-1)</f>
        <v>18672</v>
      </c>
      <c r="X51" s="138">
        <f>VLOOKUP($C$49,Servant!$B$5:$AD$29,24,FALSE)+($F51+($F51*0.5*($D51-1)))*(X$3-1)</f>
        <v>19878</v>
      </c>
      <c r="Y51" s="138">
        <f>VLOOKUP($C$49,Servant!$B$5:$AD$29,24,FALSE)+($F51+($F51*0.5*($D51-1)))*(Y$3-1)</f>
        <v>21084</v>
      </c>
      <c r="Z51" s="138">
        <f>VLOOKUP($C$49,Servant!$B$5:$AD$29,24,FALSE)+($F51+($F51*0.5*($D51-1)))*(Z$3-1)</f>
        <v>22290</v>
      </c>
      <c r="AA51" s="138">
        <f>VLOOKUP($C$49,Servant!$B$5:$AD$29,24,FALSE)+($F51+($F51*0.5*($D51-1)))*(AA$3-1)</f>
        <v>23496</v>
      </c>
      <c r="AB51" s="138">
        <f>VLOOKUP($C$49,Servant!$B$5:$AD$29,24,FALSE)+($F51+($F51*0.5*($D51-1)))*(AB$3-1)</f>
        <v>24702</v>
      </c>
      <c r="AC51" s="138">
        <f>VLOOKUP($C$49,Servant!$B$5:$AD$29,24,FALSE)+($F51+($F51*0.5*($D51-1)))*(AC$3-1)</f>
        <v>25908</v>
      </c>
      <c r="AD51" s="138">
        <f>VLOOKUP($C$49,Servant!$B$5:$AD$29,24,FALSE)+($F51+($F51*0.5*($D51-1)))*(AD$3-1)</f>
        <v>27114</v>
      </c>
      <c r="AE51" s="138">
        <f>VLOOKUP($C$49,Servant!$B$5:$AD$29,24,FALSE)+($F51+($F51*0.5*($D51-1)))*(AE$3-1)</f>
        <v>28320</v>
      </c>
      <c r="AF51" s="138">
        <f>VLOOKUP($C$49,Servant!$B$5:$AD$29,24,FALSE)+($F51+($F51*0.5*($D51-1)))*(AF$3-1)</f>
        <v>29526</v>
      </c>
      <c r="AG51" s="138">
        <f>VLOOKUP($C$49,Servant!$B$5:$AD$29,24,FALSE)+($F51+($F51*0.5*($D51-1)))*(AG$3-1)</f>
        <v>30732</v>
      </c>
      <c r="AH51" s="138">
        <f>VLOOKUP($C$49,Servant!$B$5:$AD$29,24,FALSE)+($F51+($F51*0.5*($D51-1)))*(AH$3-1)</f>
        <v>31938</v>
      </c>
      <c r="AI51" s="138">
        <f>VLOOKUP($C$49,Servant!$B$5:$AD$29,24,FALSE)+($F51+($F51*0.5*($D51-1)))*(AI$3-1)</f>
        <v>33144</v>
      </c>
      <c r="AJ51" s="138">
        <f>VLOOKUP($C$49,Servant!$B$5:$AD$29,24,FALSE)+($F51+($F51*0.5*($D51-1)))*(AJ$3-1)</f>
        <v>34350</v>
      </c>
      <c r="AK51" s="138">
        <f>VLOOKUP($C$49,Servant!$B$5:$AD$29,24,FALSE)+($F51+($F51*0.5*($D51-1)))*(AK$3-1)</f>
        <v>35556</v>
      </c>
    </row>
    <row r="52" spans="2:37" x14ac:dyDescent="0.3">
      <c r="B52" s="309"/>
      <c r="C52" s="301" t="s">
        <v>290</v>
      </c>
      <c r="D52" s="129">
        <v>4</v>
      </c>
      <c r="E52" s="124">
        <f>VLOOKUP($C$52,ServantLevelUPdStatus!$B$5:$AD$29,12,FALSE)+(VLOOKUP($C$52,ServantLevelUPdStatus!$B$5:$AD$29,12,FALSE)*0.5*(Simulator_DfsPow!$D52-1))</f>
        <v>1445</v>
      </c>
      <c r="F52" s="124">
        <f>VLOOKUP($C$52,ServantLevelUPdStatus!$B$5:$AD$29,12,FALSE)</f>
        <v>578</v>
      </c>
      <c r="H52" s="115">
        <f>VLOOKUP($C$52,Servant!$B$5:$AD$29,24,FALSE)+($F52+($F52*0.5*($D52-1)))*(H$3-1)</f>
        <v>1053</v>
      </c>
      <c r="I52" s="115">
        <f>VLOOKUP($C$52,Servant!$B$5:$AD$29,24,FALSE)+($F52+($F52*0.5*($D52-1)))*(I$3-1)</f>
        <v>2498</v>
      </c>
      <c r="J52" s="115">
        <f>VLOOKUP($C$52,Servant!$B$5:$AD$29,24,FALSE)+($F52+($F52*0.5*($D52-1)))*(J$3-1)</f>
        <v>3943</v>
      </c>
      <c r="K52" s="115">
        <f>VLOOKUP($C$52,Servant!$B$5:$AD$29,24,FALSE)+($F52+($F52*0.5*($D52-1)))*(K$3-1)</f>
        <v>5388</v>
      </c>
      <c r="L52" s="115">
        <f>VLOOKUP($C$52,Servant!$B$5:$AD$29,24,FALSE)+($F52+($F52*0.5*($D52-1)))*(L$3-1)</f>
        <v>6833</v>
      </c>
      <c r="M52" s="115">
        <f>VLOOKUP($C$52,Servant!$B$5:$AD$29,24,FALSE)+($F52+($F52*0.5*($D52-1)))*(M$3-1)</f>
        <v>8278</v>
      </c>
      <c r="N52" s="115">
        <f>VLOOKUP($C$52,Servant!$B$5:$AD$29,24,FALSE)+($F52+($F52*0.5*($D52-1)))*(N$3-1)</f>
        <v>9723</v>
      </c>
      <c r="O52" s="115">
        <f>VLOOKUP($C$52,Servant!$B$5:$AD$29,24,FALSE)+($F52+($F52*0.5*($D52-1)))*(O$3-1)</f>
        <v>11168</v>
      </c>
      <c r="P52" s="115">
        <f>VLOOKUP($C$52,Servant!$B$5:$AD$29,24,FALSE)+($F52+($F52*0.5*($D52-1)))*(P$3-1)</f>
        <v>12613</v>
      </c>
      <c r="Q52" s="115">
        <f>VLOOKUP($C$52,Servant!$B$5:$AD$29,24,FALSE)+($F52+($F52*0.5*($D52-1)))*(Q$3-1)</f>
        <v>14058</v>
      </c>
      <c r="R52" s="115">
        <f>VLOOKUP($C$52,Servant!$B$5:$AD$29,24,FALSE)+($F52+($F52*0.5*($D52-1)))*(R$3-1)</f>
        <v>15503</v>
      </c>
      <c r="S52" s="115">
        <f>VLOOKUP($C$52,Servant!$B$5:$AD$29,24,FALSE)+($F52+($F52*0.5*($D52-1)))*(S$3-1)</f>
        <v>16948</v>
      </c>
      <c r="T52" s="115">
        <f>VLOOKUP($C$52,Servant!$B$5:$AD$29,24,FALSE)+($F52+($F52*0.5*($D52-1)))*(T$3-1)</f>
        <v>18393</v>
      </c>
      <c r="U52" s="115">
        <f>VLOOKUP($C$52,Servant!$B$5:$AD$29,24,FALSE)+($F52+($F52*0.5*($D52-1)))*(U$3-1)</f>
        <v>19838</v>
      </c>
      <c r="V52" s="115">
        <f>VLOOKUP($C$52,Servant!$B$5:$AD$29,24,FALSE)+($F52+($F52*0.5*($D52-1)))*(V$3-1)</f>
        <v>21283</v>
      </c>
      <c r="W52" s="115">
        <f>VLOOKUP($C$52,Servant!$B$5:$AD$29,24,FALSE)+($F52+($F52*0.5*($D52-1)))*(W$3-1)</f>
        <v>22728</v>
      </c>
      <c r="X52" s="115">
        <f>VLOOKUP($C$52,Servant!$B$5:$AD$29,24,FALSE)+($F52+($F52*0.5*($D52-1)))*(X$3-1)</f>
        <v>24173</v>
      </c>
      <c r="Y52" s="115">
        <f>VLOOKUP($C$52,Servant!$B$5:$AD$29,24,FALSE)+($F52+($F52*0.5*($D52-1)))*(Y$3-1)</f>
        <v>25618</v>
      </c>
      <c r="Z52" s="115">
        <f>VLOOKUP($C$52,Servant!$B$5:$AD$29,24,FALSE)+($F52+($F52*0.5*($D52-1)))*(Z$3-1)</f>
        <v>27063</v>
      </c>
      <c r="AA52" s="115">
        <f>VLOOKUP($C$52,Servant!$B$5:$AD$29,24,FALSE)+($F52+($F52*0.5*($D52-1)))*(AA$3-1)</f>
        <v>28508</v>
      </c>
      <c r="AB52" s="115">
        <f>VLOOKUP($C$52,Servant!$B$5:$AD$29,24,FALSE)+($F52+($F52*0.5*($D52-1)))*(AB$3-1)</f>
        <v>29953</v>
      </c>
      <c r="AC52" s="115">
        <f>VLOOKUP($C$52,Servant!$B$5:$AD$29,24,FALSE)+($F52+($F52*0.5*($D52-1)))*(AC$3-1)</f>
        <v>31398</v>
      </c>
      <c r="AD52" s="115">
        <f>VLOOKUP($C$52,Servant!$B$5:$AD$29,24,FALSE)+($F52+($F52*0.5*($D52-1)))*(AD$3-1)</f>
        <v>32843</v>
      </c>
      <c r="AE52" s="115">
        <f>VLOOKUP($C$52,Servant!$B$5:$AD$29,24,FALSE)+($F52+($F52*0.5*($D52-1)))*(AE$3-1)</f>
        <v>34288</v>
      </c>
      <c r="AF52" s="115">
        <f>VLOOKUP($C$52,Servant!$B$5:$AD$29,24,FALSE)+($F52+($F52*0.5*($D52-1)))*(AF$3-1)</f>
        <v>35733</v>
      </c>
      <c r="AG52" s="115">
        <f>VLOOKUP($C$52,Servant!$B$5:$AD$29,24,FALSE)+($F52+($F52*0.5*($D52-1)))*(AG$3-1)</f>
        <v>37178</v>
      </c>
      <c r="AH52" s="115">
        <f>VLOOKUP($C$52,Servant!$B$5:$AD$29,24,FALSE)+($F52+($F52*0.5*($D52-1)))*(AH$3-1)</f>
        <v>38623</v>
      </c>
      <c r="AI52" s="115">
        <f>VLOOKUP($C$52,Servant!$B$5:$AD$29,24,FALSE)+($F52+($F52*0.5*($D52-1)))*(AI$3-1)</f>
        <v>40068</v>
      </c>
      <c r="AJ52" s="115">
        <f>VLOOKUP($C$52,Servant!$B$5:$AD$29,24,FALSE)+($F52+($F52*0.5*($D52-1)))*(AJ$3-1)</f>
        <v>41513</v>
      </c>
      <c r="AK52" s="115">
        <f>VLOOKUP($C$52,Servant!$B$5:$AD$29,24,FALSE)+($F52+($F52*0.5*($D52-1)))*(AK$3-1)</f>
        <v>42958</v>
      </c>
    </row>
    <row r="53" spans="2:37" x14ac:dyDescent="0.3">
      <c r="B53" s="309"/>
      <c r="C53" s="302"/>
      <c r="D53" s="129">
        <v>5</v>
      </c>
      <c r="E53" s="124">
        <f>VLOOKUP($C$52,ServantLevelUPdStatus!$B$5:$AD$29,12,FALSE)+(VLOOKUP($C$52,ServantLevelUPdStatus!$B$5:$AD$29,12,FALSE)*0.5*(Simulator_DfsPow!$D53-1))</f>
        <v>1734</v>
      </c>
      <c r="F53" s="124">
        <f>F52</f>
        <v>578</v>
      </c>
      <c r="H53" s="115">
        <f>VLOOKUP($C$52,Servant!$B$5:$AD$29,24,FALSE)+($F53+($F53*0.5*($D53-1)))*(H$3-1)</f>
        <v>1053</v>
      </c>
      <c r="I53" s="115">
        <f>VLOOKUP($C$52,Servant!$B$5:$AD$29,24,FALSE)+($F53+($F53*0.5*($D53-1)))*(I$3-1)</f>
        <v>2787</v>
      </c>
      <c r="J53" s="115">
        <f>VLOOKUP($C$52,Servant!$B$5:$AD$29,24,FALSE)+($F53+($F53*0.5*($D53-1)))*(J$3-1)</f>
        <v>4521</v>
      </c>
      <c r="K53" s="115">
        <f>VLOOKUP($C$52,Servant!$B$5:$AD$29,24,FALSE)+($F53+($F53*0.5*($D53-1)))*(K$3-1)</f>
        <v>6255</v>
      </c>
      <c r="L53" s="115">
        <f>VLOOKUP($C$52,Servant!$B$5:$AD$29,24,FALSE)+($F53+($F53*0.5*($D53-1)))*(L$3-1)</f>
        <v>7989</v>
      </c>
      <c r="M53" s="115">
        <f>VLOOKUP($C$52,Servant!$B$5:$AD$29,24,FALSE)+($F53+($F53*0.5*($D53-1)))*(M$3-1)</f>
        <v>9723</v>
      </c>
      <c r="N53" s="115">
        <f>VLOOKUP($C$52,Servant!$B$5:$AD$29,24,FALSE)+($F53+($F53*0.5*($D53-1)))*(N$3-1)</f>
        <v>11457</v>
      </c>
      <c r="O53" s="115">
        <f>VLOOKUP($C$52,Servant!$B$5:$AD$29,24,FALSE)+($F53+($F53*0.5*($D53-1)))*(O$3-1)</f>
        <v>13191</v>
      </c>
      <c r="P53" s="115">
        <f>VLOOKUP($C$52,Servant!$B$5:$AD$29,24,FALSE)+($F53+($F53*0.5*($D53-1)))*(P$3-1)</f>
        <v>14925</v>
      </c>
      <c r="Q53" s="115">
        <f>VLOOKUP($C$52,Servant!$B$5:$AD$29,24,FALSE)+($F53+($F53*0.5*($D53-1)))*(Q$3-1)</f>
        <v>16659</v>
      </c>
      <c r="R53" s="115">
        <f>VLOOKUP($C$52,Servant!$B$5:$AD$29,24,FALSE)+($F53+($F53*0.5*($D53-1)))*(R$3-1)</f>
        <v>18393</v>
      </c>
      <c r="S53" s="115">
        <f>VLOOKUP($C$52,Servant!$B$5:$AD$29,24,FALSE)+($F53+($F53*0.5*($D53-1)))*(S$3-1)</f>
        <v>20127</v>
      </c>
      <c r="T53" s="115">
        <f>VLOOKUP($C$52,Servant!$B$5:$AD$29,24,FALSE)+($F53+($F53*0.5*($D53-1)))*(T$3-1)</f>
        <v>21861</v>
      </c>
      <c r="U53" s="115">
        <f>VLOOKUP($C$52,Servant!$B$5:$AD$29,24,FALSE)+($F53+($F53*0.5*($D53-1)))*(U$3-1)</f>
        <v>23595</v>
      </c>
      <c r="V53" s="115">
        <f>VLOOKUP($C$52,Servant!$B$5:$AD$29,24,FALSE)+($F53+($F53*0.5*($D53-1)))*(V$3-1)</f>
        <v>25329</v>
      </c>
      <c r="W53" s="115">
        <f>VLOOKUP($C$52,Servant!$B$5:$AD$29,24,FALSE)+($F53+($F53*0.5*($D53-1)))*(W$3-1)</f>
        <v>27063</v>
      </c>
      <c r="X53" s="115">
        <f>VLOOKUP($C$52,Servant!$B$5:$AD$29,24,FALSE)+($F53+($F53*0.5*($D53-1)))*(X$3-1)</f>
        <v>28797</v>
      </c>
      <c r="Y53" s="115">
        <f>VLOOKUP($C$52,Servant!$B$5:$AD$29,24,FALSE)+($F53+($F53*0.5*($D53-1)))*(Y$3-1)</f>
        <v>30531</v>
      </c>
      <c r="Z53" s="115">
        <f>VLOOKUP($C$52,Servant!$B$5:$AD$29,24,FALSE)+($F53+($F53*0.5*($D53-1)))*(Z$3-1)</f>
        <v>32265</v>
      </c>
      <c r="AA53" s="115">
        <f>VLOOKUP($C$52,Servant!$B$5:$AD$29,24,FALSE)+($F53+($F53*0.5*($D53-1)))*(AA$3-1)</f>
        <v>33999</v>
      </c>
      <c r="AB53" s="115">
        <f>VLOOKUP($C$52,Servant!$B$5:$AD$29,24,FALSE)+($F53+($F53*0.5*($D53-1)))*(AB$3-1)</f>
        <v>35733</v>
      </c>
      <c r="AC53" s="115">
        <f>VLOOKUP($C$52,Servant!$B$5:$AD$29,24,FALSE)+($F53+($F53*0.5*($D53-1)))*(AC$3-1)</f>
        <v>37467</v>
      </c>
      <c r="AD53" s="115">
        <f>VLOOKUP($C$52,Servant!$B$5:$AD$29,24,FALSE)+($F53+($F53*0.5*($D53-1)))*(AD$3-1)</f>
        <v>39201</v>
      </c>
      <c r="AE53" s="115">
        <f>VLOOKUP($C$52,Servant!$B$5:$AD$29,24,FALSE)+($F53+($F53*0.5*($D53-1)))*(AE$3-1)</f>
        <v>40935</v>
      </c>
      <c r="AF53" s="115">
        <f>VLOOKUP($C$52,Servant!$B$5:$AD$29,24,FALSE)+($F53+($F53*0.5*($D53-1)))*(AF$3-1)</f>
        <v>42669</v>
      </c>
      <c r="AG53" s="115">
        <f>VLOOKUP($C$52,Servant!$B$5:$AD$29,24,FALSE)+($F53+($F53*0.5*($D53-1)))*(AG$3-1)</f>
        <v>44403</v>
      </c>
      <c r="AH53" s="115">
        <f>VLOOKUP($C$52,Servant!$B$5:$AD$29,24,FALSE)+($F53+($F53*0.5*($D53-1)))*(AH$3-1)</f>
        <v>46137</v>
      </c>
      <c r="AI53" s="115">
        <f>VLOOKUP($C$52,Servant!$B$5:$AD$29,24,FALSE)+($F53+($F53*0.5*($D53-1)))*(AI$3-1)</f>
        <v>47871</v>
      </c>
      <c r="AJ53" s="115">
        <f>VLOOKUP($C$52,Servant!$B$5:$AD$29,24,FALSE)+($F53+($F53*0.5*($D53-1)))*(AJ$3-1)</f>
        <v>49605</v>
      </c>
      <c r="AK53" s="115">
        <f>VLOOKUP($C$52,Servant!$B$5:$AD$29,24,FALSE)+($F53+($F53*0.5*($D53-1)))*(AK$3-1)</f>
        <v>51339</v>
      </c>
    </row>
    <row r="54" spans="2:37" x14ac:dyDescent="0.3">
      <c r="B54" s="309"/>
      <c r="C54" s="303"/>
      <c r="D54" s="129">
        <v>6</v>
      </c>
      <c r="E54" s="124">
        <f>VLOOKUP($C$52,ServantLevelUPdStatus!$B$5:$AD$29,12,FALSE)+(VLOOKUP($C$52,ServantLevelUPdStatus!$B$5:$AD$29,12,FALSE)*0.5*(Simulator_DfsPow!$D54-1))</f>
        <v>2023</v>
      </c>
      <c r="F54" s="124">
        <f>F53</f>
        <v>578</v>
      </c>
      <c r="H54" s="115">
        <f>VLOOKUP($C$52,Servant!$B$5:$AD$29,24,FALSE)+($F54+($F54*0.5*($D54-1)))*(H$3-1)</f>
        <v>1053</v>
      </c>
      <c r="I54" s="115">
        <f>VLOOKUP($C$52,Servant!$B$5:$AD$29,24,FALSE)+($F54+($F54*0.5*($D54-1)))*(I$3-1)</f>
        <v>3076</v>
      </c>
      <c r="J54" s="115">
        <f>VLOOKUP($C$52,Servant!$B$5:$AD$29,24,FALSE)+($F54+($F54*0.5*($D54-1)))*(J$3-1)</f>
        <v>5099</v>
      </c>
      <c r="K54" s="115">
        <f>VLOOKUP($C$52,Servant!$B$5:$AD$29,24,FALSE)+($F54+($F54*0.5*($D54-1)))*(K$3-1)</f>
        <v>7122</v>
      </c>
      <c r="L54" s="115">
        <f>VLOOKUP($C$52,Servant!$B$5:$AD$29,24,FALSE)+($F54+($F54*0.5*($D54-1)))*(L$3-1)</f>
        <v>9145</v>
      </c>
      <c r="M54" s="115">
        <f>VLOOKUP($C$52,Servant!$B$5:$AD$29,24,FALSE)+($F54+($F54*0.5*($D54-1)))*(M$3-1)</f>
        <v>11168</v>
      </c>
      <c r="N54" s="115">
        <f>VLOOKUP($C$52,Servant!$B$5:$AD$29,24,FALSE)+($F54+($F54*0.5*($D54-1)))*(N$3-1)</f>
        <v>13191</v>
      </c>
      <c r="O54" s="115">
        <f>VLOOKUP($C$52,Servant!$B$5:$AD$29,24,FALSE)+($F54+($F54*0.5*($D54-1)))*(O$3-1)</f>
        <v>15214</v>
      </c>
      <c r="P54" s="115">
        <f>VLOOKUP($C$52,Servant!$B$5:$AD$29,24,FALSE)+($F54+($F54*0.5*($D54-1)))*(P$3-1)</f>
        <v>17237</v>
      </c>
      <c r="Q54" s="115">
        <f>VLOOKUP($C$52,Servant!$B$5:$AD$29,24,FALSE)+($F54+($F54*0.5*($D54-1)))*(Q$3-1)</f>
        <v>19260</v>
      </c>
      <c r="R54" s="115">
        <f>VLOOKUP($C$52,Servant!$B$5:$AD$29,24,FALSE)+($F54+($F54*0.5*($D54-1)))*(R$3-1)</f>
        <v>21283</v>
      </c>
      <c r="S54" s="115">
        <f>VLOOKUP($C$52,Servant!$B$5:$AD$29,24,FALSE)+($F54+($F54*0.5*($D54-1)))*(S$3-1)</f>
        <v>23306</v>
      </c>
      <c r="T54" s="115">
        <f>VLOOKUP($C$52,Servant!$B$5:$AD$29,24,FALSE)+($F54+($F54*0.5*($D54-1)))*(T$3-1)</f>
        <v>25329</v>
      </c>
      <c r="U54" s="115">
        <f>VLOOKUP($C$52,Servant!$B$5:$AD$29,24,FALSE)+($F54+($F54*0.5*($D54-1)))*(U$3-1)</f>
        <v>27352</v>
      </c>
      <c r="V54" s="115">
        <f>VLOOKUP($C$52,Servant!$B$5:$AD$29,24,FALSE)+($F54+($F54*0.5*($D54-1)))*(V$3-1)</f>
        <v>29375</v>
      </c>
      <c r="W54" s="115">
        <f>VLOOKUP($C$52,Servant!$B$5:$AD$29,24,FALSE)+($F54+($F54*0.5*($D54-1)))*(W$3-1)</f>
        <v>31398</v>
      </c>
      <c r="X54" s="115">
        <f>VLOOKUP($C$52,Servant!$B$5:$AD$29,24,FALSE)+($F54+($F54*0.5*($D54-1)))*(X$3-1)</f>
        <v>33421</v>
      </c>
      <c r="Y54" s="115">
        <f>VLOOKUP($C$52,Servant!$B$5:$AD$29,24,FALSE)+($F54+($F54*0.5*($D54-1)))*(Y$3-1)</f>
        <v>35444</v>
      </c>
      <c r="Z54" s="115">
        <f>VLOOKUP($C$52,Servant!$B$5:$AD$29,24,FALSE)+($F54+($F54*0.5*($D54-1)))*(Z$3-1)</f>
        <v>37467</v>
      </c>
      <c r="AA54" s="115">
        <f>VLOOKUP($C$52,Servant!$B$5:$AD$29,24,FALSE)+($F54+($F54*0.5*($D54-1)))*(AA$3-1)</f>
        <v>39490</v>
      </c>
      <c r="AB54" s="115">
        <f>VLOOKUP($C$52,Servant!$B$5:$AD$29,24,FALSE)+($F54+($F54*0.5*($D54-1)))*(AB$3-1)</f>
        <v>41513</v>
      </c>
      <c r="AC54" s="115">
        <f>VLOOKUP($C$52,Servant!$B$5:$AD$29,24,FALSE)+($F54+($F54*0.5*($D54-1)))*(AC$3-1)</f>
        <v>43536</v>
      </c>
      <c r="AD54" s="115">
        <f>VLOOKUP($C$52,Servant!$B$5:$AD$29,24,FALSE)+($F54+($F54*0.5*($D54-1)))*(AD$3-1)</f>
        <v>45559</v>
      </c>
      <c r="AE54" s="115">
        <f>VLOOKUP($C$52,Servant!$B$5:$AD$29,24,FALSE)+($F54+($F54*0.5*($D54-1)))*(AE$3-1)</f>
        <v>47582</v>
      </c>
      <c r="AF54" s="115">
        <f>VLOOKUP($C$52,Servant!$B$5:$AD$29,24,FALSE)+($F54+($F54*0.5*($D54-1)))*(AF$3-1)</f>
        <v>49605</v>
      </c>
      <c r="AG54" s="115">
        <f>VLOOKUP($C$52,Servant!$B$5:$AD$29,24,FALSE)+($F54+($F54*0.5*($D54-1)))*(AG$3-1)</f>
        <v>51628</v>
      </c>
      <c r="AH54" s="115">
        <f>VLOOKUP($C$52,Servant!$B$5:$AD$29,24,FALSE)+($F54+($F54*0.5*($D54-1)))*(AH$3-1)</f>
        <v>53651</v>
      </c>
      <c r="AI54" s="115">
        <f>VLOOKUP($C$52,Servant!$B$5:$AD$29,24,FALSE)+($F54+($F54*0.5*($D54-1)))*(AI$3-1)</f>
        <v>55674</v>
      </c>
      <c r="AJ54" s="115">
        <f>VLOOKUP($C$52,Servant!$B$5:$AD$29,24,FALSE)+($F54+($F54*0.5*($D54-1)))*(AJ$3-1)</f>
        <v>57697</v>
      </c>
      <c r="AK54" s="115">
        <f>VLOOKUP($C$52,Servant!$B$5:$AD$29,24,FALSE)+($F54+($F54*0.5*($D54-1)))*(AK$3-1)</f>
        <v>59720</v>
      </c>
    </row>
    <row r="55" spans="2:37" x14ac:dyDescent="0.3">
      <c r="B55" s="309"/>
      <c r="C55" s="304" t="s">
        <v>291</v>
      </c>
      <c r="D55" s="144">
        <v>4</v>
      </c>
      <c r="E55" s="145">
        <f>VLOOKUP($C$55,ServantLevelUPdStatus!$B$5:$AD$29,12,FALSE)+(VLOOKUP($C$55,ServantLevelUPdStatus!$B$5:$AD$29,12,FALSE)*0.5*(Simulator_DfsPow!$D55-1))</f>
        <v>1545</v>
      </c>
      <c r="F55" s="145">
        <f>VLOOKUP($C$55,ServantLevelUPdStatus!$B$5:$AD$29,12,FALSE)</f>
        <v>618</v>
      </c>
      <c r="H55" s="146">
        <f>VLOOKUP($C$55,Servant!$B$5:$AD$29,24,FALSE)+($F55+($F55*0.5*($D55-1)))*(H$3-1)</f>
        <v>1126</v>
      </c>
      <c r="I55" s="146">
        <f>VLOOKUP($C$55,Servant!$B$5:$AD$29,24,FALSE)+($F55+($F55*0.5*($D55-1)))*(I$3-1)</f>
        <v>2671</v>
      </c>
      <c r="J55" s="146">
        <f>VLOOKUP($C$55,Servant!$B$5:$AD$29,24,FALSE)+($F55+($F55*0.5*($D55-1)))*(J$3-1)</f>
        <v>4216</v>
      </c>
      <c r="K55" s="146">
        <f>VLOOKUP($C$55,Servant!$B$5:$AD$29,24,FALSE)+($F55+($F55*0.5*($D55-1)))*(K$3-1)</f>
        <v>5761</v>
      </c>
      <c r="L55" s="146">
        <f>VLOOKUP($C$55,Servant!$B$5:$AD$29,24,FALSE)+($F55+($F55*0.5*($D55-1)))*(L$3-1)</f>
        <v>7306</v>
      </c>
      <c r="M55" s="146">
        <f>VLOOKUP($C$55,Servant!$B$5:$AD$29,24,FALSE)+($F55+($F55*0.5*($D55-1)))*(M$3-1)</f>
        <v>8851</v>
      </c>
      <c r="N55" s="146">
        <f>VLOOKUP($C$55,Servant!$B$5:$AD$29,24,FALSE)+($F55+($F55*0.5*($D55-1)))*(N$3-1)</f>
        <v>10396</v>
      </c>
      <c r="O55" s="146">
        <f>VLOOKUP($C$55,Servant!$B$5:$AD$29,24,FALSE)+($F55+($F55*0.5*($D55-1)))*(O$3-1)</f>
        <v>11941</v>
      </c>
      <c r="P55" s="146">
        <f>VLOOKUP($C$55,Servant!$B$5:$AD$29,24,FALSE)+($F55+($F55*0.5*($D55-1)))*(P$3-1)</f>
        <v>13486</v>
      </c>
      <c r="Q55" s="146">
        <f>VLOOKUP($C$55,Servant!$B$5:$AD$29,24,FALSE)+($F55+($F55*0.5*($D55-1)))*(Q$3-1)</f>
        <v>15031</v>
      </c>
      <c r="R55" s="146">
        <f>VLOOKUP($C$55,Servant!$B$5:$AD$29,24,FALSE)+($F55+($F55*0.5*($D55-1)))*(R$3-1)</f>
        <v>16576</v>
      </c>
      <c r="S55" s="146">
        <f>VLOOKUP($C$55,Servant!$B$5:$AD$29,24,FALSE)+($F55+($F55*0.5*($D55-1)))*(S$3-1)</f>
        <v>18121</v>
      </c>
      <c r="T55" s="146">
        <f>VLOOKUP($C$55,Servant!$B$5:$AD$29,24,FALSE)+($F55+($F55*0.5*($D55-1)))*(T$3-1)</f>
        <v>19666</v>
      </c>
      <c r="U55" s="146">
        <f>VLOOKUP($C$55,Servant!$B$5:$AD$29,24,FALSE)+($F55+($F55*0.5*($D55-1)))*(U$3-1)</f>
        <v>21211</v>
      </c>
      <c r="V55" s="146">
        <f>VLOOKUP($C$55,Servant!$B$5:$AD$29,24,FALSE)+($F55+($F55*0.5*($D55-1)))*(V$3-1)</f>
        <v>22756</v>
      </c>
      <c r="W55" s="146">
        <f>VLOOKUP($C$55,Servant!$B$5:$AD$29,24,FALSE)+($F55+($F55*0.5*($D55-1)))*(W$3-1)</f>
        <v>24301</v>
      </c>
      <c r="X55" s="146">
        <f>VLOOKUP($C$55,Servant!$B$5:$AD$29,24,FALSE)+($F55+($F55*0.5*($D55-1)))*(X$3-1)</f>
        <v>25846</v>
      </c>
      <c r="Y55" s="146">
        <f>VLOOKUP($C$55,Servant!$B$5:$AD$29,24,FALSE)+($F55+($F55*0.5*($D55-1)))*(Y$3-1)</f>
        <v>27391</v>
      </c>
      <c r="Z55" s="146">
        <f>VLOOKUP($C$55,Servant!$B$5:$AD$29,24,FALSE)+($F55+($F55*0.5*($D55-1)))*(Z$3-1)</f>
        <v>28936</v>
      </c>
      <c r="AA55" s="146">
        <f>VLOOKUP($C$55,Servant!$B$5:$AD$29,24,FALSE)+($F55+($F55*0.5*($D55-1)))*(AA$3-1)</f>
        <v>30481</v>
      </c>
      <c r="AB55" s="146">
        <f>VLOOKUP($C$55,Servant!$B$5:$AD$29,24,FALSE)+($F55+($F55*0.5*($D55-1)))*(AB$3-1)</f>
        <v>32026</v>
      </c>
      <c r="AC55" s="146">
        <f>VLOOKUP($C$55,Servant!$B$5:$AD$29,24,FALSE)+($F55+($F55*0.5*($D55-1)))*(AC$3-1)</f>
        <v>33571</v>
      </c>
      <c r="AD55" s="146">
        <f>VLOOKUP($C$55,Servant!$B$5:$AD$29,24,FALSE)+($F55+($F55*0.5*($D55-1)))*(AD$3-1)</f>
        <v>35116</v>
      </c>
      <c r="AE55" s="146">
        <f>VLOOKUP($C$55,Servant!$B$5:$AD$29,24,FALSE)+($F55+($F55*0.5*($D55-1)))*(AE$3-1)</f>
        <v>36661</v>
      </c>
      <c r="AF55" s="146">
        <f>VLOOKUP($C$55,Servant!$B$5:$AD$29,24,FALSE)+($F55+($F55*0.5*($D55-1)))*(AF$3-1)</f>
        <v>38206</v>
      </c>
      <c r="AG55" s="146">
        <f>VLOOKUP($C$55,Servant!$B$5:$AD$29,24,FALSE)+($F55+($F55*0.5*($D55-1)))*(AG$3-1)</f>
        <v>39751</v>
      </c>
      <c r="AH55" s="146">
        <f>VLOOKUP($C$55,Servant!$B$5:$AD$29,24,FALSE)+($F55+($F55*0.5*($D55-1)))*(AH$3-1)</f>
        <v>41296</v>
      </c>
      <c r="AI55" s="146">
        <f>VLOOKUP($C$55,Servant!$B$5:$AD$29,24,FALSE)+($F55+($F55*0.5*($D55-1)))*(AI$3-1)</f>
        <v>42841</v>
      </c>
      <c r="AJ55" s="146">
        <f>VLOOKUP($C$55,Servant!$B$5:$AD$29,24,FALSE)+($F55+($F55*0.5*($D55-1)))*(AJ$3-1)</f>
        <v>44386</v>
      </c>
      <c r="AK55" s="146">
        <f>VLOOKUP($C$55,Servant!$B$5:$AD$29,24,FALSE)+($F55+($F55*0.5*($D55-1)))*(AK$3-1)</f>
        <v>45931</v>
      </c>
    </row>
    <row r="56" spans="2:37" x14ac:dyDescent="0.3">
      <c r="B56" s="309"/>
      <c r="C56" s="305"/>
      <c r="D56" s="144">
        <v>5</v>
      </c>
      <c r="E56" s="145">
        <f>VLOOKUP($C$55,ServantLevelUPdStatus!$B$5:$AD$29,12,FALSE)+(VLOOKUP($C$55,ServantLevelUPdStatus!$B$5:$AD$29,12,FALSE)*0.5*(Simulator_DfsPow!$D56-1))</f>
        <v>1854</v>
      </c>
      <c r="F56" s="147">
        <f>F55</f>
        <v>618</v>
      </c>
      <c r="H56" s="146">
        <f>VLOOKUP($C$55,Servant!$B$5:$AD$29,24,FALSE)+($F56+($F56*0.5*($D56-1)))*(H$3-1)</f>
        <v>1126</v>
      </c>
      <c r="I56" s="146">
        <f>VLOOKUP($C$55,Servant!$B$5:$AD$29,24,FALSE)+($F56+($F56*0.5*($D56-1)))*(I$3-1)</f>
        <v>2980</v>
      </c>
      <c r="J56" s="146">
        <f>VLOOKUP($C$55,Servant!$B$5:$AD$29,24,FALSE)+($F56+($F56*0.5*($D56-1)))*(J$3-1)</f>
        <v>4834</v>
      </c>
      <c r="K56" s="146">
        <f>VLOOKUP($C$55,Servant!$B$5:$AD$29,24,FALSE)+($F56+($F56*0.5*($D56-1)))*(K$3-1)</f>
        <v>6688</v>
      </c>
      <c r="L56" s="146">
        <f>VLOOKUP($C$55,Servant!$B$5:$AD$29,24,FALSE)+($F56+($F56*0.5*($D56-1)))*(L$3-1)</f>
        <v>8542</v>
      </c>
      <c r="M56" s="146">
        <f>VLOOKUP($C$55,Servant!$B$5:$AD$29,24,FALSE)+($F56+($F56*0.5*($D56-1)))*(M$3-1)</f>
        <v>10396</v>
      </c>
      <c r="N56" s="146">
        <f>VLOOKUP($C$55,Servant!$B$5:$AD$29,24,FALSE)+($F56+($F56*0.5*($D56-1)))*(N$3-1)</f>
        <v>12250</v>
      </c>
      <c r="O56" s="146">
        <f>VLOOKUP($C$55,Servant!$B$5:$AD$29,24,FALSE)+($F56+($F56*0.5*($D56-1)))*(O$3-1)</f>
        <v>14104</v>
      </c>
      <c r="P56" s="146">
        <f>VLOOKUP($C$55,Servant!$B$5:$AD$29,24,FALSE)+($F56+($F56*0.5*($D56-1)))*(P$3-1)</f>
        <v>15958</v>
      </c>
      <c r="Q56" s="146">
        <f>VLOOKUP($C$55,Servant!$B$5:$AD$29,24,FALSE)+($F56+($F56*0.5*($D56-1)))*(Q$3-1)</f>
        <v>17812</v>
      </c>
      <c r="R56" s="146">
        <f>VLOOKUP($C$55,Servant!$B$5:$AD$29,24,FALSE)+($F56+($F56*0.5*($D56-1)))*(R$3-1)</f>
        <v>19666</v>
      </c>
      <c r="S56" s="146">
        <f>VLOOKUP($C$55,Servant!$B$5:$AD$29,24,FALSE)+($F56+($F56*0.5*($D56-1)))*(S$3-1)</f>
        <v>21520</v>
      </c>
      <c r="T56" s="146">
        <f>VLOOKUP($C$55,Servant!$B$5:$AD$29,24,FALSE)+($F56+($F56*0.5*($D56-1)))*(T$3-1)</f>
        <v>23374</v>
      </c>
      <c r="U56" s="146">
        <f>VLOOKUP($C$55,Servant!$B$5:$AD$29,24,FALSE)+($F56+($F56*0.5*($D56-1)))*(U$3-1)</f>
        <v>25228</v>
      </c>
      <c r="V56" s="146">
        <f>VLOOKUP($C$55,Servant!$B$5:$AD$29,24,FALSE)+($F56+($F56*0.5*($D56-1)))*(V$3-1)</f>
        <v>27082</v>
      </c>
      <c r="W56" s="146">
        <f>VLOOKUP($C$55,Servant!$B$5:$AD$29,24,FALSE)+($F56+($F56*0.5*($D56-1)))*(W$3-1)</f>
        <v>28936</v>
      </c>
      <c r="X56" s="146">
        <f>VLOOKUP($C$55,Servant!$B$5:$AD$29,24,FALSE)+($F56+($F56*0.5*($D56-1)))*(X$3-1)</f>
        <v>30790</v>
      </c>
      <c r="Y56" s="146">
        <f>VLOOKUP($C$55,Servant!$B$5:$AD$29,24,FALSE)+($F56+($F56*0.5*($D56-1)))*(Y$3-1)</f>
        <v>32644</v>
      </c>
      <c r="Z56" s="146">
        <f>VLOOKUP($C$55,Servant!$B$5:$AD$29,24,FALSE)+($F56+($F56*0.5*($D56-1)))*(Z$3-1)</f>
        <v>34498</v>
      </c>
      <c r="AA56" s="146">
        <f>VLOOKUP($C$55,Servant!$B$5:$AD$29,24,FALSE)+($F56+($F56*0.5*($D56-1)))*(AA$3-1)</f>
        <v>36352</v>
      </c>
      <c r="AB56" s="146">
        <f>VLOOKUP($C$55,Servant!$B$5:$AD$29,24,FALSE)+($F56+($F56*0.5*($D56-1)))*(AB$3-1)</f>
        <v>38206</v>
      </c>
      <c r="AC56" s="146">
        <f>VLOOKUP($C$55,Servant!$B$5:$AD$29,24,FALSE)+($F56+($F56*0.5*($D56-1)))*(AC$3-1)</f>
        <v>40060</v>
      </c>
      <c r="AD56" s="146">
        <f>VLOOKUP($C$55,Servant!$B$5:$AD$29,24,FALSE)+($F56+($F56*0.5*($D56-1)))*(AD$3-1)</f>
        <v>41914</v>
      </c>
      <c r="AE56" s="146">
        <f>VLOOKUP($C$55,Servant!$B$5:$AD$29,24,FALSE)+($F56+($F56*0.5*($D56-1)))*(AE$3-1)</f>
        <v>43768</v>
      </c>
      <c r="AF56" s="146">
        <f>VLOOKUP($C$55,Servant!$B$5:$AD$29,24,FALSE)+($F56+($F56*0.5*($D56-1)))*(AF$3-1)</f>
        <v>45622</v>
      </c>
      <c r="AG56" s="146">
        <f>VLOOKUP($C$55,Servant!$B$5:$AD$29,24,FALSE)+($F56+($F56*0.5*($D56-1)))*(AG$3-1)</f>
        <v>47476</v>
      </c>
      <c r="AH56" s="146">
        <f>VLOOKUP($C$55,Servant!$B$5:$AD$29,24,FALSE)+($F56+($F56*0.5*($D56-1)))*(AH$3-1)</f>
        <v>49330</v>
      </c>
      <c r="AI56" s="146">
        <f>VLOOKUP($C$55,Servant!$B$5:$AD$29,24,FALSE)+($F56+($F56*0.5*($D56-1)))*(AI$3-1)</f>
        <v>51184</v>
      </c>
      <c r="AJ56" s="146">
        <f>VLOOKUP($C$55,Servant!$B$5:$AD$29,24,FALSE)+($F56+($F56*0.5*($D56-1)))*(AJ$3-1)</f>
        <v>53038</v>
      </c>
      <c r="AK56" s="146">
        <f>VLOOKUP($C$55,Servant!$B$5:$AD$29,24,FALSE)+($F56+($F56*0.5*($D56-1)))*(AK$3-1)</f>
        <v>54892</v>
      </c>
    </row>
    <row r="57" spans="2:37" x14ac:dyDescent="0.3">
      <c r="B57" s="309"/>
      <c r="C57" s="306"/>
      <c r="D57" s="144">
        <v>6</v>
      </c>
      <c r="E57" s="145">
        <f>VLOOKUP($C$55,ServantLevelUPdStatus!$B$5:$AD$29,12,FALSE)+(VLOOKUP($C$55,ServantLevelUPdStatus!$B$5:$AD$29,12,FALSE)*0.5*(Simulator_DfsPow!$D57-1))</f>
        <v>2163</v>
      </c>
      <c r="F57" s="147">
        <f>F56</f>
        <v>618</v>
      </c>
      <c r="H57" s="146">
        <f>VLOOKUP($C$55,Servant!$B$5:$AD$29,24,FALSE)+($F57+($F57*0.5*($D57-1)))*(H$3-1)</f>
        <v>1126</v>
      </c>
      <c r="I57" s="146">
        <f>VLOOKUP($C$55,Servant!$B$5:$AD$29,24,FALSE)+($F57+($F57*0.5*($D57-1)))*(I$3-1)</f>
        <v>3289</v>
      </c>
      <c r="J57" s="146">
        <f>VLOOKUP($C$55,Servant!$B$5:$AD$29,24,FALSE)+($F57+($F57*0.5*($D57-1)))*(J$3-1)</f>
        <v>5452</v>
      </c>
      <c r="K57" s="146">
        <f>VLOOKUP($C$55,Servant!$B$5:$AD$29,24,FALSE)+($F57+($F57*0.5*($D57-1)))*(K$3-1)</f>
        <v>7615</v>
      </c>
      <c r="L57" s="146">
        <f>VLOOKUP($C$55,Servant!$B$5:$AD$29,24,FALSE)+($F57+($F57*0.5*($D57-1)))*(L$3-1)</f>
        <v>9778</v>
      </c>
      <c r="M57" s="146">
        <f>VLOOKUP($C$55,Servant!$B$5:$AD$29,24,FALSE)+($F57+($F57*0.5*($D57-1)))*(M$3-1)</f>
        <v>11941</v>
      </c>
      <c r="N57" s="146">
        <f>VLOOKUP($C$55,Servant!$B$5:$AD$29,24,FALSE)+($F57+($F57*0.5*($D57-1)))*(N$3-1)</f>
        <v>14104</v>
      </c>
      <c r="O57" s="146">
        <f>VLOOKUP($C$55,Servant!$B$5:$AD$29,24,FALSE)+($F57+($F57*0.5*($D57-1)))*(O$3-1)</f>
        <v>16267</v>
      </c>
      <c r="P57" s="146">
        <f>VLOOKUP($C$55,Servant!$B$5:$AD$29,24,FALSE)+($F57+($F57*0.5*($D57-1)))*(P$3-1)</f>
        <v>18430</v>
      </c>
      <c r="Q57" s="146">
        <f>VLOOKUP($C$55,Servant!$B$5:$AD$29,24,FALSE)+($F57+($F57*0.5*($D57-1)))*(Q$3-1)</f>
        <v>20593</v>
      </c>
      <c r="R57" s="146">
        <f>VLOOKUP($C$55,Servant!$B$5:$AD$29,24,FALSE)+($F57+($F57*0.5*($D57-1)))*(R$3-1)</f>
        <v>22756</v>
      </c>
      <c r="S57" s="146">
        <f>VLOOKUP($C$55,Servant!$B$5:$AD$29,24,FALSE)+($F57+($F57*0.5*($D57-1)))*(S$3-1)</f>
        <v>24919</v>
      </c>
      <c r="T57" s="146">
        <f>VLOOKUP($C$55,Servant!$B$5:$AD$29,24,FALSE)+($F57+($F57*0.5*($D57-1)))*(T$3-1)</f>
        <v>27082</v>
      </c>
      <c r="U57" s="146">
        <f>VLOOKUP($C$55,Servant!$B$5:$AD$29,24,FALSE)+($F57+($F57*0.5*($D57-1)))*(U$3-1)</f>
        <v>29245</v>
      </c>
      <c r="V57" s="146">
        <f>VLOOKUP($C$55,Servant!$B$5:$AD$29,24,FALSE)+($F57+($F57*0.5*($D57-1)))*(V$3-1)</f>
        <v>31408</v>
      </c>
      <c r="W57" s="146">
        <f>VLOOKUP($C$55,Servant!$B$5:$AD$29,24,FALSE)+($F57+($F57*0.5*($D57-1)))*(W$3-1)</f>
        <v>33571</v>
      </c>
      <c r="X57" s="146">
        <f>VLOOKUP($C$55,Servant!$B$5:$AD$29,24,FALSE)+($F57+($F57*0.5*($D57-1)))*(X$3-1)</f>
        <v>35734</v>
      </c>
      <c r="Y57" s="146">
        <f>VLOOKUP($C$55,Servant!$B$5:$AD$29,24,FALSE)+($F57+($F57*0.5*($D57-1)))*(Y$3-1)</f>
        <v>37897</v>
      </c>
      <c r="Z57" s="146">
        <f>VLOOKUP($C$55,Servant!$B$5:$AD$29,24,FALSE)+($F57+($F57*0.5*($D57-1)))*(Z$3-1)</f>
        <v>40060</v>
      </c>
      <c r="AA57" s="146">
        <f>VLOOKUP($C$55,Servant!$B$5:$AD$29,24,FALSE)+($F57+($F57*0.5*($D57-1)))*(AA$3-1)</f>
        <v>42223</v>
      </c>
      <c r="AB57" s="146">
        <f>VLOOKUP($C$55,Servant!$B$5:$AD$29,24,FALSE)+($F57+($F57*0.5*($D57-1)))*(AB$3-1)</f>
        <v>44386</v>
      </c>
      <c r="AC57" s="146">
        <f>VLOOKUP($C$55,Servant!$B$5:$AD$29,24,FALSE)+($F57+($F57*0.5*($D57-1)))*(AC$3-1)</f>
        <v>46549</v>
      </c>
      <c r="AD57" s="146">
        <f>VLOOKUP($C$55,Servant!$B$5:$AD$29,24,FALSE)+($F57+($F57*0.5*($D57-1)))*(AD$3-1)</f>
        <v>48712</v>
      </c>
      <c r="AE57" s="146">
        <f>VLOOKUP($C$55,Servant!$B$5:$AD$29,24,FALSE)+($F57+($F57*0.5*($D57-1)))*(AE$3-1)</f>
        <v>50875</v>
      </c>
      <c r="AF57" s="146">
        <f>VLOOKUP($C$55,Servant!$B$5:$AD$29,24,FALSE)+($F57+($F57*0.5*($D57-1)))*(AF$3-1)</f>
        <v>53038</v>
      </c>
      <c r="AG57" s="146">
        <f>VLOOKUP($C$55,Servant!$B$5:$AD$29,24,FALSE)+($F57+($F57*0.5*($D57-1)))*(AG$3-1)</f>
        <v>55201</v>
      </c>
      <c r="AH57" s="146">
        <f>VLOOKUP($C$55,Servant!$B$5:$AD$29,24,FALSE)+($F57+($F57*0.5*($D57-1)))*(AH$3-1)</f>
        <v>57364</v>
      </c>
      <c r="AI57" s="146">
        <f>VLOOKUP($C$55,Servant!$B$5:$AD$29,24,FALSE)+($F57+($F57*0.5*($D57-1)))*(AI$3-1)</f>
        <v>59527</v>
      </c>
      <c r="AJ57" s="146">
        <f>VLOOKUP($C$55,Servant!$B$5:$AD$29,24,FALSE)+($F57+($F57*0.5*($D57-1)))*(AJ$3-1)</f>
        <v>61690</v>
      </c>
      <c r="AK57" s="146">
        <f>VLOOKUP($C$55,Servant!$B$5:$AD$29,24,FALSE)+($F57+($F57*0.5*($D57-1)))*(AK$3-1)</f>
        <v>63853</v>
      </c>
    </row>
    <row r="58" spans="2:37" x14ac:dyDescent="0.3">
      <c r="B58" s="309"/>
      <c r="C58" s="301" t="s">
        <v>292</v>
      </c>
      <c r="D58" s="129">
        <v>4</v>
      </c>
      <c r="E58" s="124">
        <f>VLOOKUP($C$58,ServantLevelUPdStatus!$B$5:$AD$29,12,FALSE)+(VLOOKUP($C$58,ServantLevelUPdStatus!$B$5:$AD$29,12,FALSE)*0.5*(Simulator_DfsPow!$D58-1))</f>
        <v>1342.5</v>
      </c>
      <c r="F58" s="124">
        <f>VLOOKUP($C$58,ServantLevelUPdStatus!$B$5:$AD$29,12,FALSE)</f>
        <v>537</v>
      </c>
      <c r="H58" s="115">
        <f>VLOOKUP($C$58,Servant!$B$5:$AD$29,24,FALSE)+($F58+($F58*0.5*($D58-1)))*(H$3-1)</f>
        <v>979</v>
      </c>
      <c r="I58" s="115">
        <f>VLOOKUP($C$58,Servant!$B$5:$AD$29,24,FALSE)+($F58+($F58*0.5*($D58-1)))*(I$3-1)</f>
        <v>2321.5</v>
      </c>
      <c r="J58" s="115">
        <f>VLOOKUP($C$58,Servant!$B$5:$AD$29,24,FALSE)+($F58+($F58*0.5*($D58-1)))*(J$3-1)</f>
        <v>3664</v>
      </c>
      <c r="K58" s="115">
        <f>VLOOKUP($C$58,Servant!$B$5:$AD$29,24,FALSE)+($F58+($F58*0.5*($D58-1)))*(K$3-1)</f>
        <v>5006.5</v>
      </c>
      <c r="L58" s="115">
        <f>VLOOKUP($C$58,Servant!$B$5:$AD$29,24,FALSE)+($F58+($F58*0.5*($D58-1)))*(L$3-1)</f>
        <v>6349</v>
      </c>
      <c r="M58" s="115">
        <f>VLOOKUP($C$58,Servant!$B$5:$AD$29,24,FALSE)+($F58+($F58*0.5*($D58-1)))*(M$3-1)</f>
        <v>7691.5</v>
      </c>
      <c r="N58" s="115">
        <f>VLOOKUP($C$58,Servant!$B$5:$AD$29,24,FALSE)+($F58+($F58*0.5*($D58-1)))*(N$3-1)</f>
        <v>9034</v>
      </c>
      <c r="O58" s="115">
        <f>VLOOKUP($C$58,Servant!$B$5:$AD$29,24,FALSE)+($F58+($F58*0.5*($D58-1)))*(O$3-1)</f>
        <v>10376.5</v>
      </c>
      <c r="P58" s="115">
        <f>VLOOKUP($C$58,Servant!$B$5:$AD$29,24,FALSE)+($F58+($F58*0.5*($D58-1)))*(P$3-1)</f>
        <v>11719</v>
      </c>
      <c r="Q58" s="115">
        <f>VLOOKUP($C$58,Servant!$B$5:$AD$29,24,FALSE)+($F58+($F58*0.5*($D58-1)))*(Q$3-1)</f>
        <v>13061.5</v>
      </c>
      <c r="R58" s="115">
        <f>VLOOKUP($C$58,Servant!$B$5:$AD$29,24,FALSE)+($F58+($F58*0.5*($D58-1)))*(R$3-1)</f>
        <v>14404</v>
      </c>
      <c r="S58" s="115">
        <f>VLOOKUP($C$58,Servant!$B$5:$AD$29,24,FALSE)+($F58+($F58*0.5*($D58-1)))*(S$3-1)</f>
        <v>15746.5</v>
      </c>
      <c r="T58" s="115">
        <f>VLOOKUP($C$58,Servant!$B$5:$AD$29,24,FALSE)+($F58+($F58*0.5*($D58-1)))*(T$3-1)</f>
        <v>17089</v>
      </c>
      <c r="U58" s="115">
        <f>VLOOKUP($C$58,Servant!$B$5:$AD$29,24,FALSE)+($F58+($F58*0.5*($D58-1)))*(U$3-1)</f>
        <v>18431.5</v>
      </c>
      <c r="V58" s="115">
        <f>VLOOKUP($C$58,Servant!$B$5:$AD$29,24,FALSE)+($F58+($F58*0.5*($D58-1)))*(V$3-1)</f>
        <v>19774</v>
      </c>
      <c r="W58" s="115">
        <f>VLOOKUP($C$58,Servant!$B$5:$AD$29,24,FALSE)+($F58+($F58*0.5*($D58-1)))*(W$3-1)</f>
        <v>21116.5</v>
      </c>
      <c r="X58" s="115">
        <f>VLOOKUP($C$58,Servant!$B$5:$AD$29,24,FALSE)+($F58+($F58*0.5*($D58-1)))*(X$3-1)</f>
        <v>22459</v>
      </c>
      <c r="Y58" s="115">
        <f>VLOOKUP($C$58,Servant!$B$5:$AD$29,24,FALSE)+($F58+($F58*0.5*($D58-1)))*(Y$3-1)</f>
        <v>23801.5</v>
      </c>
      <c r="Z58" s="115">
        <f>VLOOKUP($C$58,Servant!$B$5:$AD$29,24,FALSE)+($F58+($F58*0.5*($D58-1)))*(Z$3-1)</f>
        <v>25144</v>
      </c>
      <c r="AA58" s="115">
        <f>VLOOKUP($C$58,Servant!$B$5:$AD$29,24,FALSE)+($F58+($F58*0.5*($D58-1)))*(AA$3-1)</f>
        <v>26486.5</v>
      </c>
      <c r="AB58" s="115">
        <f>VLOOKUP($C$58,Servant!$B$5:$AD$29,24,FALSE)+($F58+($F58*0.5*($D58-1)))*(AB$3-1)</f>
        <v>27829</v>
      </c>
      <c r="AC58" s="115">
        <f>VLOOKUP($C$58,Servant!$B$5:$AD$29,24,FALSE)+($F58+($F58*0.5*($D58-1)))*(AC$3-1)</f>
        <v>29171.5</v>
      </c>
      <c r="AD58" s="115">
        <f>VLOOKUP($C$58,Servant!$B$5:$AD$29,24,FALSE)+($F58+($F58*0.5*($D58-1)))*(AD$3-1)</f>
        <v>30514</v>
      </c>
      <c r="AE58" s="115">
        <f>VLOOKUP($C$58,Servant!$B$5:$AD$29,24,FALSE)+($F58+($F58*0.5*($D58-1)))*(AE$3-1)</f>
        <v>31856.5</v>
      </c>
      <c r="AF58" s="115">
        <f>VLOOKUP($C$58,Servant!$B$5:$AD$29,24,FALSE)+($F58+($F58*0.5*($D58-1)))*(AF$3-1)</f>
        <v>33199</v>
      </c>
      <c r="AG58" s="115">
        <f>VLOOKUP($C$58,Servant!$B$5:$AD$29,24,FALSE)+($F58+($F58*0.5*($D58-1)))*(AG$3-1)</f>
        <v>34541.5</v>
      </c>
      <c r="AH58" s="115">
        <f>VLOOKUP($C$58,Servant!$B$5:$AD$29,24,FALSE)+($F58+($F58*0.5*($D58-1)))*(AH$3-1)</f>
        <v>35884</v>
      </c>
      <c r="AI58" s="115">
        <f>VLOOKUP($C$58,Servant!$B$5:$AD$29,24,FALSE)+($F58+($F58*0.5*($D58-1)))*(AI$3-1)</f>
        <v>37226.5</v>
      </c>
      <c r="AJ58" s="115">
        <f>VLOOKUP($C$58,Servant!$B$5:$AD$29,24,FALSE)+($F58+($F58*0.5*($D58-1)))*(AJ$3-1)</f>
        <v>38569</v>
      </c>
      <c r="AK58" s="115">
        <f>VLOOKUP($C$58,Servant!$B$5:$AD$29,24,FALSE)+($F58+($F58*0.5*($D58-1)))*(AK$3-1)</f>
        <v>39911.5</v>
      </c>
    </row>
    <row r="59" spans="2:37" x14ac:dyDescent="0.3">
      <c r="B59" s="309"/>
      <c r="C59" s="302"/>
      <c r="D59" s="129">
        <v>5</v>
      </c>
      <c r="E59" s="124">
        <f>VLOOKUP($C$58,ServantLevelUPdStatus!$B$5:$AD$29,12,FALSE)+(VLOOKUP($C$58,ServantLevelUPdStatus!$B$5:$AD$29,12,FALSE)*0.5*(Simulator_DfsPow!$D59-1))</f>
        <v>1611</v>
      </c>
      <c r="F59" s="123">
        <f>F58</f>
        <v>537</v>
      </c>
      <c r="H59" s="115">
        <f>VLOOKUP($C$58,Servant!$B$5:$AD$29,24,FALSE)+($F59+($F59*0.5*($D59-1)))*(H$3-1)</f>
        <v>979</v>
      </c>
      <c r="I59" s="115">
        <f>VLOOKUP($C$58,Servant!$B$5:$AD$29,24,FALSE)+($F59+($F59*0.5*($D59-1)))*(I$3-1)</f>
        <v>2590</v>
      </c>
      <c r="J59" s="115">
        <f>VLOOKUP($C$58,Servant!$B$5:$AD$29,24,FALSE)+($F59+($F59*0.5*($D59-1)))*(J$3-1)</f>
        <v>4201</v>
      </c>
      <c r="K59" s="115">
        <f>VLOOKUP($C$58,Servant!$B$5:$AD$29,24,FALSE)+($F59+($F59*0.5*($D59-1)))*(K$3-1)</f>
        <v>5812</v>
      </c>
      <c r="L59" s="115">
        <f>VLOOKUP($C$58,Servant!$B$5:$AD$29,24,FALSE)+($F59+($F59*0.5*($D59-1)))*(L$3-1)</f>
        <v>7423</v>
      </c>
      <c r="M59" s="115">
        <f>VLOOKUP($C$58,Servant!$B$5:$AD$29,24,FALSE)+($F59+($F59*0.5*($D59-1)))*(M$3-1)</f>
        <v>9034</v>
      </c>
      <c r="N59" s="115">
        <f>VLOOKUP($C$58,Servant!$B$5:$AD$29,24,FALSE)+($F59+($F59*0.5*($D59-1)))*(N$3-1)</f>
        <v>10645</v>
      </c>
      <c r="O59" s="115">
        <f>VLOOKUP($C$58,Servant!$B$5:$AD$29,24,FALSE)+($F59+($F59*0.5*($D59-1)))*(O$3-1)</f>
        <v>12256</v>
      </c>
      <c r="P59" s="115">
        <f>VLOOKUP($C$58,Servant!$B$5:$AD$29,24,FALSE)+($F59+($F59*0.5*($D59-1)))*(P$3-1)</f>
        <v>13867</v>
      </c>
      <c r="Q59" s="115">
        <f>VLOOKUP($C$58,Servant!$B$5:$AD$29,24,FALSE)+($F59+($F59*0.5*($D59-1)))*(Q$3-1)</f>
        <v>15478</v>
      </c>
      <c r="R59" s="115">
        <f>VLOOKUP($C$58,Servant!$B$5:$AD$29,24,FALSE)+($F59+($F59*0.5*($D59-1)))*(R$3-1)</f>
        <v>17089</v>
      </c>
      <c r="S59" s="115">
        <f>VLOOKUP($C$58,Servant!$B$5:$AD$29,24,FALSE)+($F59+($F59*0.5*($D59-1)))*(S$3-1)</f>
        <v>18700</v>
      </c>
      <c r="T59" s="115">
        <f>VLOOKUP($C$58,Servant!$B$5:$AD$29,24,FALSE)+($F59+($F59*0.5*($D59-1)))*(T$3-1)</f>
        <v>20311</v>
      </c>
      <c r="U59" s="115">
        <f>VLOOKUP($C$58,Servant!$B$5:$AD$29,24,FALSE)+($F59+($F59*0.5*($D59-1)))*(U$3-1)</f>
        <v>21922</v>
      </c>
      <c r="V59" s="115">
        <f>VLOOKUP($C$58,Servant!$B$5:$AD$29,24,FALSE)+($F59+($F59*0.5*($D59-1)))*(V$3-1)</f>
        <v>23533</v>
      </c>
      <c r="W59" s="115">
        <f>VLOOKUP($C$58,Servant!$B$5:$AD$29,24,FALSE)+($F59+($F59*0.5*($D59-1)))*(W$3-1)</f>
        <v>25144</v>
      </c>
      <c r="X59" s="115">
        <f>VLOOKUP($C$58,Servant!$B$5:$AD$29,24,FALSE)+($F59+($F59*0.5*($D59-1)))*(X$3-1)</f>
        <v>26755</v>
      </c>
      <c r="Y59" s="115">
        <f>VLOOKUP($C$58,Servant!$B$5:$AD$29,24,FALSE)+($F59+($F59*0.5*($D59-1)))*(Y$3-1)</f>
        <v>28366</v>
      </c>
      <c r="Z59" s="115">
        <f>VLOOKUP($C$58,Servant!$B$5:$AD$29,24,FALSE)+($F59+($F59*0.5*($D59-1)))*(Z$3-1)</f>
        <v>29977</v>
      </c>
      <c r="AA59" s="115">
        <f>VLOOKUP($C$58,Servant!$B$5:$AD$29,24,FALSE)+($F59+($F59*0.5*($D59-1)))*(AA$3-1)</f>
        <v>31588</v>
      </c>
      <c r="AB59" s="115">
        <f>VLOOKUP($C$58,Servant!$B$5:$AD$29,24,FALSE)+($F59+($F59*0.5*($D59-1)))*(AB$3-1)</f>
        <v>33199</v>
      </c>
      <c r="AC59" s="115">
        <f>VLOOKUP($C$58,Servant!$B$5:$AD$29,24,FALSE)+($F59+($F59*0.5*($D59-1)))*(AC$3-1)</f>
        <v>34810</v>
      </c>
      <c r="AD59" s="115">
        <f>VLOOKUP($C$58,Servant!$B$5:$AD$29,24,FALSE)+($F59+($F59*0.5*($D59-1)))*(AD$3-1)</f>
        <v>36421</v>
      </c>
      <c r="AE59" s="115">
        <f>VLOOKUP($C$58,Servant!$B$5:$AD$29,24,FALSE)+($F59+($F59*0.5*($D59-1)))*(AE$3-1)</f>
        <v>38032</v>
      </c>
      <c r="AF59" s="115">
        <f>VLOOKUP($C$58,Servant!$B$5:$AD$29,24,FALSE)+($F59+($F59*0.5*($D59-1)))*(AF$3-1)</f>
        <v>39643</v>
      </c>
      <c r="AG59" s="115">
        <f>VLOOKUP($C$58,Servant!$B$5:$AD$29,24,FALSE)+($F59+($F59*0.5*($D59-1)))*(AG$3-1)</f>
        <v>41254</v>
      </c>
      <c r="AH59" s="115">
        <f>VLOOKUP($C$58,Servant!$B$5:$AD$29,24,FALSE)+($F59+($F59*0.5*($D59-1)))*(AH$3-1)</f>
        <v>42865</v>
      </c>
      <c r="AI59" s="115">
        <f>VLOOKUP($C$58,Servant!$B$5:$AD$29,24,FALSE)+($F59+($F59*0.5*($D59-1)))*(AI$3-1)</f>
        <v>44476</v>
      </c>
      <c r="AJ59" s="115">
        <f>VLOOKUP($C$58,Servant!$B$5:$AD$29,24,FALSE)+($F59+($F59*0.5*($D59-1)))*(AJ$3-1)</f>
        <v>46087</v>
      </c>
      <c r="AK59" s="115">
        <f>VLOOKUP($C$58,Servant!$B$5:$AD$29,24,FALSE)+($F59+($F59*0.5*($D59-1)))*(AK$3-1)</f>
        <v>47698</v>
      </c>
    </row>
    <row r="60" spans="2:37" x14ac:dyDescent="0.3">
      <c r="B60" s="309"/>
      <c r="C60" s="303"/>
      <c r="D60" s="129">
        <v>6</v>
      </c>
      <c r="E60" s="124">
        <f>VLOOKUP($C$58,ServantLevelUPdStatus!$B$5:$AD$29,12,FALSE)+(VLOOKUP($C$58,ServantLevelUPdStatus!$B$5:$AD$29,12,FALSE)*0.5*(Simulator_DfsPow!$D60-1))</f>
        <v>1879.5</v>
      </c>
      <c r="F60" s="123">
        <f>F59</f>
        <v>537</v>
      </c>
      <c r="H60" s="115">
        <f>VLOOKUP($C$58,Servant!$B$5:$AD$29,24,FALSE)+($F60+($F60*0.5*($D60-1)))*(H$3-1)</f>
        <v>979</v>
      </c>
      <c r="I60" s="115">
        <f>VLOOKUP($C$58,Servant!$B$5:$AD$29,24,FALSE)+($F60+($F60*0.5*($D60-1)))*(I$3-1)</f>
        <v>2858.5</v>
      </c>
      <c r="J60" s="115">
        <f>VLOOKUP($C$58,Servant!$B$5:$AD$29,24,FALSE)+($F60+($F60*0.5*($D60-1)))*(J$3-1)</f>
        <v>4738</v>
      </c>
      <c r="K60" s="115">
        <f>VLOOKUP($C$58,Servant!$B$5:$AD$29,24,FALSE)+($F60+($F60*0.5*($D60-1)))*(K$3-1)</f>
        <v>6617.5</v>
      </c>
      <c r="L60" s="115">
        <f>VLOOKUP($C$58,Servant!$B$5:$AD$29,24,FALSE)+($F60+($F60*0.5*($D60-1)))*(L$3-1)</f>
        <v>8497</v>
      </c>
      <c r="M60" s="115">
        <f>VLOOKUP($C$58,Servant!$B$5:$AD$29,24,FALSE)+($F60+($F60*0.5*($D60-1)))*(M$3-1)</f>
        <v>10376.5</v>
      </c>
      <c r="N60" s="115">
        <f>VLOOKUP($C$58,Servant!$B$5:$AD$29,24,FALSE)+($F60+($F60*0.5*($D60-1)))*(N$3-1)</f>
        <v>12256</v>
      </c>
      <c r="O60" s="115">
        <f>VLOOKUP($C$58,Servant!$B$5:$AD$29,24,FALSE)+($F60+($F60*0.5*($D60-1)))*(O$3-1)</f>
        <v>14135.5</v>
      </c>
      <c r="P60" s="115">
        <f>VLOOKUP($C$58,Servant!$B$5:$AD$29,24,FALSE)+($F60+($F60*0.5*($D60-1)))*(P$3-1)</f>
        <v>16015</v>
      </c>
      <c r="Q60" s="115">
        <f>VLOOKUP($C$58,Servant!$B$5:$AD$29,24,FALSE)+($F60+($F60*0.5*($D60-1)))*(Q$3-1)</f>
        <v>17894.5</v>
      </c>
      <c r="R60" s="115">
        <f>VLOOKUP($C$58,Servant!$B$5:$AD$29,24,FALSE)+($F60+($F60*0.5*($D60-1)))*(R$3-1)</f>
        <v>19774</v>
      </c>
      <c r="S60" s="115">
        <f>VLOOKUP($C$58,Servant!$B$5:$AD$29,24,FALSE)+($F60+($F60*0.5*($D60-1)))*(S$3-1)</f>
        <v>21653.5</v>
      </c>
      <c r="T60" s="115">
        <f>VLOOKUP($C$58,Servant!$B$5:$AD$29,24,FALSE)+($F60+($F60*0.5*($D60-1)))*(T$3-1)</f>
        <v>23533</v>
      </c>
      <c r="U60" s="115">
        <f>VLOOKUP($C$58,Servant!$B$5:$AD$29,24,FALSE)+($F60+($F60*0.5*($D60-1)))*(U$3-1)</f>
        <v>25412.5</v>
      </c>
      <c r="V60" s="115">
        <f>VLOOKUP($C$58,Servant!$B$5:$AD$29,24,FALSE)+($F60+($F60*0.5*($D60-1)))*(V$3-1)</f>
        <v>27292</v>
      </c>
      <c r="W60" s="115">
        <f>VLOOKUP($C$58,Servant!$B$5:$AD$29,24,FALSE)+($F60+($F60*0.5*($D60-1)))*(W$3-1)</f>
        <v>29171.5</v>
      </c>
      <c r="X60" s="115">
        <f>VLOOKUP($C$58,Servant!$B$5:$AD$29,24,FALSE)+($F60+($F60*0.5*($D60-1)))*(X$3-1)</f>
        <v>31051</v>
      </c>
      <c r="Y60" s="115">
        <f>VLOOKUP($C$58,Servant!$B$5:$AD$29,24,FALSE)+($F60+($F60*0.5*($D60-1)))*(Y$3-1)</f>
        <v>32930.5</v>
      </c>
      <c r="Z60" s="115">
        <f>VLOOKUP($C$58,Servant!$B$5:$AD$29,24,FALSE)+($F60+($F60*0.5*($D60-1)))*(Z$3-1)</f>
        <v>34810</v>
      </c>
      <c r="AA60" s="115">
        <f>VLOOKUP($C$58,Servant!$B$5:$AD$29,24,FALSE)+($F60+($F60*0.5*($D60-1)))*(AA$3-1)</f>
        <v>36689.5</v>
      </c>
      <c r="AB60" s="115">
        <f>VLOOKUP($C$58,Servant!$B$5:$AD$29,24,FALSE)+($F60+($F60*0.5*($D60-1)))*(AB$3-1)</f>
        <v>38569</v>
      </c>
      <c r="AC60" s="115">
        <f>VLOOKUP($C$58,Servant!$B$5:$AD$29,24,FALSE)+($F60+($F60*0.5*($D60-1)))*(AC$3-1)</f>
        <v>40448.5</v>
      </c>
      <c r="AD60" s="115">
        <f>VLOOKUP($C$58,Servant!$B$5:$AD$29,24,FALSE)+($F60+($F60*0.5*($D60-1)))*(AD$3-1)</f>
        <v>42328</v>
      </c>
      <c r="AE60" s="115">
        <f>VLOOKUP($C$58,Servant!$B$5:$AD$29,24,FALSE)+($F60+($F60*0.5*($D60-1)))*(AE$3-1)</f>
        <v>44207.5</v>
      </c>
      <c r="AF60" s="115">
        <f>VLOOKUP($C$58,Servant!$B$5:$AD$29,24,FALSE)+($F60+($F60*0.5*($D60-1)))*(AF$3-1)</f>
        <v>46087</v>
      </c>
      <c r="AG60" s="115">
        <f>VLOOKUP($C$58,Servant!$B$5:$AD$29,24,FALSE)+($F60+($F60*0.5*($D60-1)))*(AG$3-1)</f>
        <v>47966.5</v>
      </c>
      <c r="AH60" s="115">
        <f>VLOOKUP($C$58,Servant!$B$5:$AD$29,24,FALSE)+($F60+($F60*0.5*($D60-1)))*(AH$3-1)</f>
        <v>49846</v>
      </c>
      <c r="AI60" s="115">
        <f>VLOOKUP($C$58,Servant!$B$5:$AD$29,24,FALSE)+($F60+($F60*0.5*($D60-1)))*(AI$3-1)</f>
        <v>51725.5</v>
      </c>
      <c r="AJ60" s="115">
        <f>VLOOKUP($C$58,Servant!$B$5:$AD$29,24,FALSE)+($F60+($F60*0.5*($D60-1)))*(AJ$3-1)</f>
        <v>53605</v>
      </c>
      <c r="AK60" s="115">
        <f>VLOOKUP($C$58,Servant!$B$5:$AD$29,24,FALSE)+($F60+($F60*0.5*($D60-1)))*(AK$3-1)</f>
        <v>55484.5</v>
      </c>
    </row>
    <row r="61" spans="2:37" x14ac:dyDescent="0.3">
      <c r="B61" s="309"/>
      <c r="C61" s="304" t="s">
        <v>293</v>
      </c>
      <c r="D61" s="144">
        <v>4</v>
      </c>
      <c r="E61" s="145">
        <f>VLOOKUP($C$61,ServantLevelUPdStatus!$B$5:$AD$29,12,FALSE)+(VLOOKUP($C$61,ServantLevelUPdStatus!$B$5:$AD$29,12,FALSE)*0.5*(Simulator_DfsPow!$D61-1))</f>
        <v>1487.5</v>
      </c>
      <c r="F61" s="145">
        <f>VLOOKUP($C$61,ServantLevelUPdStatus!$B$5:$AD$29,12,FALSE)</f>
        <v>595</v>
      </c>
      <c r="H61" s="146">
        <f>VLOOKUP($C$61,Servant!$B$5:$AD$29,24,FALSE)+($F61+($F61*0.5*($D61-1)))*(H$3-1)</f>
        <v>1084</v>
      </c>
      <c r="I61" s="146">
        <f>VLOOKUP($C$61,Servant!$B$5:$AD$29,24,FALSE)+($F61+($F61*0.5*($D61-1)))*(I$3-1)</f>
        <v>2571.5</v>
      </c>
      <c r="J61" s="146">
        <f>VLOOKUP($C$61,Servant!$B$5:$AD$29,24,FALSE)+($F61+($F61*0.5*($D61-1)))*(J$3-1)</f>
        <v>4059</v>
      </c>
      <c r="K61" s="146">
        <f>VLOOKUP($C$61,Servant!$B$5:$AD$29,24,FALSE)+($F61+($F61*0.5*($D61-1)))*(K$3-1)</f>
        <v>5546.5</v>
      </c>
      <c r="L61" s="146">
        <f>VLOOKUP($C$61,Servant!$B$5:$AD$29,24,FALSE)+($F61+($F61*0.5*($D61-1)))*(L$3-1)</f>
        <v>7034</v>
      </c>
      <c r="M61" s="146">
        <f>VLOOKUP($C$61,Servant!$B$5:$AD$29,24,FALSE)+($F61+($F61*0.5*($D61-1)))*(M$3-1)</f>
        <v>8521.5</v>
      </c>
      <c r="N61" s="146">
        <f>VLOOKUP($C$61,Servant!$B$5:$AD$29,24,FALSE)+($F61+($F61*0.5*($D61-1)))*(N$3-1)</f>
        <v>10009</v>
      </c>
      <c r="O61" s="146">
        <f>VLOOKUP($C$61,Servant!$B$5:$AD$29,24,FALSE)+($F61+($F61*0.5*($D61-1)))*(O$3-1)</f>
        <v>11496.5</v>
      </c>
      <c r="P61" s="146">
        <f>VLOOKUP($C$61,Servant!$B$5:$AD$29,24,FALSE)+($F61+($F61*0.5*($D61-1)))*(P$3-1)</f>
        <v>12984</v>
      </c>
      <c r="Q61" s="146">
        <f>VLOOKUP($C$61,Servant!$B$5:$AD$29,24,FALSE)+($F61+($F61*0.5*($D61-1)))*(Q$3-1)</f>
        <v>14471.5</v>
      </c>
      <c r="R61" s="146">
        <f>VLOOKUP($C$61,Servant!$B$5:$AD$29,24,FALSE)+($F61+($F61*0.5*($D61-1)))*(R$3-1)</f>
        <v>15959</v>
      </c>
      <c r="S61" s="146">
        <f>VLOOKUP($C$61,Servant!$B$5:$AD$29,24,FALSE)+($F61+($F61*0.5*($D61-1)))*(S$3-1)</f>
        <v>17446.5</v>
      </c>
      <c r="T61" s="146">
        <f>VLOOKUP($C$61,Servant!$B$5:$AD$29,24,FALSE)+($F61+($F61*0.5*($D61-1)))*(T$3-1)</f>
        <v>18934</v>
      </c>
      <c r="U61" s="146">
        <f>VLOOKUP($C$61,Servant!$B$5:$AD$29,24,FALSE)+($F61+($F61*0.5*($D61-1)))*(U$3-1)</f>
        <v>20421.5</v>
      </c>
      <c r="V61" s="146">
        <f>VLOOKUP($C$61,Servant!$B$5:$AD$29,24,FALSE)+($F61+($F61*0.5*($D61-1)))*(V$3-1)</f>
        <v>21909</v>
      </c>
      <c r="W61" s="146">
        <f>VLOOKUP($C$61,Servant!$B$5:$AD$29,24,FALSE)+($F61+($F61*0.5*($D61-1)))*(W$3-1)</f>
        <v>23396.5</v>
      </c>
      <c r="X61" s="146">
        <f>VLOOKUP($C$61,Servant!$B$5:$AD$29,24,FALSE)+($F61+($F61*0.5*($D61-1)))*(X$3-1)</f>
        <v>24884</v>
      </c>
      <c r="Y61" s="146">
        <f>VLOOKUP($C$61,Servant!$B$5:$AD$29,24,FALSE)+($F61+($F61*0.5*($D61-1)))*(Y$3-1)</f>
        <v>26371.5</v>
      </c>
      <c r="Z61" s="146">
        <f>VLOOKUP($C$61,Servant!$B$5:$AD$29,24,FALSE)+($F61+($F61*0.5*($D61-1)))*(Z$3-1)</f>
        <v>27859</v>
      </c>
      <c r="AA61" s="146">
        <f>VLOOKUP($C$61,Servant!$B$5:$AD$29,24,FALSE)+($F61+($F61*0.5*($D61-1)))*(AA$3-1)</f>
        <v>29346.5</v>
      </c>
      <c r="AB61" s="146">
        <f>VLOOKUP($C$61,Servant!$B$5:$AD$29,24,FALSE)+($F61+($F61*0.5*($D61-1)))*(AB$3-1)</f>
        <v>30834</v>
      </c>
      <c r="AC61" s="146">
        <f>VLOOKUP($C$61,Servant!$B$5:$AD$29,24,FALSE)+($F61+($F61*0.5*($D61-1)))*(AC$3-1)</f>
        <v>32321.5</v>
      </c>
      <c r="AD61" s="146">
        <f>VLOOKUP($C$61,Servant!$B$5:$AD$29,24,FALSE)+($F61+($F61*0.5*($D61-1)))*(AD$3-1)</f>
        <v>33809</v>
      </c>
      <c r="AE61" s="146">
        <f>VLOOKUP($C$61,Servant!$B$5:$AD$29,24,FALSE)+($F61+($F61*0.5*($D61-1)))*(AE$3-1)</f>
        <v>35296.5</v>
      </c>
      <c r="AF61" s="146">
        <f>VLOOKUP($C$61,Servant!$B$5:$AD$29,24,FALSE)+($F61+($F61*0.5*($D61-1)))*(AF$3-1)</f>
        <v>36784</v>
      </c>
      <c r="AG61" s="146">
        <f>VLOOKUP($C$61,Servant!$B$5:$AD$29,24,FALSE)+($F61+($F61*0.5*($D61-1)))*(AG$3-1)</f>
        <v>38271.5</v>
      </c>
      <c r="AH61" s="146">
        <f>VLOOKUP($C$61,Servant!$B$5:$AD$29,24,FALSE)+($F61+($F61*0.5*($D61-1)))*(AH$3-1)</f>
        <v>39759</v>
      </c>
      <c r="AI61" s="146">
        <f>VLOOKUP($C$61,Servant!$B$5:$AD$29,24,FALSE)+($F61+($F61*0.5*($D61-1)))*(AI$3-1)</f>
        <v>41246.5</v>
      </c>
      <c r="AJ61" s="146">
        <f>VLOOKUP($C$61,Servant!$B$5:$AD$29,24,FALSE)+($F61+($F61*0.5*($D61-1)))*(AJ$3-1)</f>
        <v>42734</v>
      </c>
      <c r="AK61" s="146">
        <f>VLOOKUP($C$61,Servant!$B$5:$AD$29,24,FALSE)+($F61+($F61*0.5*($D61-1)))*(AK$3-1)</f>
        <v>44221.5</v>
      </c>
    </row>
    <row r="62" spans="2:37" x14ac:dyDescent="0.3">
      <c r="B62" s="309"/>
      <c r="C62" s="305"/>
      <c r="D62" s="144">
        <v>5</v>
      </c>
      <c r="E62" s="145">
        <f>VLOOKUP($C$61,ServantLevelUPdStatus!$B$5:$AD$29,12,FALSE)+(VLOOKUP($C$61,ServantLevelUPdStatus!$B$5:$AD$29,12,FALSE)*0.5*(Simulator_DfsPow!$D62-1))</f>
        <v>1785</v>
      </c>
      <c r="F62" s="147">
        <f>F61</f>
        <v>595</v>
      </c>
      <c r="H62" s="146">
        <f>VLOOKUP($C$61,Servant!$B$5:$AD$29,24,FALSE)+($F62+($F62*0.5*($D62-1)))*(H$3-1)</f>
        <v>1084</v>
      </c>
      <c r="I62" s="146">
        <f>VLOOKUP($C$61,Servant!$B$5:$AD$29,24,FALSE)+($F62+($F62*0.5*($D62-1)))*(I$3-1)</f>
        <v>2869</v>
      </c>
      <c r="J62" s="146">
        <f>VLOOKUP($C$61,Servant!$B$5:$AD$29,24,FALSE)+($F62+($F62*0.5*($D62-1)))*(J$3-1)</f>
        <v>4654</v>
      </c>
      <c r="K62" s="146">
        <f>VLOOKUP($C$61,Servant!$B$5:$AD$29,24,FALSE)+($F62+($F62*0.5*($D62-1)))*(K$3-1)</f>
        <v>6439</v>
      </c>
      <c r="L62" s="146">
        <f>VLOOKUP($C$61,Servant!$B$5:$AD$29,24,FALSE)+($F62+($F62*0.5*($D62-1)))*(L$3-1)</f>
        <v>8224</v>
      </c>
      <c r="M62" s="146">
        <f>VLOOKUP($C$61,Servant!$B$5:$AD$29,24,FALSE)+($F62+($F62*0.5*($D62-1)))*(M$3-1)</f>
        <v>10009</v>
      </c>
      <c r="N62" s="146">
        <f>VLOOKUP($C$61,Servant!$B$5:$AD$29,24,FALSE)+($F62+($F62*0.5*($D62-1)))*(N$3-1)</f>
        <v>11794</v>
      </c>
      <c r="O62" s="146">
        <f>VLOOKUP($C$61,Servant!$B$5:$AD$29,24,FALSE)+($F62+($F62*0.5*($D62-1)))*(O$3-1)</f>
        <v>13579</v>
      </c>
      <c r="P62" s="146">
        <f>VLOOKUP($C$61,Servant!$B$5:$AD$29,24,FALSE)+($F62+($F62*0.5*($D62-1)))*(P$3-1)</f>
        <v>15364</v>
      </c>
      <c r="Q62" s="146">
        <f>VLOOKUP($C$61,Servant!$B$5:$AD$29,24,FALSE)+($F62+($F62*0.5*($D62-1)))*(Q$3-1)</f>
        <v>17149</v>
      </c>
      <c r="R62" s="146">
        <f>VLOOKUP($C$61,Servant!$B$5:$AD$29,24,FALSE)+($F62+($F62*0.5*($D62-1)))*(R$3-1)</f>
        <v>18934</v>
      </c>
      <c r="S62" s="146">
        <f>VLOOKUP($C$61,Servant!$B$5:$AD$29,24,FALSE)+($F62+($F62*0.5*($D62-1)))*(S$3-1)</f>
        <v>20719</v>
      </c>
      <c r="T62" s="146">
        <f>VLOOKUP($C$61,Servant!$B$5:$AD$29,24,FALSE)+($F62+($F62*0.5*($D62-1)))*(T$3-1)</f>
        <v>22504</v>
      </c>
      <c r="U62" s="146">
        <f>VLOOKUP($C$61,Servant!$B$5:$AD$29,24,FALSE)+($F62+($F62*0.5*($D62-1)))*(U$3-1)</f>
        <v>24289</v>
      </c>
      <c r="V62" s="146">
        <f>VLOOKUP($C$61,Servant!$B$5:$AD$29,24,FALSE)+($F62+($F62*0.5*($D62-1)))*(V$3-1)</f>
        <v>26074</v>
      </c>
      <c r="W62" s="146">
        <f>VLOOKUP($C$61,Servant!$B$5:$AD$29,24,FALSE)+($F62+($F62*0.5*($D62-1)))*(W$3-1)</f>
        <v>27859</v>
      </c>
      <c r="X62" s="146">
        <f>VLOOKUP($C$61,Servant!$B$5:$AD$29,24,FALSE)+($F62+($F62*0.5*($D62-1)))*(X$3-1)</f>
        <v>29644</v>
      </c>
      <c r="Y62" s="146">
        <f>VLOOKUP($C$61,Servant!$B$5:$AD$29,24,FALSE)+($F62+($F62*0.5*($D62-1)))*(Y$3-1)</f>
        <v>31429</v>
      </c>
      <c r="Z62" s="146">
        <f>VLOOKUP($C$61,Servant!$B$5:$AD$29,24,FALSE)+($F62+($F62*0.5*($D62-1)))*(Z$3-1)</f>
        <v>33214</v>
      </c>
      <c r="AA62" s="146">
        <f>VLOOKUP($C$61,Servant!$B$5:$AD$29,24,FALSE)+($F62+($F62*0.5*($D62-1)))*(AA$3-1)</f>
        <v>34999</v>
      </c>
      <c r="AB62" s="146">
        <f>VLOOKUP($C$61,Servant!$B$5:$AD$29,24,FALSE)+($F62+($F62*0.5*($D62-1)))*(AB$3-1)</f>
        <v>36784</v>
      </c>
      <c r="AC62" s="146">
        <f>VLOOKUP($C$61,Servant!$B$5:$AD$29,24,FALSE)+($F62+($F62*0.5*($D62-1)))*(AC$3-1)</f>
        <v>38569</v>
      </c>
      <c r="AD62" s="146">
        <f>VLOOKUP($C$61,Servant!$B$5:$AD$29,24,FALSE)+($F62+($F62*0.5*($D62-1)))*(AD$3-1)</f>
        <v>40354</v>
      </c>
      <c r="AE62" s="146">
        <f>VLOOKUP($C$61,Servant!$B$5:$AD$29,24,FALSE)+($F62+($F62*0.5*($D62-1)))*(AE$3-1)</f>
        <v>42139</v>
      </c>
      <c r="AF62" s="146">
        <f>VLOOKUP($C$61,Servant!$B$5:$AD$29,24,FALSE)+($F62+($F62*0.5*($D62-1)))*(AF$3-1)</f>
        <v>43924</v>
      </c>
      <c r="AG62" s="146">
        <f>VLOOKUP($C$61,Servant!$B$5:$AD$29,24,FALSE)+($F62+($F62*0.5*($D62-1)))*(AG$3-1)</f>
        <v>45709</v>
      </c>
      <c r="AH62" s="146">
        <f>VLOOKUP($C$61,Servant!$B$5:$AD$29,24,FALSE)+($F62+($F62*0.5*($D62-1)))*(AH$3-1)</f>
        <v>47494</v>
      </c>
      <c r="AI62" s="146">
        <f>VLOOKUP($C$61,Servant!$B$5:$AD$29,24,FALSE)+($F62+($F62*0.5*($D62-1)))*(AI$3-1)</f>
        <v>49279</v>
      </c>
      <c r="AJ62" s="146">
        <f>VLOOKUP($C$61,Servant!$B$5:$AD$29,24,FALSE)+($F62+($F62*0.5*($D62-1)))*(AJ$3-1)</f>
        <v>51064</v>
      </c>
      <c r="AK62" s="146">
        <f>VLOOKUP($C$61,Servant!$B$5:$AD$29,24,FALSE)+($F62+($F62*0.5*($D62-1)))*(AK$3-1)</f>
        <v>52849</v>
      </c>
    </row>
    <row r="63" spans="2:37" x14ac:dyDescent="0.3">
      <c r="B63" s="309"/>
      <c r="C63" s="306"/>
      <c r="D63" s="144">
        <v>6</v>
      </c>
      <c r="E63" s="145">
        <f>VLOOKUP($C$61,ServantLevelUPdStatus!$B$5:$AD$29,12,FALSE)+(VLOOKUP($C$61,ServantLevelUPdStatus!$B$5:$AD$29,12,FALSE)*0.5*(Simulator_DfsPow!$D63-1))</f>
        <v>2082.5</v>
      </c>
      <c r="F63" s="147">
        <f>F62</f>
        <v>595</v>
      </c>
      <c r="H63" s="146">
        <f>VLOOKUP($C$61,Servant!$B$5:$AD$29,24,FALSE)+($F63+($F63*0.5*($D63-1)))*(H$3-1)</f>
        <v>1084</v>
      </c>
      <c r="I63" s="146">
        <f>VLOOKUP($C$61,Servant!$B$5:$AD$29,24,FALSE)+($F63+($F63*0.5*($D63-1)))*(I$3-1)</f>
        <v>3166.5</v>
      </c>
      <c r="J63" s="146">
        <f>VLOOKUP($C$61,Servant!$B$5:$AD$29,24,FALSE)+($F63+($F63*0.5*($D63-1)))*(J$3-1)</f>
        <v>5249</v>
      </c>
      <c r="K63" s="146">
        <f>VLOOKUP($C$61,Servant!$B$5:$AD$29,24,FALSE)+($F63+($F63*0.5*($D63-1)))*(K$3-1)</f>
        <v>7331.5</v>
      </c>
      <c r="L63" s="146">
        <f>VLOOKUP($C$61,Servant!$B$5:$AD$29,24,FALSE)+($F63+($F63*0.5*($D63-1)))*(L$3-1)</f>
        <v>9414</v>
      </c>
      <c r="M63" s="146">
        <f>VLOOKUP($C$61,Servant!$B$5:$AD$29,24,FALSE)+($F63+($F63*0.5*($D63-1)))*(M$3-1)</f>
        <v>11496.5</v>
      </c>
      <c r="N63" s="146">
        <f>VLOOKUP($C$61,Servant!$B$5:$AD$29,24,FALSE)+($F63+($F63*0.5*($D63-1)))*(N$3-1)</f>
        <v>13579</v>
      </c>
      <c r="O63" s="146">
        <f>VLOOKUP($C$61,Servant!$B$5:$AD$29,24,FALSE)+($F63+($F63*0.5*($D63-1)))*(O$3-1)</f>
        <v>15661.5</v>
      </c>
      <c r="P63" s="146">
        <f>VLOOKUP($C$61,Servant!$B$5:$AD$29,24,FALSE)+($F63+($F63*0.5*($D63-1)))*(P$3-1)</f>
        <v>17744</v>
      </c>
      <c r="Q63" s="146">
        <f>VLOOKUP($C$61,Servant!$B$5:$AD$29,24,FALSE)+($F63+($F63*0.5*($D63-1)))*(Q$3-1)</f>
        <v>19826.5</v>
      </c>
      <c r="R63" s="146">
        <f>VLOOKUP($C$61,Servant!$B$5:$AD$29,24,FALSE)+($F63+($F63*0.5*($D63-1)))*(R$3-1)</f>
        <v>21909</v>
      </c>
      <c r="S63" s="146">
        <f>VLOOKUP($C$61,Servant!$B$5:$AD$29,24,FALSE)+($F63+($F63*0.5*($D63-1)))*(S$3-1)</f>
        <v>23991.5</v>
      </c>
      <c r="T63" s="146">
        <f>VLOOKUP($C$61,Servant!$B$5:$AD$29,24,FALSE)+($F63+($F63*0.5*($D63-1)))*(T$3-1)</f>
        <v>26074</v>
      </c>
      <c r="U63" s="146">
        <f>VLOOKUP($C$61,Servant!$B$5:$AD$29,24,FALSE)+($F63+($F63*0.5*($D63-1)))*(U$3-1)</f>
        <v>28156.5</v>
      </c>
      <c r="V63" s="146">
        <f>VLOOKUP($C$61,Servant!$B$5:$AD$29,24,FALSE)+($F63+($F63*0.5*($D63-1)))*(V$3-1)</f>
        <v>30239</v>
      </c>
      <c r="W63" s="146">
        <f>VLOOKUP($C$61,Servant!$B$5:$AD$29,24,FALSE)+($F63+($F63*0.5*($D63-1)))*(W$3-1)</f>
        <v>32321.5</v>
      </c>
      <c r="X63" s="146">
        <f>VLOOKUP($C$61,Servant!$B$5:$AD$29,24,FALSE)+($F63+($F63*0.5*($D63-1)))*(X$3-1)</f>
        <v>34404</v>
      </c>
      <c r="Y63" s="146">
        <f>VLOOKUP($C$61,Servant!$B$5:$AD$29,24,FALSE)+($F63+($F63*0.5*($D63-1)))*(Y$3-1)</f>
        <v>36486.5</v>
      </c>
      <c r="Z63" s="146">
        <f>VLOOKUP($C$61,Servant!$B$5:$AD$29,24,FALSE)+($F63+($F63*0.5*($D63-1)))*(Z$3-1)</f>
        <v>38569</v>
      </c>
      <c r="AA63" s="146">
        <f>VLOOKUP($C$61,Servant!$B$5:$AD$29,24,FALSE)+($F63+($F63*0.5*($D63-1)))*(AA$3-1)</f>
        <v>40651.5</v>
      </c>
      <c r="AB63" s="146">
        <f>VLOOKUP($C$61,Servant!$B$5:$AD$29,24,FALSE)+($F63+($F63*0.5*($D63-1)))*(AB$3-1)</f>
        <v>42734</v>
      </c>
      <c r="AC63" s="146">
        <f>VLOOKUP($C$61,Servant!$B$5:$AD$29,24,FALSE)+($F63+($F63*0.5*($D63-1)))*(AC$3-1)</f>
        <v>44816.5</v>
      </c>
      <c r="AD63" s="146">
        <f>VLOOKUP($C$61,Servant!$B$5:$AD$29,24,FALSE)+($F63+($F63*0.5*($D63-1)))*(AD$3-1)</f>
        <v>46899</v>
      </c>
      <c r="AE63" s="146">
        <f>VLOOKUP($C$61,Servant!$B$5:$AD$29,24,FALSE)+($F63+($F63*0.5*($D63-1)))*(AE$3-1)</f>
        <v>48981.5</v>
      </c>
      <c r="AF63" s="146">
        <f>VLOOKUP($C$61,Servant!$B$5:$AD$29,24,FALSE)+($F63+($F63*0.5*($D63-1)))*(AF$3-1)</f>
        <v>51064</v>
      </c>
      <c r="AG63" s="146">
        <f>VLOOKUP($C$61,Servant!$B$5:$AD$29,24,FALSE)+($F63+($F63*0.5*($D63-1)))*(AG$3-1)</f>
        <v>53146.5</v>
      </c>
      <c r="AH63" s="146">
        <f>VLOOKUP($C$61,Servant!$B$5:$AD$29,24,FALSE)+($F63+($F63*0.5*($D63-1)))*(AH$3-1)</f>
        <v>55229</v>
      </c>
      <c r="AI63" s="146">
        <f>VLOOKUP($C$61,Servant!$B$5:$AD$29,24,FALSE)+($F63+($F63*0.5*($D63-1)))*(AI$3-1)</f>
        <v>57311.5</v>
      </c>
      <c r="AJ63" s="146">
        <f>VLOOKUP($C$61,Servant!$B$5:$AD$29,24,FALSE)+($F63+($F63*0.5*($D63-1)))*(AJ$3-1)</f>
        <v>59394</v>
      </c>
      <c r="AK63" s="146">
        <f>VLOOKUP($C$61,Servant!$B$5:$AD$29,24,FALSE)+($F63+($F63*0.5*($D63-1)))*(AK$3-1)</f>
        <v>61476.5</v>
      </c>
    </row>
    <row r="64" spans="2:37" x14ac:dyDescent="0.3">
      <c r="B64" s="309"/>
      <c r="C64" s="301" t="s">
        <v>294</v>
      </c>
      <c r="D64" s="129">
        <v>4</v>
      </c>
      <c r="E64" s="124">
        <f>VLOOKUP($C$64,ServantLevelUPdStatus!$B$5:$AD$29,12,FALSE)+(VLOOKUP($C$64,ServantLevelUPdStatus!$B$5:$AD$29,12,FALSE)*0.5*(Simulator_DfsPow!$D64-1))</f>
        <v>1717.5</v>
      </c>
      <c r="F64" s="124">
        <f>VLOOKUP($C$64,ServantLevelUPdStatus!$B$5:$AD$29,12,FALSE)</f>
        <v>687</v>
      </c>
      <c r="H64" s="115">
        <f>VLOOKUP($C$64,Servant!$B$5:$AD$29,24,FALSE)+($F64+($F64*0.5*($D64-1)))*(H$3-1)</f>
        <v>1253</v>
      </c>
      <c r="I64" s="115">
        <f>VLOOKUP($C$64,Servant!$B$5:$AD$29,24,FALSE)+($F64+($F64*0.5*($D64-1)))*(I$3-1)</f>
        <v>2970.5</v>
      </c>
      <c r="J64" s="115">
        <f>VLOOKUP($C$64,Servant!$B$5:$AD$29,24,FALSE)+($F64+($F64*0.5*($D64-1)))*(J$3-1)</f>
        <v>4688</v>
      </c>
      <c r="K64" s="115">
        <f>VLOOKUP($C$64,Servant!$B$5:$AD$29,24,FALSE)+($F64+($F64*0.5*($D64-1)))*(K$3-1)</f>
        <v>6405.5</v>
      </c>
      <c r="L64" s="115">
        <f>VLOOKUP($C$64,Servant!$B$5:$AD$29,24,FALSE)+($F64+($F64*0.5*($D64-1)))*(L$3-1)</f>
        <v>8123</v>
      </c>
      <c r="M64" s="115">
        <f>VLOOKUP($C$64,Servant!$B$5:$AD$29,24,FALSE)+($F64+($F64*0.5*($D64-1)))*(M$3-1)</f>
        <v>9840.5</v>
      </c>
      <c r="N64" s="115">
        <f>VLOOKUP($C$64,Servant!$B$5:$AD$29,24,FALSE)+($F64+($F64*0.5*($D64-1)))*(N$3-1)</f>
        <v>11558</v>
      </c>
      <c r="O64" s="115">
        <f>VLOOKUP($C$64,Servant!$B$5:$AD$29,24,FALSE)+($F64+($F64*0.5*($D64-1)))*(O$3-1)</f>
        <v>13275.5</v>
      </c>
      <c r="P64" s="115">
        <f>VLOOKUP($C$64,Servant!$B$5:$AD$29,24,FALSE)+($F64+($F64*0.5*($D64-1)))*(P$3-1)</f>
        <v>14993</v>
      </c>
      <c r="Q64" s="115">
        <f>VLOOKUP($C$64,Servant!$B$5:$AD$29,24,FALSE)+($F64+($F64*0.5*($D64-1)))*(Q$3-1)</f>
        <v>16710.5</v>
      </c>
      <c r="R64" s="115">
        <f>VLOOKUP($C$64,Servant!$B$5:$AD$29,24,FALSE)+($F64+($F64*0.5*($D64-1)))*(R$3-1)</f>
        <v>18428</v>
      </c>
      <c r="S64" s="115">
        <f>VLOOKUP($C$64,Servant!$B$5:$AD$29,24,FALSE)+($F64+($F64*0.5*($D64-1)))*(S$3-1)</f>
        <v>20145.5</v>
      </c>
      <c r="T64" s="115">
        <f>VLOOKUP($C$64,Servant!$B$5:$AD$29,24,FALSE)+($F64+($F64*0.5*($D64-1)))*(T$3-1)</f>
        <v>21863</v>
      </c>
      <c r="U64" s="115">
        <f>VLOOKUP($C$64,Servant!$B$5:$AD$29,24,FALSE)+($F64+($F64*0.5*($D64-1)))*(U$3-1)</f>
        <v>23580.5</v>
      </c>
      <c r="V64" s="115">
        <f>VLOOKUP($C$64,Servant!$B$5:$AD$29,24,FALSE)+($F64+($F64*0.5*($D64-1)))*(V$3-1)</f>
        <v>25298</v>
      </c>
      <c r="W64" s="115">
        <f>VLOOKUP($C$64,Servant!$B$5:$AD$29,24,FALSE)+($F64+($F64*0.5*($D64-1)))*(W$3-1)</f>
        <v>27015.5</v>
      </c>
      <c r="X64" s="115">
        <f>VLOOKUP($C$64,Servant!$B$5:$AD$29,24,FALSE)+($F64+($F64*0.5*($D64-1)))*(X$3-1)</f>
        <v>28733</v>
      </c>
      <c r="Y64" s="115">
        <f>VLOOKUP($C$64,Servant!$B$5:$AD$29,24,FALSE)+($F64+($F64*0.5*($D64-1)))*(Y$3-1)</f>
        <v>30450.5</v>
      </c>
      <c r="Z64" s="115">
        <f>VLOOKUP($C$64,Servant!$B$5:$AD$29,24,FALSE)+($F64+($F64*0.5*($D64-1)))*(Z$3-1)</f>
        <v>32168</v>
      </c>
      <c r="AA64" s="115">
        <f>VLOOKUP($C$64,Servant!$B$5:$AD$29,24,FALSE)+($F64+($F64*0.5*($D64-1)))*(AA$3-1)</f>
        <v>33885.5</v>
      </c>
      <c r="AB64" s="115">
        <f>VLOOKUP($C$64,Servant!$B$5:$AD$29,24,FALSE)+($F64+($F64*0.5*($D64-1)))*(AB$3-1)</f>
        <v>35603</v>
      </c>
      <c r="AC64" s="115">
        <f>VLOOKUP($C$64,Servant!$B$5:$AD$29,24,FALSE)+($F64+($F64*0.5*($D64-1)))*(AC$3-1)</f>
        <v>37320.5</v>
      </c>
      <c r="AD64" s="115">
        <f>VLOOKUP($C$64,Servant!$B$5:$AD$29,24,FALSE)+($F64+($F64*0.5*($D64-1)))*(AD$3-1)</f>
        <v>39038</v>
      </c>
      <c r="AE64" s="115">
        <f>VLOOKUP($C$64,Servant!$B$5:$AD$29,24,FALSE)+($F64+($F64*0.5*($D64-1)))*(AE$3-1)</f>
        <v>40755.5</v>
      </c>
      <c r="AF64" s="115">
        <f>VLOOKUP($C$64,Servant!$B$5:$AD$29,24,FALSE)+($F64+($F64*0.5*($D64-1)))*(AF$3-1)</f>
        <v>42473</v>
      </c>
      <c r="AG64" s="115">
        <f>VLOOKUP($C$64,Servant!$B$5:$AD$29,24,FALSE)+($F64+($F64*0.5*($D64-1)))*(AG$3-1)</f>
        <v>44190.5</v>
      </c>
      <c r="AH64" s="115">
        <f>VLOOKUP($C$64,Servant!$B$5:$AD$29,24,FALSE)+($F64+($F64*0.5*($D64-1)))*(AH$3-1)</f>
        <v>45908</v>
      </c>
      <c r="AI64" s="115">
        <f>VLOOKUP($C$64,Servant!$B$5:$AD$29,24,FALSE)+($F64+($F64*0.5*($D64-1)))*(AI$3-1)</f>
        <v>47625.5</v>
      </c>
      <c r="AJ64" s="115">
        <f>VLOOKUP($C$64,Servant!$B$5:$AD$29,24,FALSE)+($F64+($F64*0.5*($D64-1)))*(AJ$3-1)</f>
        <v>49343</v>
      </c>
      <c r="AK64" s="115">
        <f>VLOOKUP($C$64,Servant!$B$5:$AD$29,24,FALSE)+($F64+($F64*0.5*($D64-1)))*(AK$3-1)</f>
        <v>51060.5</v>
      </c>
    </row>
    <row r="65" spans="2:37" x14ac:dyDescent="0.3">
      <c r="B65" s="309"/>
      <c r="C65" s="302"/>
      <c r="D65" s="129">
        <v>5</v>
      </c>
      <c r="E65" s="124">
        <f>VLOOKUP($C$64,ServantLevelUPdStatus!$B$5:$AD$29,12,FALSE)+(VLOOKUP($C$64,ServantLevelUPdStatus!$B$5:$AD$29,12,FALSE)*0.5*(Simulator_DfsPow!$D65-1))</f>
        <v>2061</v>
      </c>
      <c r="F65" s="123">
        <f>F64</f>
        <v>687</v>
      </c>
      <c r="H65" s="115">
        <f>VLOOKUP($C$64,Servant!$B$5:$AD$29,24,FALSE)+($F65+($F65*0.5*($D65-1)))*(H$3-1)</f>
        <v>1253</v>
      </c>
      <c r="I65" s="115">
        <f>VLOOKUP($C$64,Servant!$B$5:$AD$29,24,FALSE)+($F65+($F65*0.5*($D65-1)))*(I$3-1)</f>
        <v>3314</v>
      </c>
      <c r="J65" s="115">
        <f>VLOOKUP($C$64,Servant!$B$5:$AD$29,24,FALSE)+($F65+($F65*0.5*($D65-1)))*(J$3-1)</f>
        <v>5375</v>
      </c>
      <c r="K65" s="115">
        <f>VLOOKUP($C$64,Servant!$B$5:$AD$29,24,FALSE)+($F65+($F65*0.5*($D65-1)))*(K$3-1)</f>
        <v>7436</v>
      </c>
      <c r="L65" s="115">
        <f>VLOOKUP($C$64,Servant!$B$5:$AD$29,24,FALSE)+($F65+($F65*0.5*($D65-1)))*(L$3-1)</f>
        <v>9497</v>
      </c>
      <c r="M65" s="115">
        <f>VLOOKUP($C$64,Servant!$B$5:$AD$29,24,FALSE)+($F65+($F65*0.5*($D65-1)))*(M$3-1)</f>
        <v>11558</v>
      </c>
      <c r="N65" s="115">
        <f>VLOOKUP($C$64,Servant!$B$5:$AD$29,24,FALSE)+($F65+($F65*0.5*($D65-1)))*(N$3-1)</f>
        <v>13619</v>
      </c>
      <c r="O65" s="115">
        <f>VLOOKUP($C$64,Servant!$B$5:$AD$29,24,FALSE)+($F65+($F65*0.5*($D65-1)))*(O$3-1)</f>
        <v>15680</v>
      </c>
      <c r="P65" s="115">
        <f>VLOOKUP($C$64,Servant!$B$5:$AD$29,24,FALSE)+($F65+($F65*0.5*($D65-1)))*(P$3-1)</f>
        <v>17741</v>
      </c>
      <c r="Q65" s="115">
        <f>VLOOKUP($C$64,Servant!$B$5:$AD$29,24,FALSE)+($F65+($F65*0.5*($D65-1)))*(Q$3-1)</f>
        <v>19802</v>
      </c>
      <c r="R65" s="115">
        <f>VLOOKUP($C$64,Servant!$B$5:$AD$29,24,FALSE)+($F65+($F65*0.5*($D65-1)))*(R$3-1)</f>
        <v>21863</v>
      </c>
      <c r="S65" s="115">
        <f>VLOOKUP($C$64,Servant!$B$5:$AD$29,24,FALSE)+($F65+($F65*0.5*($D65-1)))*(S$3-1)</f>
        <v>23924</v>
      </c>
      <c r="T65" s="115">
        <f>VLOOKUP($C$64,Servant!$B$5:$AD$29,24,FALSE)+($F65+($F65*0.5*($D65-1)))*(T$3-1)</f>
        <v>25985</v>
      </c>
      <c r="U65" s="115">
        <f>VLOOKUP($C$64,Servant!$B$5:$AD$29,24,FALSE)+($F65+($F65*0.5*($D65-1)))*(U$3-1)</f>
        <v>28046</v>
      </c>
      <c r="V65" s="115">
        <f>VLOOKUP($C$64,Servant!$B$5:$AD$29,24,FALSE)+($F65+($F65*0.5*($D65-1)))*(V$3-1)</f>
        <v>30107</v>
      </c>
      <c r="W65" s="115">
        <f>VLOOKUP($C$64,Servant!$B$5:$AD$29,24,FALSE)+($F65+($F65*0.5*($D65-1)))*(W$3-1)</f>
        <v>32168</v>
      </c>
      <c r="X65" s="115">
        <f>VLOOKUP($C$64,Servant!$B$5:$AD$29,24,FALSE)+($F65+($F65*0.5*($D65-1)))*(X$3-1)</f>
        <v>34229</v>
      </c>
      <c r="Y65" s="115">
        <f>VLOOKUP($C$64,Servant!$B$5:$AD$29,24,FALSE)+($F65+($F65*0.5*($D65-1)))*(Y$3-1)</f>
        <v>36290</v>
      </c>
      <c r="Z65" s="115">
        <f>VLOOKUP($C$64,Servant!$B$5:$AD$29,24,FALSE)+($F65+($F65*0.5*($D65-1)))*(Z$3-1)</f>
        <v>38351</v>
      </c>
      <c r="AA65" s="115">
        <f>VLOOKUP($C$64,Servant!$B$5:$AD$29,24,FALSE)+($F65+($F65*0.5*($D65-1)))*(AA$3-1)</f>
        <v>40412</v>
      </c>
      <c r="AB65" s="115">
        <f>VLOOKUP($C$64,Servant!$B$5:$AD$29,24,FALSE)+($F65+($F65*0.5*($D65-1)))*(AB$3-1)</f>
        <v>42473</v>
      </c>
      <c r="AC65" s="115">
        <f>VLOOKUP($C$64,Servant!$B$5:$AD$29,24,FALSE)+($F65+($F65*0.5*($D65-1)))*(AC$3-1)</f>
        <v>44534</v>
      </c>
      <c r="AD65" s="115">
        <f>VLOOKUP($C$64,Servant!$B$5:$AD$29,24,FALSE)+($F65+($F65*0.5*($D65-1)))*(AD$3-1)</f>
        <v>46595</v>
      </c>
      <c r="AE65" s="115">
        <f>VLOOKUP($C$64,Servant!$B$5:$AD$29,24,FALSE)+($F65+($F65*0.5*($D65-1)))*(AE$3-1)</f>
        <v>48656</v>
      </c>
      <c r="AF65" s="115">
        <f>VLOOKUP($C$64,Servant!$B$5:$AD$29,24,FALSE)+($F65+($F65*0.5*($D65-1)))*(AF$3-1)</f>
        <v>50717</v>
      </c>
      <c r="AG65" s="115">
        <f>VLOOKUP($C$64,Servant!$B$5:$AD$29,24,FALSE)+($F65+($F65*0.5*($D65-1)))*(AG$3-1)</f>
        <v>52778</v>
      </c>
      <c r="AH65" s="115">
        <f>VLOOKUP($C$64,Servant!$B$5:$AD$29,24,FALSE)+($F65+($F65*0.5*($D65-1)))*(AH$3-1)</f>
        <v>54839</v>
      </c>
      <c r="AI65" s="115">
        <f>VLOOKUP($C$64,Servant!$B$5:$AD$29,24,FALSE)+($F65+($F65*0.5*($D65-1)))*(AI$3-1)</f>
        <v>56900</v>
      </c>
      <c r="AJ65" s="115">
        <f>VLOOKUP($C$64,Servant!$B$5:$AD$29,24,FALSE)+($F65+($F65*0.5*($D65-1)))*(AJ$3-1)</f>
        <v>58961</v>
      </c>
      <c r="AK65" s="115">
        <f>VLOOKUP($C$64,Servant!$B$5:$AD$29,24,FALSE)+($F65+($F65*0.5*($D65-1)))*(AK$3-1)</f>
        <v>61022</v>
      </c>
    </row>
    <row r="66" spans="2:37" x14ac:dyDescent="0.3">
      <c r="B66" s="309"/>
      <c r="C66" s="303"/>
      <c r="D66" s="129">
        <v>6</v>
      </c>
      <c r="E66" s="124">
        <f>VLOOKUP($C$64,ServantLevelUPdStatus!$B$5:$AD$29,12,FALSE)+(VLOOKUP($C$64,ServantLevelUPdStatus!$B$5:$AD$29,12,FALSE)*0.5*(Simulator_DfsPow!$D66-1))</f>
        <v>2404.5</v>
      </c>
      <c r="F66" s="123">
        <f>F65</f>
        <v>687</v>
      </c>
      <c r="H66" s="115">
        <f>VLOOKUP($C$64,Servant!$B$5:$AD$29,24,FALSE)+($F66+($F66*0.5*($D66-1)))*(H$3-1)</f>
        <v>1253</v>
      </c>
      <c r="I66" s="115">
        <f>VLOOKUP($C$64,Servant!$B$5:$AD$29,24,FALSE)+($F66+($F66*0.5*($D66-1)))*(I$3-1)</f>
        <v>3657.5</v>
      </c>
      <c r="J66" s="115">
        <f>VLOOKUP($C$64,Servant!$B$5:$AD$29,24,FALSE)+($F66+($F66*0.5*($D66-1)))*(J$3-1)</f>
        <v>6062</v>
      </c>
      <c r="K66" s="115">
        <f>VLOOKUP($C$64,Servant!$B$5:$AD$29,24,FALSE)+($F66+($F66*0.5*($D66-1)))*(K$3-1)</f>
        <v>8466.5</v>
      </c>
      <c r="L66" s="115">
        <f>VLOOKUP($C$64,Servant!$B$5:$AD$29,24,FALSE)+($F66+($F66*0.5*($D66-1)))*(L$3-1)</f>
        <v>10871</v>
      </c>
      <c r="M66" s="115">
        <f>VLOOKUP($C$64,Servant!$B$5:$AD$29,24,FALSE)+($F66+($F66*0.5*($D66-1)))*(M$3-1)</f>
        <v>13275.5</v>
      </c>
      <c r="N66" s="115">
        <f>VLOOKUP($C$64,Servant!$B$5:$AD$29,24,FALSE)+($F66+($F66*0.5*($D66-1)))*(N$3-1)</f>
        <v>15680</v>
      </c>
      <c r="O66" s="115">
        <f>VLOOKUP($C$64,Servant!$B$5:$AD$29,24,FALSE)+($F66+($F66*0.5*($D66-1)))*(O$3-1)</f>
        <v>18084.5</v>
      </c>
      <c r="P66" s="115">
        <f>VLOOKUP($C$64,Servant!$B$5:$AD$29,24,FALSE)+($F66+($F66*0.5*($D66-1)))*(P$3-1)</f>
        <v>20489</v>
      </c>
      <c r="Q66" s="115">
        <f>VLOOKUP($C$64,Servant!$B$5:$AD$29,24,FALSE)+($F66+($F66*0.5*($D66-1)))*(Q$3-1)</f>
        <v>22893.5</v>
      </c>
      <c r="R66" s="115">
        <f>VLOOKUP($C$64,Servant!$B$5:$AD$29,24,FALSE)+($F66+($F66*0.5*($D66-1)))*(R$3-1)</f>
        <v>25298</v>
      </c>
      <c r="S66" s="115">
        <f>VLOOKUP($C$64,Servant!$B$5:$AD$29,24,FALSE)+($F66+($F66*0.5*($D66-1)))*(S$3-1)</f>
        <v>27702.5</v>
      </c>
      <c r="T66" s="115">
        <f>VLOOKUP($C$64,Servant!$B$5:$AD$29,24,FALSE)+($F66+($F66*0.5*($D66-1)))*(T$3-1)</f>
        <v>30107</v>
      </c>
      <c r="U66" s="115">
        <f>VLOOKUP($C$64,Servant!$B$5:$AD$29,24,FALSE)+($F66+($F66*0.5*($D66-1)))*(U$3-1)</f>
        <v>32511.5</v>
      </c>
      <c r="V66" s="115">
        <f>VLOOKUP($C$64,Servant!$B$5:$AD$29,24,FALSE)+($F66+($F66*0.5*($D66-1)))*(V$3-1)</f>
        <v>34916</v>
      </c>
      <c r="W66" s="115">
        <f>VLOOKUP($C$64,Servant!$B$5:$AD$29,24,FALSE)+($F66+($F66*0.5*($D66-1)))*(W$3-1)</f>
        <v>37320.5</v>
      </c>
      <c r="X66" s="115">
        <f>VLOOKUP($C$64,Servant!$B$5:$AD$29,24,FALSE)+($F66+($F66*0.5*($D66-1)))*(X$3-1)</f>
        <v>39725</v>
      </c>
      <c r="Y66" s="115">
        <f>VLOOKUP($C$64,Servant!$B$5:$AD$29,24,FALSE)+($F66+($F66*0.5*($D66-1)))*(Y$3-1)</f>
        <v>42129.5</v>
      </c>
      <c r="Z66" s="115">
        <f>VLOOKUP($C$64,Servant!$B$5:$AD$29,24,FALSE)+($F66+($F66*0.5*($D66-1)))*(Z$3-1)</f>
        <v>44534</v>
      </c>
      <c r="AA66" s="115">
        <f>VLOOKUP($C$64,Servant!$B$5:$AD$29,24,FALSE)+($F66+($F66*0.5*($D66-1)))*(AA$3-1)</f>
        <v>46938.5</v>
      </c>
      <c r="AB66" s="115">
        <f>VLOOKUP($C$64,Servant!$B$5:$AD$29,24,FALSE)+($F66+($F66*0.5*($D66-1)))*(AB$3-1)</f>
        <v>49343</v>
      </c>
      <c r="AC66" s="115">
        <f>VLOOKUP($C$64,Servant!$B$5:$AD$29,24,FALSE)+($F66+($F66*0.5*($D66-1)))*(AC$3-1)</f>
        <v>51747.5</v>
      </c>
      <c r="AD66" s="115">
        <f>VLOOKUP($C$64,Servant!$B$5:$AD$29,24,FALSE)+($F66+($F66*0.5*($D66-1)))*(AD$3-1)</f>
        <v>54152</v>
      </c>
      <c r="AE66" s="115">
        <f>VLOOKUP($C$64,Servant!$B$5:$AD$29,24,FALSE)+($F66+($F66*0.5*($D66-1)))*(AE$3-1)</f>
        <v>56556.5</v>
      </c>
      <c r="AF66" s="115">
        <f>VLOOKUP($C$64,Servant!$B$5:$AD$29,24,FALSE)+($F66+($F66*0.5*($D66-1)))*(AF$3-1)</f>
        <v>58961</v>
      </c>
      <c r="AG66" s="115">
        <f>VLOOKUP($C$64,Servant!$B$5:$AD$29,24,FALSE)+($F66+($F66*0.5*($D66-1)))*(AG$3-1)</f>
        <v>61365.5</v>
      </c>
      <c r="AH66" s="115">
        <f>VLOOKUP($C$64,Servant!$B$5:$AD$29,24,FALSE)+($F66+($F66*0.5*($D66-1)))*(AH$3-1)</f>
        <v>63770</v>
      </c>
      <c r="AI66" s="115">
        <f>VLOOKUP($C$64,Servant!$B$5:$AD$29,24,FALSE)+($F66+($F66*0.5*($D66-1)))*(AI$3-1)</f>
        <v>66174.5</v>
      </c>
      <c r="AJ66" s="115">
        <f>VLOOKUP($C$64,Servant!$B$5:$AD$29,24,FALSE)+($F66+($F66*0.5*($D66-1)))*(AJ$3-1)</f>
        <v>68579</v>
      </c>
      <c r="AK66" s="115">
        <f>VLOOKUP($C$64,Servant!$B$5:$AD$29,24,FALSE)+($F66+($F66*0.5*($D66-1)))*(AK$3-1)</f>
        <v>70983.5</v>
      </c>
    </row>
    <row r="67" spans="2:37" x14ac:dyDescent="0.3">
      <c r="B67" s="309"/>
      <c r="C67" s="304" t="s">
        <v>295</v>
      </c>
      <c r="D67" s="144">
        <v>4</v>
      </c>
      <c r="E67" s="145">
        <f>VLOOKUP($C$67,ServantLevelUPdStatus!$B$5:$AD$29,12,FALSE)+(VLOOKUP($C$67,ServantLevelUPdStatus!$B$5:$AD$29,12,FALSE)*0.5*(Simulator_DfsPow!$D67-1))</f>
        <v>1385</v>
      </c>
      <c r="F67" s="145">
        <f>VLOOKUP($C$67,ServantLevelUPdStatus!$B$5:$AD$29,12,FALSE)</f>
        <v>554</v>
      </c>
      <c r="H67" s="146">
        <f>VLOOKUP($C$67,Servant!$B$5:$AD$29,24,FALSE)+($F67+($F67*0.5*($D67-1)))*(H$3-1)</f>
        <v>1010</v>
      </c>
      <c r="I67" s="146">
        <f>VLOOKUP($C$67,Servant!$B$5:$AD$29,24,FALSE)+($F67+($F67*0.5*($D67-1)))*(I$3-1)</f>
        <v>2395</v>
      </c>
      <c r="J67" s="146">
        <f>VLOOKUP($C$67,Servant!$B$5:$AD$29,24,FALSE)+($F67+($F67*0.5*($D67-1)))*(J$3-1)</f>
        <v>3780</v>
      </c>
      <c r="K67" s="146">
        <f>VLOOKUP($C$67,Servant!$B$5:$AD$29,24,FALSE)+($F67+($F67*0.5*($D67-1)))*(K$3-1)</f>
        <v>5165</v>
      </c>
      <c r="L67" s="146">
        <f>VLOOKUP($C$67,Servant!$B$5:$AD$29,24,FALSE)+($F67+($F67*0.5*($D67-1)))*(L$3-1)</f>
        <v>6550</v>
      </c>
      <c r="M67" s="146">
        <f>VLOOKUP($C$67,Servant!$B$5:$AD$29,24,FALSE)+($F67+($F67*0.5*($D67-1)))*(M$3-1)</f>
        <v>7935</v>
      </c>
      <c r="N67" s="146">
        <f>VLOOKUP($C$67,Servant!$B$5:$AD$29,24,FALSE)+($F67+($F67*0.5*($D67-1)))*(N$3-1)</f>
        <v>9320</v>
      </c>
      <c r="O67" s="146">
        <f>VLOOKUP($C$67,Servant!$B$5:$AD$29,24,FALSE)+($F67+($F67*0.5*($D67-1)))*(O$3-1)</f>
        <v>10705</v>
      </c>
      <c r="P67" s="146">
        <f>VLOOKUP($C$67,Servant!$B$5:$AD$29,24,FALSE)+($F67+($F67*0.5*($D67-1)))*(P$3-1)</f>
        <v>12090</v>
      </c>
      <c r="Q67" s="146">
        <f>VLOOKUP($C$67,Servant!$B$5:$AD$29,24,FALSE)+($F67+($F67*0.5*($D67-1)))*(Q$3-1)</f>
        <v>13475</v>
      </c>
      <c r="R67" s="146">
        <f>VLOOKUP($C$67,Servant!$B$5:$AD$29,24,FALSE)+($F67+($F67*0.5*($D67-1)))*(R$3-1)</f>
        <v>14860</v>
      </c>
      <c r="S67" s="146">
        <f>VLOOKUP($C$67,Servant!$B$5:$AD$29,24,FALSE)+($F67+($F67*0.5*($D67-1)))*(S$3-1)</f>
        <v>16245</v>
      </c>
      <c r="T67" s="146">
        <f>VLOOKUP($C$67,Servant!$B$5:$AD$29,24,FALSE)+($F67+($F67*0.5*($D67-1)))*(T$3-1)</f>
        <v>17630</v>
      </c>
      <c r="U67" s="146">
        <f>VLOOKUP($C$67,Servant!$B$5:$AD$29,24,FALSE)+($F67+($F67*0.5*($D67-1)))*(U$3-1)</f>
        <v>19015</v>
      </c>
      <c r="V67" s="146">
        <f>VLOOKUP($C$67,Servant!$B$5:$AD$29,24,FALSE)+($F67+($F67*0.5*($D67-1)))*(V$3-1)</f>
        <v>20400</v>
      </c>
      <c r="W67" s="146">
        <f>VLOOKUP($C$67,Servant!$B$5:$AD$29,24,FALSE)+($F67+($F67*0.5*($D67-1)))*(W$3-1)</f>
        <v>21785</v>
      </c>
      <c r="X67" s="146">
        <f>VLOOKUP($C$67,Servant!$B$5:$AD$29,24,FALSE)+($F67+($F67*0.5*($D67-1)))*(X$3-1)</f>
        <v>23170</v>
      </c>
      <c r="Y67" s="146">
        <f>VLOOKUP($C$67,Servant!$B$5:$AD$29,24,FALSE)+($F67+($F67*0.5*($D67-1)))*(Y$3-1)</f>
        <v>24555</v>
      </c>
      <c r="Z67" s="146">
        <f>VLOOKUP($C$67,Servant!$B$5:$AD$29,24,FALSE)+($F67+($F67*0.5*($D67-1)))*(Z$3-1)</f>
        <v>25940</v>
      </c>
      <c r="AA67" s="146">
        <f>VLOOKUP($C$67,Servant!$B$5:$AD$29,24,FALSE)+($F67+($F67*0.5*($D67-1)))*(AA$3-1)</f>
        <v>27325</v>
      </c>
      <c r="AB67" s="146">
        <f>VLOOKUP($C$67,Servant!$B$5:$AD$29,24,FALSE)+($F67+($F67*0.5*($D67-1)))*(AB$3-1)</f>
        <v>28710</v>
      </c>
      <c r="AC67" s="146">
        <f>VLOOKUP($C$67,Servant!$B$5:$AD$29,24,FALSE)+($F67+($F67*0.5*($D67-1)))*(AC$3-1)</f>
        <v>30095</v>
      </c>
      <c r="AD67" s="146">
        <f>VLOOKUP($C$67,Servant!$B$5:$AD$29,24,FALSE)+($F67+($F67*0.5*($D67-1)))*(AD$3-1)</f>
        <v>31480</v>
      </c>
      <c r="AE67" s="146">
        <f>VLOOKUP($C$67,Servant!$B$5:$AD$29,24,FALSE)+($F67+($F67*0.5*($D67-1)))*(AE$3-1)</f>
        <v>32865</v>
      </c>
      <c r="AF67" s="146">
        <f>VLOOKUP($C$67,Servant!$B$5:$AD$29,24,FALSE)+($F67+($F67*0.5*($D67-1)))*(AF$3-1)</f>
        <v>34250</v>
      </c>
      <c r="AG67" s="146">
        <f>VLOOKUP($C$67,Servant!$B$5:$AD$29,24,FALSE)+($F67+($F67*0.5*($D67-1)))*(AG$3-1)</f>
        <v>35635</v>
      </c>
      <c r="AH67" s="146">
        <f>VLOOKUP($C$67,Servant!$B$5:$AD$29,24,FALSE)+($F67+($F67*0.5*($D67-1)))*(AH$3-1)</f>
        <v>37020</v>
      </c>
      <c r="AI67" s="146">
        <f>VLOOKUP($C$67,Servant!$B$5:$AD$29,24,FALSE)+($F67+($F67*0.5*($D67-1)))*(AI$3-1)</f>
        <v>38405</v>
      </c>
      <c r="AJ67" s="146">
        <f>VLOOKUP($C$67,Servant!$B$5:$AD$29,24,FALSE)+($F67+($F67*0.5*($D67-1)))*(AJ$3-1)</f>
        <v>39790</v>
      </c>
      <c r="AK67" s="146">
        <f>VLOOKUP($C$67,Servant!$B$5:$AD$29,24,FALSE)+($F67+($F67*0.5*($D67-1)))*(AK$3-1)</f>
        <v>41175</v>
      </c>
    </row>
    <row r="68" spans="2:37" x14ac:dyDescent="0.3">
      <c r="B68" s="309"/>
      <c r="C68" s="305"/>
      <c r="D68" s="144">
        <v>5</v>
      </c>
      <c r="E68" s="145">
        <f>VLOOKUP($C$67,ServantLevelUPdStatus!$B$5:$AD$29,12,FALSE)+(VLOOKUP($C$67,ServantLevelUPdStatus!$B$5:$AD$29,12,FALSE)*0.5*(Simulator_DfsPow!$D68-1))</f>
        <v>1662</v>
      </c>
      <c r="F68" s="147">
        <f>F67</f>
        <v>554</v>
      </c>
      <c r="H68" s="146">
        <f>VLOOKUP($C$67,Servant!$B$5:$AD$29,24,FALSE)+($F68+($F68*0.5*($D68-1)))*(H$3-1)</f>
        <v>1010</v>
      </c>
      <c r="I68" s="146">
        <f>VLOOKUP($C$67,Servant!$B$5:$AD$29,24,FALSE)+($F68+($F68*0.5*($D68-1)))*(I$3-1)</f>
        <v>2672</v>
      </c>
      <c r="J68" s="146">
        <f>VLOOKUP($C$67,Servant!$B$5:$AD$29,24,FALSE)+($F68+($F68*0.5*($D68-1)))*(J$3-1)</f>
        <v>4334</v>
      </c>
      <c r="K68" s="146">
        <f>VLOOKUP($C$67,Servant!$B$5:$AD$29,24,FALSE)+($F68+($F68*0.5*($D68-1)))*(K$3-1)</f>
        <v>5996</v>
      </c>
      <c r="L68" s="146">
        <f>VLOOKUP($C$67,Servant!$B$5:$AD$29,24,FALSE)+($F68+($F68*0.5*($D68-1)))*(L$3-1)</f>
        <v>7658</v>
      </c>
      <c r="M68" s="146">
        <f>VLOOKUP($C$67,Servant!$B$5:$AD$29,24,FALSE)+($F68+($F68*0.5*($D68-1)))*(M$3-1)</f>
        <v>9320</v>
      </c>
      <c r="N68" s="146">
        <f>VLOOKUP($C$67,Servant!$B$5:$AD$29,24,FALSE)+($F68+($F68*0.5*($D68-1)))*(N$3-1)</f>
        <v>10982</v>
      </c>
      <c r="O68" s="146">
        <f>VLOOKUP($C$67,Servant!$B$5:$AD$29,24,FALSE)+($F68+($F68*0.5*($D68-1)))*(O$3-1)</f>
        <v>12644</v>
      </c>
      <c r="P68" s="146">
        <f>VLOOKUP($C$67,Servant!$B$5:$AD$29,24,FALSE)+($F68+($F68*0.5*($D68-1)))*(P$3-1)</f>
        <v>14306</v>
      </c>
      <c r="Q68" s="146">
        <f>VLOOKUP($C$67,Servant!$B$5:$AD$29,24,FALSE)+($F68+($F68*0.5*($D68-1)))*(Q$3-1)</f>
        <v>15968</v>
      </c>
      <c r="R68" s="146">
        <f>VLOOKUP($C$67,Servant!$B$5:$AD$29,24,FALSE)+($F68+($F68*0.5*($D68-1)))*(R$3-1)</f>
        <v>17630</v>
      </c>
      <c r="S68" s="146">
        <f>VLOOKUP($C$67,Servant!$B$5:$AD$29,24,FALSE)+($F68+($F68*0.5*($D68-1)))*(S$3-1)</f>
        <v>19292</v>
      </c>
      <c r="T68" s="146">
        <f>VLOOKUP($C$67,Servant!$B$5:$AD$29,24,FALSE)+($F68+($F68*0.5*($D68-1)))*(T$3-1)</f>
        <v>20954</v>
      </c>
      <c r="U68" s="146">
        <f>VLOOKUP($C$67,Servant!$B$5:$AD$29,24,FALSE)+($F68+($F68*0.5*($D68-1)))*(U$3-1)</f>
        <v>22616</v>
      </c>
      <c r="V68" s="146">
        <f>VLOOKUP($C$67,Servant!$B$5:$AD$29,24,FALSE)+($F68+($F68*0.5*($D68-1)))*(V$3-1)</f>
        <v>24278</v>
      </c>
      <c r="W68" s="146">
        <f>VLOOKUP($C$67,Servant!$B$5:$AD$29,24,FALSE)+($F68+($F68*0.5*($D68-1)))*(W$3-1)</f>
        <v>25940</v>
      </c>
      <c r="X68" s="146">
        <f>VLOOKUP($C$67,Servant!$B$5:$AD$29,24,FALSE)+($F68+($F68*0.5*($D68-1)))*(X$3-1)</f>
        <v>27602</v>
      </c>
      <c r="Y68" s="146">
        <f>VLOOKUP($C$67,Servant!$B$5:$AD$29,24,FALSE)+($F68+($F68*0.5*($D68-1)))*(Y$3-1)</f>
        <v>29264</v>
      </c>
      <c r="Z68" s="146">
        <f>VLOOKUP($C$67,Servant!$B$5:$AD$29,24,FALSE)+($F68+($F68*0.5*($D68-1)))*(Z$3-1)</f>
        <v>30926</v>
      </c>
      <c r="AA68" s="146">
        <f>VLOOKUP($C$67,Servant!$B$5:$AD$29,24,FALSE)+($F68+($F68*0.5*($D68-1)))*(AA$3-1)</f>
        <v>32588</v>
      </c>
      <c r="AB68" s="146">
        <f>VLOOKUP($C$67,Servant!$B$5:$AD$29,24,FALSE)+($F68+($F68*0.5*($D68-1)))*(AB$3-1)</f>
        <v>34250</v>
      </c>
      <c r="AC68" s="146">
        <f>VLOOKUP($C$67,Servant!$B$5:$AD$29,24,FALSE)+($F68+($F68*0.5*($D68-1)))*(AC$3-1)</f>
        <v>35912</v>
      </c>
      <c r="AD68" s="146">
        <f>VLOOKUP($C$67,Servant!$B$5:$AD$29,24,FALSE)+($F68+($F68*0.5*($D68-1)))*(AD$3-1)</f>
        <v>37574</v>
      </c>
      <c r="AE68" s="146">
        <f>VLOOKUP($C$67,Servant!$B$5:$AD$29,24,FALSE)+($F68+($F68*0.5*($D68-1)))*(AE$3-1)</f>
        <v>39236</v>
      </c>
      <c r="AF68" s="146">
        <f>VLOOKUP($C$67,Servant!$B$5:$AD$29,24,FALSE)+($F68+($F68*0.5*($D68-1)))*(AF$3-1)</f>
        <v>40898</v>
      </c>
      <c r="AG68" s="146">
        <f>VLOOKUP($C$67,Servant!$B$5:$AD$29,24,FALSE)+($F68+($F68*0.5*($D68-1)))*(AG$3-1)</f>
        <v>42560</v>
      </c>
      <c r="AH68" s="146">
        <f>VLOOKUP($C$67,Servant!$B$5:$AD$29,24,FALSE)+($F68+($F68*0.5*($D68-1)))*(AH$3-1)</f>
        <v>44222</v>
      </c>
      <c r="AI68" s="146">
        <f>VLOOKUP($C$67,Servant!$B$5:$AD$29,24,FALSE)+($F68+($F68*0.5*($D68-1)))*(AI$3-1)</f>
        <v>45884</v>
      </c>
      <c r="AJ68" s="146">
        <f>VLOOKUP($C$67,Servant!$B$5:$AD$29,24,FALSE)+($F68+($F68*0.5*($D68-1)))*(AJ$3-1)</f>
        <v>47546</v>
      </c>
      <c r="AK68" s="146">
        <f>VLOOKUP($C$67,Servant!$B$5:$AD$29,24,FALSE)+($F68+($F68*0.5*($D68-1)))*(AK$3-1)</f>
        <v>49208</v>
      </c>
    </row>
    <row r="69" spans="2:37" x14ac:dyDescent="0.3">
      <c r="B69" s="309"/>
      <c r="C69" s="306"/>
      <c r="D69" s="144">
        <v>6</v>
      </c>
      <c r="E69" s="145">
        <f>VLOOKUP($C$67,ServantLevelUPdStatus!$B$5:$AD$29,12,FALSE)+(VLOOKUP($C$67,ServantLevelUPdStatus!$B$5:$AD$29,12,FALSE)*0.5*(Simulator_DfsPow!$D69-1))</f>
        <v>1939</v>
      </c>
      <c r="F69" s="147">
        <f>F68</f>
        <v>554</v>
      </c>
      <c r="H69" s="146">
        <f>VLOOKUP($C$67,Servant!$B$5:$AD$29,24,FALSE)+($F69+($F69*0.5*($D69-1)))*(H$3-1)</f>
        <v>1010</v>
      </c>
      <c r="I69" s="146">
        <f>VLOOKUP($C$67,Servant!$B$5:$AD$29,24,FALSE)+($F69+($F69*0.5*($D69-1)))*(I$3-1)</f>
        <v>2949</v>
      </c>
      <c r="J69" s="146">
        <f>VLOOKUP($C$67,Servant!$B$5:$AD$29,24,FALSE)+($F69+($F69*0.5*($D69-1)))*(J$3-1)</f>
        <v>4888</v>
      </c>
      <c r="K69" s="146">
        <f>VLOOKUP($C$67,Servant!$B$5:$AD$29,24,FALSE)+($F69+($F69*0.5*($D69-1)))*(K$3-1)</f>
        <v>6827</v>
      </c>
      <c r="L69" s="146">
        <f>VLOOKUP($C$67,Servant!$B$5:$AD$29,24,FALSE)+($F69+($F69*0.5*($D69-1)))*(L$3-1)</f>
        <v>8766</v>
      </c>
      <c r="M69" s="146">
        <f>VLOOKUP($C$67,Servant!$B$5:$AD$29,24,FALSE)+($F69+($F69*0.5*($D69-1)))*(M$3-1)</f>
        <v>10705</v>
      </c>
      <c r="N69" s="146">
        <f>VLOOKUP($C$67,Servant!$B$5:$AD$29,24,FALSE)+($F69+($F69*0.5*($D69-1)))*(N$3-1)</f>
        <v>12644</v>
      </c>
      <c r="O69" s="146">
        <f>VLOOKUP($C$67,Servant!$B$5:$AD$29,24,FALSE)+($F69+($F69*0.5*($D69-1)))*(O$3-1)</f>
        <v>14583</v>
      </c>
      <c r="P69" s="146">
        <f>VLOOKUP($C$67,Servant!$B$5:$AD$29,24,FALSE)+($F69+($F69*0.5*($D69-1)))*(P$3-1)</f>
        <v>16522</v>
      </c>
      <c r="Q69" s="146">
        <f>VLOOKUP($C$67,Servant!$B$5:$AD$29,24,FALSE)+($F69+($F69*0.5*($D69-1)))*(Q$3-1)</f>
        <v>18461</v>
      </c>
      <c r="R69" s="146">
        <f>VLOOKUP($C$67,Servant!$B$5:$AD$29,24,FALSE)+($F69+($F69*0.5*($D69-1)))*(R$3-1)</f>
        <v>20400</v>
      </c>
      <c r="S69" s="146">
        <f>VLOOKUP($C$67,Servant!$B$5:$AD$29,24,FALSE)+($F69+($F69*0.5*($D69-1)))*(S$3-1)</f>
        <v>22339</v>
      </c>
      <c r="T69" s="146">
        <f>VLOOKUP($C$67,Servant!$B$5:$AD$29,24,FALSE)+($F69+($F69*0.5*($D69-1)))*(T$3-1)</f>
        <v>24278</v>
      </c>
      <c r="U69" s="146">
        <f>VLOOKUP($C$67,Servant!$B$5:$AD$29,24,FALSE)+($F69+($F69*0.5*($D69-1)))*(U$3-1)</f>
        <v>26217</v>
      </c>
      <c r="V69" s="146">
        <f>VLOOKUP($C$67,Servant!$B$5:$AD$29,24,FALSE)+($F69+($F69*0.5*($D69-1)))*(V$3-1)</f>
        <v>28156</v>
      </c>
      <c r="W69" s="146">
        <f>VLOOKUP($C$67,Servant!$B$5:$AD$29,24,FALSE)+($F69+($F69*0.5*($D69-1)))*(W$3-1)</f>
        <v>30095</v>
      </c>
      <c r="X69" s="146">
        <f>VLOOKUP($C$67,Servant!$B$5:$AD$29,24,FALSE)+($F69+($F69*0.5*($D69-1)))*(X$3-1)</f>
        <v>32034</v>
      </c>
      <c r="Y69" s="146">
        <f>VLOOKUP($C$67,Servant!$B$5:$AD$29,24,FALSE)+($F69+($F69*0.5*($D69-1)))*(Y$3-1)</f>
        <v>33973</v>
      </c>
      <c r="Z69" s="146">
        <f>VLOOKUP($C$67,Servant!$B$5:$AD$29,24,FALSE)+($F69+($F69*0.5*($D69-1)))*(Z$3-1)</f>
        <v>35912</v>
      </c>
      <c r="AA69" s="146">
        <f>VLOOKUP($C$67,Servant!$B$5:$AD$29,24,FALSE)+($F69+($F69*0.5*($D69-1)))*(AA$3-1)</f>
        <v>37851</v>
      </c>
      <c r="AB69" s="146">
        <f>VLOOKUP($C$67,Servant!$B$5:$AD$29,24,FALSE)+($F69+($F69*0.5*($D69-1)))*(AB$3-1)</f>
        <v>39790</v>
      </c>
      <c r="AC69" s="146">
        <f>VLOOKUP($C$67,Servant!$B$5:$AD$29,24,FALSE)+($F69+($F69*0.5*($D69-1)))*(AC$3-1)</f>
        <v>41729</v>
      </c>
      <c r="AD69" s="146">
        <f>VLOOKUP($C$67,Servant!$B$5:$AD$29,24,FALSE)+($F69+($F69*0.5*($D69-1)))*(AD$3-1)</f>
        <v>43668</v>
      </c>
      <c r="AE69" s="146">
        <f>VLOOKUP($C$67,Servant!$B$5:$AD$29,24,FALSE)+($F69+($F69*0.5*($D69-1)))*(AE$3-1)</f>
        <v>45607</v>
      </c>
      <c r="AF69" s="146">
        <f>VLOOKUP($C$67,Servant!$B$5:$AD$29,24,FALSE)+($F69+($F69*0.5*($D69-1)))*(AF$3-1)</f>
        <v>47546</v>
      </c>
      <c r="AG69" s="146">
        <f>VLOOKUP($C$67,Servant!$B$5:$AD$29,24,FALSE)+($F69+($F69*0.5*($D69-1)))*(AG$3-1)</f>
        <v>49485</v>
      </c>
      <c r="AH69" s="146">
        <f>VLOOKUP($C$67,Servant!$B$5:$AD$29,24,FALSE)+($F69+($F69*0.5*($D69-1)))*(AH$3-1)</f>
        <v>51424</v>
      </c>
      <c r="AI69" s="146">
        <f>VLOOKUP($C$67,Servant!$B$5:$AD$29,24,FALSE)+($F69+($F69*0.5*($D69-1)))*(AI$3-1)</f>
        <v>53363</v>
      </c>
      <c r="AJ69" s="146">
        <f>VLOOKUP($C$67,Servant!$B$5:$AD$29,24,FALSE)+($F69+($F69*0.5*($D69-1)))*(AJ$3-1)</f>
        <v>55302</v>
      </c>
      <c r="AK69" s="146">
        <f>VLOOKUP($C$67,Servant!$B$5:$AD$29,24,FALSE)+($F69+($F69*0.5*($D69-1)))*(AK$3-1)</f>
        <v>57241</v>
      </c>
    </row>
    <row r="70" spans="2:37" x14ac:dyDescent="0.3">
      <c r="B70" s="309"/>
      <c r="C70" s="301" t="s">
        <v>296</v>
      </c>
      <c r="D70" s="129">
        <v>4</v>
      </c>
      <c r="E70" s="124">
        <f>VLOOKUP($C$70,ServantLevelUPdStatus!$B$5:$AD$29,12,FALSE)+(VLOOKUP($C$70,ServantLevelUPdStatus!$B$5:$AD$29,12,FALSE)*0.5*(Simulator_DfsPow!$D70-1))</f>
        <v>1632.5</v>
      </c>
      <c r="F70" s="124">
        <f>VLOOKUP($C$70,ServantLevelUPdStatus!$B$5:$AD$29,12,FALSE)</f>
        <v>653</v>
      </c>
      <c r="H70" s="115">
        <f>VLOOKUP($C$70,Servant!$B$5:$AD$29,24,FALSE)+($F70+($F70*0.5*($D70-1)))*(H$3-1)</f>
        <v>1189</v>
      </c>
      <c r="I70" s="115">
        <f>VLOOKUP($C$70,Servant!$B$5:$AD$29,24,FALSE)+($F70+($F70*0.5*($D70-1)))*(I$3-1)</f>
        <v>2821.5</v>
      </c>
      <c r="J70" s="115">
        <f>VLOOKUP($C$70,Servant!$B$5:$AD$29,24,FALSE)+($F70+($F70*0.5*($D70-1)))*(J$3-1)</f>
        <v>4454</v>
      </c>
      <c r="K70" s="115">
        <f>VLOOKUP($C$70,Servant!$B$5:$AD$29,24,FALSE)+($F70+($F70*0.5*($D70-1)))*(K$3-1)</f>
        <v>6086.5</v>
      </c>
      <c r="L70" s="115">
        <f>VLOOKUP($C$70,Servant!$B$5:$AD$29,24,FALSE)+($F70+($F70*0.5*($D70-1)))*(L$3-1)</f>
        <v>7719</v>
      </c>
      <c r="M70" s="115">
        <f>VLOOKUP($C$70,Servant!$B$5:$AD$29,24,FALSE)+($F70+($F70*0.5*($D70-1)))*(M$3-1)</f>
        <v>9351.5</v>
      </c>
      <c r="N70" s="115">
        <f>VLOOKUP($C$70,Servant!$B$5:$AD$29,24,FALSE)+($F70+($F70*0.5*($D70-1)))*(N$3-1)</f>
        <v>10984</v>
      </c>
      <c r="O70" s="115">
        <f>VLOOKUP($C$70,Servant!$B$5:$AD$29,24,FALSE)+($F70+($F70*0.5*($D70-1)))*(O$3-1)</f>
        <v>12616.5</v>
      </c>
      <c r="P70" s="115">
        <f>VLOOKUP($C$70,Servant!$B$5:$AD$29,24,FALSE)+($F70+($F70*0.5*($D70-1)))*(P$3-1)</f>
        <v>14249</v>
      </c>
      <c r="Q70" s="115">
        <f>VLOOKUP($C$70,Servant!$B$5:$AD$29,24,FALSE)+($F70+($F70*0.5*($D70-1)))*(Q$3-1)</f>
        <v>15881.5</v>
      </c>
      <c r="R70" s="115">
        <f>VLOOKUP($C$70,Servant!$B$5:$AD$29,24,FALSE)+($F70+($F70*0.5*($D70-1)))*(R$3-1)</f>
        <v>17514</v>
      </c>
      <c r="S70" s="115">
        <f>VLOOKUP($C$70,Servant!$B$5:$AD$29,24,FALSE)+($F70+($F70*0.5*($D70-1)))*(S$3-1)</f>
        <v>19146.5</v>
      </c>
      <c r="T70" s="115">
        <f>VLOOKUP($C$70,Servant!$B$5:$AD$29,24,FALSE)+($F70+($F70*0.5*($D70-1)))*(T$3-1)</f>
        <v>20779</v>
      </c>
      <c r="U70" s="115">
        <f>VLOOKUP($C$70,Servant!$B$5:$AD$29,24,FALSE)+($F70+($F70*0.5*($D70-1)))*(U$3-1)</f>
        <v>22411.5</v>
      </c>
      <c r="V70" s="115">
        <f>VLOOKUP($C$70,Servant!$B$5:$AD$29,24,FALSE)+($F70+($F70*0.5*($D70-1)))*(V$3-1)</f>
        <v>24044</v>
      </c>
      <c r="W70" s="115">
        <f>VLOOKUP($C$70,Servant!$B$5:$AD$29,24,FALSE)+($F70+($F70*0.5*($D70-1)))*(W$3-1)</f>
        <v>25676.5</v>
      </c>
      <c r="X70" s="115">
        <f>VLOOKUP($C$70,Servant!$B$5:$AD$29,24,FALSE)+($F70+($F70*0.5*($D70-1)))*(X$3-1)</f>
        <v>27309</v>
      </c>
      <c r="Y70" s="115">
        <f>VLOOKUP($C$70,Servant!$B$5:$AD$29,24,FALSE)+($F70+($F70*0.5*($D70-1)))*(Y$3-1)</f>
        <v>28941.5</v>
      </c>
      <c r="Z70" s="115">
        <f>VLOOKUP($C$70,Servant!$B$5:$AD$29,24,FALSE)+($F70+($F70*0.5*($D70-1)))*(Z$3-1)</f>
        <v>30574</v>
      </c>
      <c r="AA70" s="115">
        <f>VLOOKUP($C$70,Servant!$B$5:$AD$29,24,FALSE)+($F70+($F70*0.5*($D70-1)))*(AA$3-1)</f>
        <v>32206.5</v>
      </c>
      <c r="AB70" s="115">
        <f>VLOOKUP($C$70,Servant!$B$5:$AD$29,24,FALSE)+($F70+($F70*0.5*($D70-1)))*(AB$3-1)</f>
        <v>33839</v>
      </c>
      <c r="AC70" s="115">
        <f>VLOOKUP($C$70,Servant!$B$5:$AD$29,24,FALSE)+($F70+($F70*0.5*($D70-1)))*(AC$3-1)</f>
        <v>35471.5</v>
      </c>
      <c r="AD70" s="115">
        <f>VLOOKUP($C$70,Servant!$B$5:$AD$29,24,FALSE)+($F70+($F70*0.5*($D70-1)))*(AD$3-1)</f>
        <v>37104</v>
      </c>
      <c r="AE70" s="115">
        <f>VLOOKUP($C$70,Servant!$B$5:$AD$29,24,FALSE)+($F70+($F70*0.5*($D70-1)))*(AE$3-1)</f>
        <v>38736.5</v>
      </c>
      <c r="AF70" s="115">
        <f>VLOOKUP($C$70,Servant!$B$5:$AD$29,24,FALSE)+($F70+($F70*0.5*($D70-1)))*(AF$3-1)</f>
        <v>40369</v>
      </c>
      <c r="AG70" s="115">
        <f>VLOOKUP($C$70,Servant!$B$5:$AD$29,24,FALSE)+($F70+($F70*0.5*($D70-1)))*(AG$3-1)</f>
        <v>42001.5</v>
      </c>
      <c r="AH70" s="115">
        <f>VLOOKUP($C$70,Servant!$B$5:$AD$29,24,FALSE)+($F70+($F70*0.5*($D70-1)))*(AH$3-1)</f>
        <v>43634</v>
      </c>
      <c r="AI70" s="115">
        <f>VLOOKUP($C$70,Servant!$B$5:$AD$29,24,FALSE)+($F70+($F70*0.5*($D70-1)))*(AI$3-1)</f>
        <v>45266.5</v>
      </c>
      <c r="AJ70" s="115">
        <f>VLOOKUP($C$70,Servant!$B$5:$AD$29,24,FALSE)+($F70+($F70*0.5*($D70-1)))*(AJ$3-1)</f>
        <v>46899</v>
      </c>
      <c r="AK70" s="115">
        <f>VLOOKUP($C$70,Servant!$B$5:$AD$29,24,FALSE)+($F70+($F70*0.5*($D70-1)))*(AK$3-1)</f>
        <v>48531.5</v>
      </c>
    </row>
    <row r="71" spans="2:37" x14ac:dyDescent="0.3">
      <c r="B71" s="309"/>
      <c r="C71" s="302"/>
      <c r="D71" s="129">
        <v>5</v>
      </c>
      <c r="E71" s="124">
        <f>VLOOKUP($C$70,ServantLevelUPdStatus!$B$5:$AD$29,12,FALSE)+(VLOOKUP($C$70,ServantLevelUPdStatus!$B$5:$AD$29,12,FALSE)*0.5*(Simulator_DfsPow!$D71-1))</f>
        <v>1959</v>
      </c>
      <c r="F71" s="123">
        <f>F70</f>
        <v>653</v>
      </c>
      <c r="H71" s="115">
        <f>VLOOKUP($C$70,Servant!$B$5:$AD$29,24,FALSE)+($F71+($F71*0.5*($D71-1)))*(H$3-1)</f>
        <v>1189</v>
      </c>
      <c r="I71" s="115">
        <f>VLOOKUP($C$70,Servant!$B$5:$AD$29,24,FALSE)+($F71+($F71*0.5*($D71-1)))*(I$3-1)</f>
        <v>3148</v>
      </c>
      <c r="J71" s="115">
        <f>VLOOKUP($C$70,Servant!$B$5:$AD$29,24,FALSE)+($F71+($F71*0.5*($D71-1)))*(J$3-1)</f>
        <v>5107</v>
      </c>
      <c r="K71" s="115">
        <f>VLOOKUP($C$70,Servant!$B$5:$AD$29,24,FALSE)+($F71+($F71*0.5*($D71-1)))*(K$3-1)</f>
        <v>7066</v>
      </c>
      <c r="L71" s="115">
        <f>VLOOKUP($C$70,Servant!$B$5:$AD$29,24,FALSE)+($F71+($F71*0.5*($D71-1)))*(L$3-1)</f>
        <v>9025</v>
      </c>
      <c r="M71" s="115">
        <f>VLOOKUP($C$70,Servant!$B$5:$AD$29,24,FALSE)+($F71+($F71*0.5*($D71-1)))*(M$3-1)</f>
        <v>10984</v>
      </c>
      <c r="N71" s="115">
        <f>VLOOKUP($C$70,Servant!$B$5:$AD$29,24,FALSE)+($F71+($F71*0.5*($D71-1)))*(N$3-1)</f>
        <v>12943</v>
      </c>
      <c r="O71" s="115">
        <f>VLOOKUP($C$70,Servant!$B$5:$AD$29,24,FALSE)+($F71+($F71*0.5*($D71-1)))*(O$3-1)</f>
        <v>14902</v>
      </c>
      <c r="P71" s="115">
        <f>VLOOKUP($C$70,Servant!$B$5:$AD$29,24,FALSE)+($F71+($F71*0.5*($D71-1)))*(P$3-1)</f>
        <v>16861</v>
      </c>
      <c r="Q71" s="115">
        <f>VLOOKUP($C$70,Servant!$B$5:$AD$29,24,FALSE)+($F71+($F71*0.5*($D71-1)))*(Q$3-1)</f>
        <v>18820</v>
      </c>
      <c r="R71" s="115">
        <f>VLOOKUP($C$70,Servant!$B$5:$AD$29,24,FALSE)+($F71+($F71*0.5*($D71-1)))*(R$3-1)</f>
        <v>20779</v>
      </c>
      <c r="S71" s="115">
        <f>VLOOKUP($C$70,Servant!$B$5:$AD$29,24,FALSE)+($F71+($F71*0.5*($D71-1)))*(S$3-1)</f>
        <v>22738</v>
      </c>
      <c r="T71" s="115">
        <f>VLOOKUP($C$70,Servant!$B$5:$AD$29,24,FALSE)+($F71+($F71*0.5*($D71-1)))*(T$3-1)</f>
        <v>24697</v>
      </c>
      <c r="U71" s="115">
        <f>VLOOKUP($C$70,Servant!$B$5:$AD$29,24,FALSE)+($F71+($F71*0.5*($D71-1)))*(U$3-1)</f>
        <v>26656</v>
      </c>
      <c r="V71" s="115">
        <f>VLOOKUP($C$70,Servant!$B$5:$AD$29,24,FALSE)+($F71+($F71*0.5*($D71-1)))*(V$3-1)</f>
        <v>28615</v>
      </c>
      <c r="W71" s="115">
        <f>VLOOKUP($C$70,Servant!$B$5:$AD$29,24,FALSE)+($F71+($F71*0.5*($D71-1)))*(W$3-1)</f>
        <v>30574</v>
      </c>
      <c r="X71" s="115">
        <f>VLOOKUP($C$70,Servant!$B$5:$AD$29,24,FALSE)+($F71+($F71*0.5*($D71-1)))*(X$3-1)</f>
        <v>32533</v>
      </c>
      <c r="Y71" s="115">
        <f>VLOOKUP($C$70,Servant!$B$5:$AD$29,24,FALSE)+($F71+($F71*0.5*($D71-1)))*(Y$3-1)</f>
        <v>34492</v>
      </c>
      <c r="Z71" s="115">
        <f>VLOOKUP($C$70,Servant!$B$5:$AD$29,24,FALSE)+($F71+($F71*0.5*($D71-1)))*(Z$3-1)</f>
        <v>36451</v>
      </c>
      <c r="AA71" s="115">
        <f>VLOOKUP($C$70,Servant!$B$5:$AD$29,24,FALSE)+($F71+($F71*0.5*($D71-1)))*(AA$3-1)</f>
        <v>38410</v>
      </c>
      <c r="AB71" s="115">
        <f>VLOOKUP($C$70,Servant!$B$5:$AD$29,24,FALSE)+($F71+($F71*0.5*($D71-1)))*(AB$3-1)</f>
        <v>40369</v>
      </c>
      <c r="AC71" s="115">
        <f>VLOOKUP($C$70,Servant!$B$5:$AD$29,24,FALSE)+($F71+($F71*0.5*($D71-1)))*(AC$3-1)</f>
        <v>42328</v>
      </c>
      <c r="AD71" s="115">
        <f>VLOOKUP($C$70,Servant!$B$5:$AD$29,24,FALSE)+($F71+($F71*0.5*($D71-1)))*(AD$3-1)</f>
        <v>44287</v>
      </c>
      <c r="AE71" s="115">
        <f>VLOOKUP($C$70,Servant!$B$5:$AD$29,24,FALSE)+($F71+($F71*0.5*($D71-1)))*(AE$3-1)</f>
        <v>46246</v>
      </c>
      <c r="AF71" s="115">
        <f>VLOOKUP($C$70,Servant!$B$5:$AD$29,24,FALSE)+($F71+($F71*0.5*($D71-1)))*(AF$3-1)</f>
        <v>48205</v>
      </c>
      <c r="AG71" s="115">
        <f>VLOOKUP($C$70,Servant!$B$5:$AD$29,24,FALSE)+($F71+($F71*0.5*($D71-1)))*(AG$3-1)</f>
        <v>50164</v>
      </c>
      <c r="AH71" s="115">
        <f>VLOOKUP($C$70,Servant!$B$5:$AD$29,24,FALSE)+($F71+($F71*0.5*($D71-1)))*(AH$3-1)</f>
        <v>52123</v>
      </c>
      <c r="AI71" s="115">
        <f>VLOOKUP($C$70,Servant!$B$5:$AD$29,24,FALSE)+($F71+($F71*0.5*($D71-1)))*(AI$3-1)</f>
        <v>54082</v>
      </c>
      <c r="AJ71" s="115">
        <f>VLOOKUP($C$70,Servant!$B$5:$AD$29,24,FALSE)+($F71+($F71*0.5*($D71-1)))*(AJ$3-1)</f>
        <v>56041</v>
      </c>
      <c r="AK71" s="115">
        <f>VLOOKUP($C$70,Servant!$B$5:$AD$29,24,FALSE)+($F71+($F71*0.5*($D71-1)))*(AK$3-1)</f>
        <v>58000</v>
      </c>
    </row>
    <row r="72" spans="2:37" x14ac:dyDescent="0.3">
      <c r="B72" s="309"/>
      <c r="C72" s="303"/>
      <c r="D72" s="129">
        <v>6</v>
      </c>
      <c r="E72" s="124">
        <f>VLOOKUP($C$70,ServantLevelUPdStatus!$B$5:$AD$29,12,FALSE)+(VLOOKUP($C$70,ServantLevelUPdStatus!$B$5:$AD$29,12,FALSE)*0.5*(Simulator_DfsPow!$D72-1))</f>
        <v>2285.5</v>
      </c>
      <c r="F72" s="123">
        <f>F71</f>
        <v>653</v>
      </c>
      <c r="H72" s="115">
        <f>VLOOKUP($C$70,Servant!$B$5:$AD$29,24,FALSE)+($F72+($F72*0.5*($D72-1)))*(H$3-1)</f>
        <v>1189</v>
      </c>
      <c r="I72" s="115">
        <f>VLOOKUP($C$70,Servant!$B$5:$AD$29,24,FALSE)+($F72+($F72*0.5*($D72-1)))*(I$3-1)</f>
        <v>3474.5</v>
      </c>
      <c r="J72" s="115">
        <f>VLOOKUP($C$70,Servant!$B$5:$AD$29,24,FALSE)+($F72+($F72*0.5*($D72-1)))*(J$3-1)</f>
        <v>5760</v>
      </c>
      <c r="K72" s="115">
        <f>VLOOKUP($C$70,Servant!$B$5:$AD$29,24,FALSE)+($F72+($F72*0.5*($D72-1)))*(K$3-1)</f>
        <v>8045.5</v>
      </c>
      <c r="L72" s="115">
        <f>VLOOKUP($C$70,Servant!$B$5:$AD$29,24,FALSE)+($F72+($F72*0.5*($D72-1)))*(L$3-1)</f>
        <v>10331</v>
      </c>
      <c r="M72" s="115">
        <f>VLOOKUP($C$70,Servant!$B$5:$AD$29,24,FALSE)+($F72+($F72*0.5*($D72-1)))*(M$3-1)</f>
        <v>12616.5</v>
      </c>
      <c r="N72" s="115">
        <f>VLOOKUP($C$70,Servant!$B$5:$AD$29,24,FALSE)+($F72+($F72*0.5*($D72-1)))*(N$3-1)</f>
        <v>14902</v>
      </c>
      <c r="O72" s="115">
        <f>VLOOKUP($C$70,Servant!$B$5:$AD$29,24,FALSE)+($F72+($F72*0.5*($D72-1)))*(O$3-1)</f>
        <v>17187.5</v>
      </c>
      <c r="P72" s="115">
        <f>VLOOKUP($C$70,Servant!$B$5:$AD$29,24,FALSE)+($F72+($F72*0.5*($D72-1)))*(P$3-1)</f>
        <v>19473</v>
      </c>
      <c r="Q72" s="115">
        <f>VLOOKUP($C$70,Servant!$B$5:$AD$29,24,FALSE)+($F72+($F72*0.5*($D72-1)))*(Q$3-1)</f>
        <v>21758.5</v>
      </c>
      <c r="R72" s="115">
        <f>VLOOKUP($C$70,Servant!$B$5:$AD$29,24,FALSE)+($F72+($F72*0.5*($D72-1)))*(R$3-1)</f>
        <v>24044</v>
      </c>
      <c r="S72" s="115">
        <f>VLOOKUP($C$70,Servant!$B$5:$AD$29,24,FALSE)+($F72+($F72*0.5*($D72-1)))*(S$3-1)</f>
        <v>26329.5</v>
      </c>
      <c r="T72" s="115">
        <f>VLOOKUP($C$70,Servant!$B$5:$AD$29,24,FALSE)+($F72+($F72*0.5*($D72-1)))*(T$3-1)</f>
        <v>28615</v>
      </c>
      <c r="U72" s="115">
        <f>VLOOKUP($C$70,Servant!$B$5:$AD$29,24,FALSE)+($F72+($F72*0.5*($D72-1)))*(U$3-1)</f>
        <v>30900.5</v>
      </c>
      <c r="V72" s="115">
        <f>VLOOKUP($C$70,Servant!$B$5:$AD$29,24,FALSE)+($F72+($F72*0.5*($D72-1)))*(V$3-1)</f>
        <v>33186</v>
      </c>
      <c r="W72" s="115">
        <f>VLOOKUP($C$70,Servant!$B$5:$AD$29,24,FALSE)+($F72+($F72*0.5*($D72-1)))*(W$3-1)</f>
        <v>35471.5</v>
      </c>
      <c r="X72" s="115">
        <f>VLOOKUP($C$70,Servant!$B$5:$AD$29,24,FALSE)+($F72+($F72*0.5*($D72-1)))*(X$3-1)</f>
        <v>37757</v>
      </c>
      <c r="Y72" s="115">
        <f>VLOOKUP($C$70,Servant!$B$5:$AD$29,24,FALSE)+($F72+($F72*0.5*($D72-1)))*(Y$3-1)</f>
        <v>40042.5</v>
      </c>
      <c r="Z72" s="115">
        <f>VLOOKUP($C$70,Servant!$B$5:$AD$29,24,FALSE)+($F72+($F72*0.5*($D72-1)))*(Z$3-1)</f>
        <v>42328</v>
      </c>
      <c r="AA72" s="115">
        <f>VLOOKUP($C$70,Servant!$B$5:$AD$29,24,FALSE)+($F72+($F72*0.5*($D72-1)))*(AA$3-1)</f>
        <v>44613.5</v>
      </c>
      <c r="AB72" s="115">
        <f>VLOOKUP($C$70,Servant!$B$5:$AD$29,24,FALSE)+($F72+($F72*0.5*($D72-1)))*(AB$3-1)</f>
        <v>46899</v>
      </c>
      <c r="AC72" s="115">
        <f>VLOOKUP($C$70,Servant!$B$5:$AD$29,24,FALSE)+($F72+($F72*0.5*($D72-1)))*(AC$3-1)</f>
        <v>49184.5</v>
      </c>
      <c r="AD72" s="115">
        <f>VLOOKUP($C$70,Servant!$B$5:$AD$29,24,FALSE)+($F72+($F72*0.5*($D72-1)))*(AD$3-1)</f>
        <v>51470</v>
      </c>
      <c r="AE72" s="115">
        <f>VLOOKUP($C$70,Servant!$B$5:$AD$29,24,FALSE)+($F72+($F72*0.5*($D72-1)))*(AE$3-1)</f>
        <v>53755.5</v>
      </c>
      <c r="AF72" s="115">
        <f>VLOOKUP($C$70,Servant!$B$5:$AD$29,24,FALSE)+($F72+($F72*0.5*($D72-1)))*(AF$3-1)</f>
        <v>56041</v>
      </c>
      <c r="AG72" s="115">
        <f>VLOOKUP($C$70,Servant!$B$5:$AD$29,24,FALSE)+($F72+($F72*0.5*($D72-1)))*(AG$3-1)</f>
        <v>58326.5</v>
      </c>
      <c r="AH72" s="115">
        <f>VLOOKUP($C$70,Servant!$B$5:$AD$29,24,FALSE)+($F72+($F72*0.5*($D72-1)))*(AH$3-1)</f>
        <v>60612</v>
      </c>
      <c r="AI72" s="115">
        <f>VLOOKUP($C$70,Servant!$B$5:$AD$29,24,FALSE)+($F72+($F72*0.5*($D72-1)))*(AI$3-1)</f>
        <v>62897.5</v>
      </c>
      <c r="AJ72" s="115">
        <f>VLOOKUP($C$70,Servant!$B$5:$AD$29,24,FALSE)+($F72+($F72*0.5*($D72-1)))*(AJ$3-1)</f>
        <v>65183</v>
      </c>
      <c r="AK72" s="115">
        <f>VLOOKUP($C$70,Servant!$B$5:$AD$29,24,FALSE)+($F72+($F72*0.5*($D72-1)))*(AK$3-1)</f>
        <v>67468.5</v>
      </c>
    </row>
    <row r="73" spans="2:37" x14ac:dyDescent="0.3">
      <c r="B73" s="309"/>
      <c r="C73" s="304" t="s">
        <v>297</v>
      </c>
      <c r="D73" s="144">
        <v>4</v>
      </c>
      <c r="E73" s="145">
        <f>VLOOKUP($C$73,ServantLevelUPdStatus!$B$5:$AD$29,12,FALSE)+(VLOOKUP($C$73,ServantLevelUPdStatus!$B$5:$AD$29,12,FALSE)*0.5*(Simulator_DfsPow!$D73-1))</f>
        <v>1227.5</v>
      </c>
      <c r="F73" s="145">
        <f>VLOOKUP($C$73,ServantLevelUPdStatus!$B$5:$AD$29,12,FALSE)</f>
        <v>491</v>
      </c>
      <c r="H73" s="146">
        <f>VLOOKUP($C$73,Servant!$B$5:$AD$29,24,FALSE)+($F73+($F73*0.5*($D73-1)))*(H$3-1)</f>
        <v>895</v>
      </c>
      <c r="I73" s="146">
        <f>VLOOKUP($C$73,Servant!$B$5:$AD$29,24,FALSE)+($F73+($F73*0.5*($D73-1)))*(I$3-1)</f>
        <v>2122.5</v>
      </c>
      <c r="J73" s="146">
        <f>VLOOKUP($C$73,Servant!$B$5:$AD$29,24,FALSE)+($F73+($F73*0.5*($D73-1)))*(J$3-1)</f>
        <v>3350</v>
      </c>
      <c r="K73" s="146">
        <f>VLOOKUP($C$73,Servant!$B$5:$AD$29,24,FALSE)+($F73+($F73*0.5*($D73-1)))*(K$3-1)</f>
        <v>4577.5</v>
      </c>
      <c r="L73" s="146">
        <f>VLOOKUP($C$73,Servant!$B$5:$AD$29,24,FALSE)+($F73+($F73*0.5*($D73-1)))*(L$3-1)</f>
        <v>5805</v>
      </c>
      <c r="M73" s="146">
        <f>VLOOKUP($C$73,Servant!$B$5:$AD$29,24,FALSE)+($F73+($F73*0.5*($D73-1)))*(M$3-1)</f>
        <v>7032.5</v>
      </c>
      <c r="N73" s="146">
        <f>VLOOKUP($C$73,Servant!$B$5:$AD$29,24,FALSE)+($F73+($F73*0.5*($D73-1)))*(N$3-1)</f>
        <v>8260</v>
      </c>
      <c r="O73" s="146">
        <f>VLOOKUP($C$73,Servant!$B$5:$AD$29,24,FALSE)+($F73+($F73*0.5*($D73-1)))*(O$3-1)</f>
        <v>9487.5</v>
      </c>
      <c r="P73" s="146">
        <f>VLOOKUP($C$73,Servant!$B$5:$AD$29,24,FALSE)+($F73+($F73*0.5*($D73-1)))*(P$3-1)</f>
        <v>10715</v>
      </c>
      <c r="Q73" s="146">
        <f>VLOOKUP($C$73,Servant!$B$5:$AD$29,24,FALSE)+($F73+($F73*0.5*($D73-1)))*(Q$3-1)</f>
        <v>11942.5</v>
      </c>
      <c r="R73" s="146">
        <f>VLOOKUP($C$73,Servant!$B$5:$AD$29,24,FALSE)+($F73+($F73*0.5*($D73-1)))*(R$3-1)</f>
        <v>13170</v>
      </c>
      <c r="S73" s="146">
        <f>VLOOKUP($C$73,Servant!$B$5:$AD$29,24,FALSE)+($F73+($F73*0.5*($D73-1)))*(S$3-1)</f>
        <v>14397.5</v>
      </c>
      <c r="T73" s="146">
        <f>VLOOKUP($C$73,Servant!$B$5:$AD$29,24,FALSE)+($F73+($F73*0.5*($D73-1)))*(T$3-1)</f>
        <v>15625</v>
      </c>
      <c r="U73" s="146">
        <f>VLOOKUP($C$73,Servant!$B$5:$AD$29,24,FALSE)+($F73+($F73*0.5*($D73-1)))*(U$3-1)</f>
        <v>16852.5</v>
      </c>
      <c r="V73" s="146">
        <f>VLOOKUP($C$73,Servant!$B$5:$AD$29,24,FALSE)+($F73+($F73*0.5*($D73-1)))*(V$3-1)</f>
        <v>18080</v>
      </c>
      <c r="W73" s="146">
        <f>VLOOKUP($C$73,Servant!$B$5:$AD$29,24,FALSE)+($F73+($F73*0.5*($D73-1)))*(W$3-1)</f>
        <v>19307.5</v>
      </c>
      <c r="X73" s="146">
        <f>VLOOKUP($C$73,Servant!$B$5:$AD$29,24,FALSE)+($F73+($F73*0.5*($D73-1)))*(X$3-1)</f>
        <v>20535</v>
      </c>
      <c r="Y73" s="146">
        <f>VLOOKUP($C$73,Servant!$B$5:$AD$29,24,FALSE)+($F73+($F73*0.5*($D73-1)))*(Y$3-1)</f>
        <v>21762.5</v>
      </c>
      <c r="Z73" s="146">
        <f>VLOOKUP($C$73,Servant!$B$5:$AD$29,24,FALSE)+($F73+($F73*0.5*($D73-1)))*(Z$3-1)</f>
        <v>22990</v>
      </c>
      <c r="AA73" s="146">
        <f>VLOOKUP($C$73,Servant!$B$5:$AD$29,24,FALSE)+($F73+($F73*0.5*($D73-1)))*(AA$3-1)</f>
        <v>24217.5</v>
      </c>
      <c r="AB73" s="146">
        <f>VLOOKUP($C$73,Servant!$B$5:$AD$29,24,FALSE)+($F73+($F73*0.5*($D73-1)))*(AB$3-1)</f>
        <v>25445</v>
      </c>
      <c r="AC73" s="146">
        <f>VLOOKUP($C$73,Servant!$B$5:$AD$29,24,FALSE)+($F73+($F73*0.5*($D73-1)))*(AC$3-1)</f>
        <v>26672.5</v>
      </c>
      <c r="AD73" s="146">
        <f>VLOOKUP($C$73,Servant!$B$5:$AD$29,24,FALSE)+($F73+($F73*0.5*($D73-1)))*(AD$3-1)</f>
        <v>27900</v>
      </c>
      <c r="AE73" s="146">
        <f>VLOOKUP($C$73,Servant!$B$5:$AD$29,24,FALSE)+($F73+($F73*0.5*($D73-1)))*(AE$3-1)</f>
        <v>29127.5</v>
      </c>
      <c r="AF73" s="146">
        <f>VLOOKUP($C$73,Servant!$B$5:$AD$29,24,FALSE)+($F73+($F73*0.5*($D73-1)))*(AF$3-1)</f>
        <v>30355</v>
      </c>
      <c r="AG73" s="146">
        <f>VLOOKUP($C$73,Servant!$B$5:$AD$29,24,FALSE)+($F73+($F73*0.5*($D73-1)))*(AG$3-1)</f>
        <v>31582.5</v>
      </c>
      <c r="AH73" s="146">
        <f>VLOOKUP($C$73,Servant!$B$5:$AD$29,24,FALSE)+($F73+($F73*0.5*($D73-1)))*(AH$3-1)</f>
        <v>32810</v>
      </c>
      <c r="AI73" s="146">
        <f>VLOOKUP($C$73,Servant!$B$5:$AD$29,24,FALSE)+($F73+($F73*0.5*($D73-1)))*(AI$3-1)</f>
        <v>34037.5</v>
      </c>
      <c r="AJ73" s="146">
        <f>VLOOKUP($C$73,Servant!$B$5:$AD$29,24,FALSE)+($F73+($F73*0.5*($D73-1)))*(AJ$3-1)</f>
        <v>35265</v>
      </c>
      <c r="AK73" s="146">
        <f>VLOOKUP($C$73,Servant!$B$5:$AD$29,24,FALSE)+($F73+($F73*0.5*($D73-1)))*(AK$3-1)</f>
        <v>36492.5</v>
      </c>
    </row>
    <row r="74" spans="2:37" x14ac:dyDescent="0.3">
      <c r="B74" s="309"/>
      <c r="C74" s="305"/>
      <c r="D74" s="144">
        <v>5</v>
      </c>
      <c r="E74" s="145">
        <f>VLOOKUP($C$73,ServantLevelUPdStatus!$B$5:$AD$29,12,FALSE)+(VLOOKUP($C$73,ServantLevelUPdStatus!$B$5:$AD$29,12,FALSE)*0.5*(Simulator_DfsPow!$D74-1))</f>
        <v>1473</v>
      </c>
      <c r="F74" s="147">
        <f>F73</f>
        <v>491</v>
      </c>
      <c r="H74" s="146">
        <f>VLOOKUP($C$73,Servant!$B$5:$AD$29,24,FALSE)+($F74+($F74*0.5*($D74-1)))*(H$3-1)</f>
        <v>895</v>
      </c>
      <c r="I74" s="146">
        <f>VLOOKUP($C$73,Servant!$B$5:$AD$29,24,FALSE)+($F74+($F74*0.5*($D74-1)))*(I$3-1)</f>
        <v>2368</v>
      </c>
      <c r="J74" s="146">
        <f>VLOOKUP($C$73,Servant!$B$5:$AD$29,24,FALSE)+($F74+($F74*0.5*($D74-1)))*(J$3-1)</f>
        <v>3841</v>
      </c>
      <c r="K74" s="146">
        <f>VLOOKUP($C$73,Servant!$B$5:$AD$29,24,FALSE)+($F74+($F74*0.5*($D74-1)))*(K$3-1)</f>
        <v>5314</v>
      </c>
      <c r="L74" s="146">
        <f>VLOOKUP($C$73,Servant!$B$5:$AD$29,24,FALSE)+($F74+($F74*0.5*($D74-1)))*(L$3-1)</f>
        <v>6787</v>
      </c>
      <c r="M74" s="146">
        <f>VLOOKUP($C$73,Servant!$B$5:$AD$29,24,FALSE)+($F74+($F74*0.5*($D74-1)))*(M$3-1)</f>
        <v>8260</v>
      </c>
      <c r="N74" s="146">
        <f>VLOOKUP($C$73,Servant!$B$5:$AD$29,24,FALSE)+($F74+($F74*0.5*($D74-1)))*(N$3-1)</f>
        <v>9733</v>
      </c>
      <c r="O74" s="146">
        <f>VLOOKUP($C$73,Servant!$B$5:$AD$29,24,FALSE)+($F74+($F74*0.5*($D74-1)))*(O$3-1)</f>
        <v>11206</v>
      </c>
      <c r="P74" s="146">
        <f>VLOOKUP($C$73,Servant!$B$5:$AD$29,24,FALSE)+($F74+($F74*0.5*($D74-1)))*(P$3-1)</f>
        <v>12679</v>
      </c>
      <c r="Q74" s="146">
        <f>VLOOKUP($C$73,Servant!$B$5:$AD$29,24,FALSE)+($F74+($F74*0.5*($D74-1)))*(Q$3-1)</f>
        <v>14152</v>
      </c>
      <c r="R74" s="146">
        <f>VLOOKUP($C$73,Servant!$B$5:$AD$29,24,FALSE)+($F74+($F74*0.5*($D74-1)))*(R$3-1)</f>
        <v>15625</v>
      </c>
      <c r="S74" s="146">
        <f>VLOOKUP($C$73,Servant!$B$5:$AD$29,24,FALSE)+($F74+($F74*0.5*($D74-1)))*(S$3-1)</f>
        <v>17098</v>
      </c>
      <c r="T74" s="146">
        <f>VLOOKUP($C$73,Servant!$B$5:$AD$29,24,FALSE)+($F74+($F74*0.5*($D74-1)))*(T$3-1)</f>
        <v>18571</v>
      </c>
      <c r="U74" s="146">
        <f>VLOOKUP($C$73,Servant!$B$5:$AD$29,24,FALSE)+($F74+($F74*0.5*($D74-1)))*(U$3-1)</f>
        <v>20044</v>
      </c>
      <c r="V74" s="146">
        <f>VLOOKUP($C$73,Servant!$B$5:$AD$29,24,FALSE)+($F74+($F74*0.5*($D74-1)))*(V$3-1)</f>
        <v>21517</v>
      </c>
      <c r="W74" s="146">
        <f>VLOOKUP($C$73,Servant!$B$5:$AD$29,24,FALSE)+($F74+($F74*0.5*($D74-1)))*(W$3-1)</f>
        <v>22990</v>
      </c>
      <c r="X74" s="146">
        <f>VLOOKUP($C$73,Servant!$B$5:$AD$29,24,FALSE)+($F74+($F74*0.5*($D74-1)))*(X$3-1)</f>
        <v>24463</v>
      </c>
      <c r="Y74" s="146">
        <f>VLOOKUP($C$73,Servant!$B$5:$AD$29,24,FALSE)+($F74+($F74*0.5*($D74-1)))*(Y$3-1)</f>
        <v>25936</v>
      </c>
      <c r="Z74" s="146">
        <f>VLOOKUP($C$73,Servant!$B$5:$AD$29,24,FALSE)+($F74+($F74*0.5*($D74-1)))*(Z$3-1)</f>
        <v>27409</v>
      </c>
      <c r="AA74" s="146">
        <f>VLOOKUP($C$73,Servant!$B$5:$AD$29,24,FALSE)+($F74+($F74*0.5*($D74-1)))*(AA$3-1)</f>
        <v>28882</v>
      </c>
      <c r="AB74" s="146">
        <f>VLOOKUP($C$73,Servant!$B$5:$AD$29,24,FALSE)+($F74+($F74*0.5*($D74-1)))*(AB$3-1)</f>
        <v>30355</v>
      </c>
      <c r="AC74" s="146">
        <f>VLOOKUP($C$73,Servant!$B$5:$AD$29,24,FALSE)+($F74+($F74*0.5*($D74-1)))*(AC$3-1)</f>
        <v>31828</v>
      </c>
      <c r="AD74" s="146">
        <f>VLOOKUP($C$73,Servant!$B$5:$AD$29,24,FALSE)+($F74+($F74*0.5*($D74-1)))*(AD$3-1)</f>
        <v>33301</v>
      </c>
      <c r="AE74" s="146">
        <f>VLOOKUP($C$73,Servant!$B$5:$AD$29,24,FALSE)+($F74+($F74*0.5*($D74-1)))*(AE$3-1)</f>
        <v>34774</v>
      </c>
      <c r="AF74" s="146">
        <f>VLOOKUP($C$73,Servant!$B$5:$AD$29,24,FALSE)+($F74+($F74*0.5*($D74-1)))*(AF$3-1)</f>
        <v>36247</v>
      </c>
      <c r="AG74" s="146">
        <f>VLOOKUP($C$73,Servant!$B$5:$AD$29,24,FALSE)+($F74+($F74*0.5*($D74-1)))*(AG$3-1)</f>
        <v>37720</v>
      </c>
      <c r="AH74" s="146">
        <f>VLOOKUP($C$73,Servant!$B$5:$AD$29,24,FALSE)+($F74+($F74*0.5*($D74-1)))*(AH$3-1)</f>
        <v>39193</v>
      </c>
      <c r="AI74" s="146">
        <f>VLOOKUP($C$73,Servant!$B$5:$AD$29,24,FALSE)+($F74+($F74*0.5*($D74-1)))*(AI$3-1)</f>
        <v>40666</v>
      </c>
      <c r="AJ74" s="146">
        <f>VLOOKUP($C$73,Servant!$B$5:$AD$29,24,FALSE)+($F74+($F74*0.5*($D74-1)))*(AJ$3-1)</f>
        <v>42139</v>
      </c>
      <c r="AK74" s="146">
        <f>VLOOKUP($C$73,Servant!$B$5:$AD$29,24,FALSE)+($F74+($F74*0.5*($D74-1)))*(AK$3-1)</f>
        <v>43612</v>
      </c>
    </row>
    <row r="75" spans="2:37" x14ac:dyDescent="0.3">
      <c r="B75" s="309"/>
      <c r="C75" s="306"/>
      <c r="D75" s="144">
        <v>6</v>
      </c>
      <c r="E75" s="145">
        <f>VLOOKUP($C$73,ServantLevelUPdStatus!$B$5:$AD$29,12,FALSE)+(VLOOKUP($C$73,ServantLevelUPdStatus!$B$5:$AD$29,12,FALSE)*0.5*(Simulator_DfsPow!$D75-1))</f>
        <v>1718.5</v>
      </c>
      <c r="F75" s="147">
        <f>F74</f>
        <v>491</v>
      </c>
      <c r="H75" s="146">
        <f>VLOOKUP($C$73,Servant!$B$5:$AD$29,24,FALSE)+($F75+($F75*0.5*($D75-1)))*(H$3-1)</f>
        <v>895</v>
      </c>
      <c r="I75" s="146">
        <f>VLOOKUP($C$73,Servant!$B$5:$AD$29,24,FALSE)+($F75+($F75*0.5*($D75-1)))*(I$3-1)</f>
        <v>2613.5</v>
      </c>
      <c r="J75" s="146">
        <f>VLOOKUP($C$73,Servant!$B$5:$AD$29,24,FALSE)+($F75+($F75*0.5*($D75-1)))*(J$3-1)</f>
        <v>4332</v>
      </c>
      <c r="K75" s="146">
        <f>VLOOKUP($C$73,Servant!$B$5:$AD$29,24,FALSE)+($F75+($F75*0.5*($D75-1)))*(K$3-1)</f>
        <v>6050.5</v>
      </c>
      <c r="L75" s="146">
        <f>VLOOKUP($C$73,Servant!$B$5:$AD$29,24,FALSE)+($F75+($F75*0.5*($D75-1)))*(L$3-1)</f>
        <v>7769</v>
      </c>
      <c r="M75" s="146">
        <f>VLOOKUP($C$73,Servant!$B$5:$AD$29,24,FALSE)+($F75+($F75*0.5*($D75-1)))*(M$3-1)</f>
        <v>9487.5</v>
      </c>
      <c r="N75" s="146">
        <f>VLOOKUP($C$73,Servant!$B$5:$AD$29,24,FALSE)+($F75+($F75*0.5*($D75-1)))*(N$3-1)</f>
        <v>11206</v>
      </c>
      <c r="O75" s="146">
        <f>VLOOKUP($C$73,Servant!$B$5:$AD$29,24,FALSE)+($F75+($F75*0.5*($D75-1)))*(O$3-1)</f>
        <v>12924.5</v>
      </c>
      <c r="P75" s="146">
        <f>VLOOKUP($C$73,Servant!$B$5:$AD$29,24,FALSE)+($F75+($F75*0.5*($D75-1)))*(P$3-1)</f>
        <v>14643</v>
      </c>
      <c r="Q75" s="146">
        <f>VLOOKUP($C$73,Servant!$B$5:$AD$29,24,FALSE)+($F75+($F75*0.5*($D75-1)))*(Q$3-1)</f>
        <v>16361.5</v>
      </c>
      <c r="R75" s="146">
        <f>VLOOKUP($C$73,Servant!$B$5:$AD$29,24,FALSE)+($F75+($F75*0.5*($D75-1)))*(R$3-1)</f>
        <v>18080</v>
      </c>
      <c r="S75" s="146">
        <f>VLOOKUP($C$73,Servant!$B$5:$AD$29,24,FALSE)+($F75+($F75*0.5*($D75-1)))*(S$3-1)</f>
        <v>19798.5</v>
      </c>
      <c r="T75" s="146">
        <f>VLOOKUP($C$73,Servant!$B$5:$AD$29,24,FALSE)+($F75+($F75*0.5*($D75-1)))*(T$3-1)</f>
        <v>21517</v>
      </c>
      <c r="U75" s="146">
        <f>VLOOKUP($C$73,Servant!$B$5:$AD$29,24,FALSE)+($F75+($F75*0.5*($D75-1)))*(U$3-1)</f>
        <v>23235.5</v>
      </c>
      <c r="V75" s="146">
        <f>VLOOKUP($C$73,Servant!$B$5:$AD$29,24,FALSE)+($F75+($F75*0.5*($D75-1)))*(V$3-1)</f>
        <v>24954</v>
      </c>
      <c r="W75" s="146">
        <f>VLOOKUP($C$73,Servant!$B$5:$AD$29,24,FALSE)+($F75+($F75*0.5*($D75-1)))*(W$3-1)</f>
        <v>26672.5</v>
      </c>
      <c r="X75" s="146">
        <f>VLOOKUP($C$73,Servant!$B$5:$AD$29,24,FALSE)+($F75+($F75*0.5*($D75-1)))*(X$3-1)</f>
        <v>28391</v>
      </c>
      <c r="Y75" s="146">
        <f>VLOOKUP($C$73,Servant!$B$5:$AD$29,24,FALSE)+($F75+($F75*0.5*($D75-1)))*(Y$3-1)</f>
        <v>30109.5</v>
      </c>
      <c r="Z75" s="146">
        <f>VLOOKUP($C$73,Servant!$B$5:$AD$29,24,FALSE)+($F75+($F75*0.5*($D75-1)))*(Z$3-1)</f>
        <v>31828</v>
      </c>
      <c r="AA75" s="146">
        <f>VLOOKUP($C$73,Servant!$B$5:$AD$29,24,FALSE)+($F75+($F75*0.5*($D75-1)))*(AA$3-1)</f>
        <v>33546.5</v>
      </c>
      <c r="AB75" s="146">
        <f>VLOOKUP($C$73,Servant!$B$5:$AD$29,24,FALSE)+($F75+($F75*0.5*($D75-1)))*(AB$3-1)</f>
        <v>35265</v>
      </c>
      <c r="AC75" s="146">
        <f>VLOOKUP($C$73,Servant!$B$5:$AD$29,24,FALSE)+($F75+($F75*0.5*($D75-1)))*(AC$3-1)</f>
        <v>36983.5</v>
      </c>
      <c r="AD75" s="146">
        <f>VLOOKUP($C$73,Servant!$B$5:$AD$29,24,FALSE)+($F75+($F75*0.5*($D75-1)))*(AD$3-1)</f>
        <v>38702</v>
      </c>
      <c r="AE75" s="146">
        <f>VLOOKUP($C$73,Servant!$B$5:$AD$29,24,FALSE)+($F75+($F75*0.5*($D75-1)))*(AE$3-1)</f>
        <v>40420.5</v>
      </c>
      <c r="AF75" s="146">
        <f>VLOOKUP($C$73,Servant!$B$5:$AD$29,24,FALSE)+($F75+($F75*0.5*($D75-1)))*(AF$3-1)</f>
        <v>42139</v>
      </c>
      <c r="AG75" s="146">
        <f>VLOOKUP($C$73,Servant!$B$5:$AD$29,24,FALSE)+($F75+($F75*0.5*($D75-1)))*(AG$3-1)</f>
        <v>43857.5</v>
      </c>
      <c r="AH75" s="146">
        <f>VLOOKUP($C$73,Servant!$B$5:$AD$29,24,FALSE)+($F75+($F75*0.5*($D75-1)))*(AH$3-1)</f>
        <v>45576</v>
      </c>
      <c r="AI75" s="146">
        <f>VLOOKUP($C$73,Servant!$B$5:$AD$29,24,FALSE)+($F75+($F75*0.5*($D75-1)))*(AI$3-1)</f>
        <v>47294.5</v>
      </c>
      <c r="AJ75" s="146">
        <f>VLOOKUP($C$73,Servant!$B$5:$AD$29,24,FALSE)+($F75+($F75*0.5*($D75-1)))*(AJ$3-1)</f>
        <v>49013</v>
      </c>
      <c r="AK75" s="146">
        <f>VLOOKUP($C$73,Servant!$B$5:$AD$29,24,FALSE)+($F75+($F75*0.5*($D75-1)))*(AK$3-1)</f>
        <v>50731.5</v>
      </c>
    </row>
  </sheetData>
  <mergeCells count="30">
    <mergeCell ref="B4:B75"/>
    <mergeCell ref="C4:C6"/>
    <mergeCell ref="C7:C9"/>
    <mergeCell ref="C10:C12"/>
    <mergeCell ref="C13:C15"/>
    <mergeCell ref="C49:C51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C2:C3"/>
    <mergeCell ref="D2:D3"/>
    <mergeCell ref="E2:E3"/>
    <mergeCell ref="F2:F3"/>
    <mergeCell ref="H2:AK2"/>
    <mergeCell ref="C46:C48"/>
    <mergeCell ref="C70:C72"/>
    <mergeCell ref="C73:C75"/>
    <mergeCell ref="C52:C54"/>
    <mergeCell ref="C55:C57"/>
    <mergeCell ref="C58:C60"/>
    <mergeCell ref="C61:C63"/>
    <mergeCell ref="C64:C66"/>
    <mergeCell ref="C67:C69"/>
  </mergeCells>
  <phoneticPr fontId="31" type="noConversion"/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V33"/>
  <sheetViews>
    <sheetView workbookViewId="0">
      <selection activeCell="I39" sqref="I39"/>
    </sheetView>
  </sheetViews>
  <sheetFormatPr defaultRowHeight="16.5" x14ac:dyDescent="0.3"/>
  <cols>
    <col min="2" max="2" width="16.375" bestFit="1" customWidth="1"/>
    <col min="3" max="3" width="9.125" bestFit="1" customWidth="1"/>
    <col min="4" max="5" width="12.25" bestFit="1" customWidth="1"/>
    <col min="6" max="6" width="10.875" customWidth="1"/>
    <col min="7" max="7" width="14" bestFit="1" customWidth="1"/>
    <col min="9" max="9" width="15" bestFit="1" customWidth="1"/>
    <col min="22" max="22" width="17.75" bestFit="1" customWidth="1"/>
  </cols>
  <sheetData>
    <row r="2" spans="2:22" x14ac:dyDescent="0.3">
      <c r="B2" s="217"/>
      <c r="C2" s="217" t="s">
        <v>356</v>
      </c>
      <c r="D2" s="217" t="s">
        <v>357</v>
      </c>
      <c r="E2" s="217" t="s">
        <v>425</v>
      </c>
      <c r="F2" s="217" t="s">
        <v>423</v>
      </c>
      <c r="G2" s="217" t="s">
        <v>424</v>
      </c>
      <c r="I2" s="216" t="s">
        <v>358</v>
      </c>
      <c r="J2" s="217" t="s">
        <v>346</v>
      </c>
      <c r="K2" s="217" t="s">
        <v>347</v>
      </c>
      <c r="L2" s="217" t="s">
        <v>348</v>
      </c>
      <c r="M2" s="217" t="s">
        <v>349</v>
      </c>
      <c r="N2" s="217" t="s">
        <v>350</v>
      </c>
      <c r="O2" s="217" t="s">
        <v>351</v>
      </c>
      <c r="P2" s="217" t="s">
        <v>352</v>
      </c>
      <c r="Q2" s="217" t="s">
        <v>353</v>
      </c>
      <c r="R2" s="217" t="s">
        <v>435</v>
      </c>
      <c r="S2" s="217" t="s">
        <v>436</v>
      </c>
      <c r="T2" s="217" t="s">
        <v>437</v>
      </c>
      <c r="V2" s="65" t="s">
        <v>59</v>
      </c>
    </row>
    <row r="3" spans="2:22" x14ac:dyDescent="0.3">
      <c r="B3" s="213" t="s">
        <v>342</v>
      </c>
      <c r="C3" s="214">
        <v>50</v>
      </c>
      <c r="D3" s="215">
        <f>ROUNDUP(ServantLevelExperience!$D$35/C3,0)</f>
        <v>5063</v>
      </c>
      <c r="E3" s="215">
        <v>50</v>
      </c>
      <c r="F3" s="215">
        <v>20</v>
      </c>
      <c r="G3" s="215">
        <v>5000</v>
      </c>
      <c r="H3" s="265">
        <f>C3*E3</f>
        <v>2500</v>
      </c>
      <c r="I3" s="218" t="s">
        <v>354</v>
      </c>
      <c r="J3" s="219">
        <v>200</v>
      </c>
      <c r="K3" s="219">
        <f>J3+50</f>
        <v>250</v>
      </c>
      <c r="L3" s="219">
        <f>K3+50</f>
        <v>300</v>
      </c>
      <c r="M3" s="219">
        <f>L3+100</f>
        <v>400</v>
      </c>
      <c r="N3" s="219">
        <f t="shared" ref="N3:O3" si="0">M3+100</f>
        <v>500</v>
      </c>
      <c r="O3" s="219">
        <f t="shared" si="0"/>
        <v>600</v>
      </c>
      <c r="P3" s="219">
        <f>O3+200</f>
        <v>800</v>
      </c>
      <c r="Q3" s="219">
        <f t="shared" ref="Q3:R3" si="1">P3+200</f>
        <v>1000</v>
      </c>
      <c r="R3" s="219">
        <f t="shared" si="1"/>
        <v>1200</v>
      </c>
      <c r="S3" s="219">
        <f t="shared" ref="S3:T3" si="2">R3+200</f>
        <v>1400</v>
      </c>
      <c r="T3" s="219">
        <f t="shared" si="2"/>
        <v>1600</v>
      </c>
      <c r="V3" s="66" t="s">
        <v>24</v>
      </c>
    </row>
    <row r="4" spans="2:22" x14ac:dyDescent="0.3">
      <c r="B4" s="213" t="s">
        <v>343</v>
      </c>
      <c r="C4" s="214">
        <v>100</v>
      </c>
      <c r="D4" s="215">
        <f>ROUNDUP(ServantLevelExperience!$D$35/C4,0)</f>
        <v>2532</v>
      </c>
      <c r="E4" s="215">
        <v>40</v>
      </c>
      <c r="F4" s="215">
        <v>30</v>
      </c>
      <c r="G4" s="215">
        <v>10000</v>
      </c>
      <c r="H4" s="265">
        <f t="shared" ref="H4:H6" si="3">C4*E4</f>
        <v>4000</v>
      </c>
      <c r="I4" s="218" t="s">
        <v>355</v>
      </c>
      <c r="J4" s="219">
        <v>300</v>
      </c>
      <c r="K4" s="219">
        <f>J4+50</f>
        <v>350</v>
      </c>
      <c r="L4" s="219">
        <f>K4+50</f>
        <v>400</v>
      </c>
      <c r="M4" s="219">
        <f>L4+100</f>
        <v>500</v>
      </c>
      <c r="N4" s="219">
        <f t="shared" ref="N4:O4" si="4">M4+100</f>
        <v>600</v>
      </c>
      <c r="O4" s="219">
        <f t="shared" si="4"/>
        <v>700</v>
      </c>
      <c r="P4" s="219">
        <f t="shared" ref="P4:R4" si="5">O4+200</f>
        <v>900</v>
      </c>
      <c r="Q4" s="219">
        <f t="shared" si="5"/>
        <v>1100</v>
      </c>
      <c r="R4" s="219">
        <f t="shared" si="5"/>
        <v>1300</v>
      </c>
      <c r="S4" s="219">
        <f t="shared" ref="S4:T4" si="6">R4+200</f>
        <v>1500</v>
      </c>
      <c r="T4" s="219">
        <f t="shared" si="6"/>
        <v>1700</v>
      </c>
      <c r="V4" s="67" t="s">
        <v>28</v>
      </c>
    </row>
    <row r="5" spans="2:22" x14ac:dyDescent="0.3">
      <c r="B5" s="213" t="s">
        <v>344</v>
      </c>
      <c r="C5" s="214">
        <v>500</v>
      </c>
      <c r="D5" s="215">
        <f>ROUNDUP(ServantLevelExperience!$D$35/C5,0)</f>
        <v>507</v>
      </c>
      <c r="E5" s="215">
        <v>30</v>
      </c>
      <c r="F5" s="215">
        <v>40</v>
      </c>
      <c r="G5" s="215">
        <v>20000</v>
      </c>
      <c r="H5" s="265">
        <f t="shared" si="3"/>
        <v>15000</v>
      </c>
      <c r="I5" s="221" t="s">
        <v>359</v>
      </c>
      <c r="J5" s="277">
        <f>AVERAGE(J3:J4)*0.5</f>
        <v>125</v>
      </c>
      <c r="K5" s="277">
        <f t="shared" ref="K5:Q5" si="7">AVERAGE(K3:K4)*0.5</f>
        <v>150</v>
      </c>
      <c r="L5" s="277">
        <f t="shared" si="7"/>
        <v>175</v>
      </c>
      <c r="M5" s="277">
        <f t="shared" si="7"/>
        <v>225</v>
      </c>
      <c r="N5" s="277">
        <f t="shared" si="7"/>
        <v>275</v>
      </c>
      <c r="O5" s="277">
        <f t="shared" si="7"/>
        <v>325</v>
      </c>
      <c r="P5" s="277">
        <f t="shared" si="7"/>
        <v>425</v>
      </c>
      <c r="Q5" s="277">
        <f t="shared" si="7"/>
        <v>525</v>
      </c>
      <c r="R5" s="277">
        <f t="shared" ref="R5:T5" si="8">AVERAGE(R3:R4)*0.5</f>
        <v>625</v>
      </c>
      <c r="S5" s="277">
        <f t="shared" si="8"/>
        <v>725</v>
      </c>
      <c r="T5" s="277">
        <f t="shared" si="8"/>
        <v>825</v>
      </c>
      <c r="V5" s="96" t="s">
        <v>42</v>
      </c>
    </row>
    <row r="6" spans="2:22" x14ac:dyDescent="0.3">
      <c r="B6" s="213" t="s">
        <v>345</v>
      </c>
      <c r="C6" s="214">
        <v>1000</v>
      </c>
      <c r="D6" s="215">
        <f>ROUNDUP(ServantLevelExperience!$D$35/C6,0)</f>
        <v>254</v>
      </c>
      <c r="E6" s="215">
        <v>20</v>
      </c>
      <c r="F6" s="215">
        <v>50</v>
      </c>
      <c r="G6" s="215">
        <v>30000</v>
      </c>
      <c r="H6" s="265">
        <f t="shared" si="3"/>
        <v>20000</v>
      </c>
      <c r="I6" s="220" t="s">
        <v>360</v>
      </c>
      <c r="J6" s="276">
        <f>ROUNDUP(ServantLevelExperience!$D$35/J5,0)*3/2</f>
        <v>3039</v>
      </c>
      <c r="K6" s="276">
        <f>ROUNDUP(ServantLevelExperience!$D$35/K5,0)*3/2</f>
        <v>2532</v>
      </c>
      <c r="L6" s="276">
        <f>ROUNDUP(ServantLevelExperience!$D$35/L5,0)*3/2</f>
        <v>2170.5</v>
      </c>
      <c r="M6" s="276">
        <f>ROUNDUP(ServantLevelExperience!$D$35/M5,0)*3/2</f>
        <v>1689</v>
      </c>
      <c r="N6" s="276">
        <f>ROUNDUP(ServantLevelExperience!$D$35/N5,0)*3/2</f>
        <v>1381.5</v>
      </c>
      <c r="O6" s="276">
        <f>ROUNDUP(ServantLevelExperience!$D$35/O5,0)*3/2</f>
        <v>1168.5</v>
      </c>
      <c r="P6" s="276">
        <f>ROUNDUP(ServantLevelExperience!$D$35/P5,0)*3/2</f>
        <v>894</v>
      </c>
      <c r="Q6" s="276">
        <f>ROUNDUP(ServantLevelExperience!$D$35/Q5,0)</f>
        <v>483</v>
      </c>
      <c r="R6" s="276">
        <f>ROUNDUP(ServantLevelExperience!$D$35/R5,0)</f>
        <v>406</v>
      </c>
      <c r="S6" s="276">
        <f>ROUNDUP(ServantLevelExperience!$D$35/S5,0)</f>
        <v>350</v>
      </c>
      <c r="T6" s="276">
        <f>ROUNDUP(ServantLevelExperience!$D$35/T5,0)</f>
        <v>307</v>
      </c>
      <c r="V6" s="98">
        <v>0.1</v>
      </c>
    </row>
    <row r="7" spans="2:22" x14ac:dyDescent="0.3">
      <c r="I7" s="180" t="s">
        <v>438</v>
      </c>
      <c r="K7" s="279">
        <f>AVERAGE(J5:T5)</f>
        <v>400</v>
      </c>
      <c r="V7" s="74">
        <f t="shared" ref="V7:V11" si="9">V6</f>
        <v>0.1</v>
      </c>
    </row>
    <row r="8" spans="2:22" x14ac:dyDescent="0.3">
      <c r="J8" s="226">
        <v>0.7</v>
      </c>
      <c r="K8" s="226">
        <v>0.9</v>
      </c>
      <c r="L8" s="226">
        <v>0.8</v>
      </c>
      <c r="M8" s="226">
        <v>0.7</v>
      </c>
      <c r="N8" s="226">
        <v>0.75</v>
      </c>
      <c r="O8" s="226">
        <v>0.8</v>
      </c>
      <c r="V8" s="74">
        <f t="shared" si="9"/>
        <v>0.1</v>
      </c>
    </row>
    <row r="9" spans="2:22" x14ac:dyDescent="0.3">
      <c r="B9" s="230" t="s">
        <v>380</v>
      </c>
      <c r="C9" s="230" t="s">
        <v>381</v>
      </c>
      <c r="D9" s="230" t="s">
        <v>384</v>
      </c>
      <c r="E9" s="230" t="s">
        <v>383</v>
      </c>
      <c r="F9" s="230" t="s">
        <v>382</v>
      </c>
      <c r="G9" s="230" t="s">
        <v>431</v>
      </c>
      <c r="I9" s="325" t="s">
        <v>361</v>
      </c>
      <c r="J9" s="322" t="s">
        <v>370</v>
      </c>
      <c r="K9" s="323"/>
      <c r="L9" s="324"/>
      <c r="M9" s="322" t="s">
        <v>371</v>
      </c>
      <c r="N9" s="323"/>
      <c r="O9" s="324"/>
      <c r="V9" s="74">
        <f t="shared" si="9"/>
        <v>0.1</v>
      </c>
    </row>
    <row r="10" spans="2:22" x14ac:dyDescent="0.3">
      <c r="B10" s="231" t="s">
        <v>273</v>
      </c>
      <c r="C10" s="233">
        <v>30</v>
      </c>
      <c r="D10" s="233">
        <v>1</v>
      </c>
      <c r="E10" s="233">
        <v>34</v>
      </c>
      <c r="F10" s="233">
        <v>30</v>
      </c>
      <c r="G10" s="233">
        <f>INT(E10/F10*100)</f>
        <v>113</v>
      </c>
      <c r="I10" s="326"/>
      <c r="J10" s="216" t="s">
        <v>362</v>
      </c>
      <c r="K10" s="216" t="s">
        <v>363</v>
      </c>
      <c r="L10" s="216" t="s">
        <v>364</v>
      </c>
      <c r="M10" s="216" t="s">
        <v>362</v>
      </c>
      <c r="N10" s="216" t="s">
        <v>363</v>
      </c>
      <c r="O10" s="216" t="s">
        <v>364</v>
      </c>
      <c r="V10" s="74">
        <f t="shared" si="9"/>
        <v>0.1</v>
      </c>
    </row>
    <row r="11" spans="2:22" x14ac:dyDescent="0.3">
      <c r="B11" s="231" t="s">
        <v>274</v>
      </c>
      <c r="C11" s="233">
        <v>34</v>
      </c>
      <c r="D11" s="233">
        <f>ROUNDUP(C11/$C$10,2)</f>
        <v>1.1399999999999999</v>
      </c>
      <c r="E11" s="233">
        <v>35</v>
      </c>
      <c r="F11" s="233">
        <v>34</v>
      </c>
      <c r="G11" s="233">
        <f>INT(E11/F11*100)</f>
        <v>102</v>
      </c>
      <c r="I11" s="218" t="s">
        <v>365</v>
      </c>
      <c r="J11" s="223">
        <v>2445</v>
      </c>
      <c r="K11" s="223">
        <v>159</v>
      </c>
      <c r="L11" s="223">
        <v>32</v>
      </c>
      <c r="M11" s="223">
        <v>67777</v>
      </c>
      <c r="N11" s="223">
        <v>30504</v>
      </c>
      <c r="O11" s="223">
        <v>35439</v>
      </c>
      <c r="V11" s="74">
        <f t="shared" si="9"/>
        <v>0.1</v>
      </c>
    </row>
    <row r="12" spans="2:22" x14ac:dyDescent="0.3">
      <c r="B12" s="231" t="s">
        <v>276</v>
      </c>
      <c r="C12" s="233">
        <v>27</v>
      </c>
      <c r="D12" s="233">
        <v>1.1000000000000001</v>
      </c>
      <c r="E12" s="233">
        <v>20</v>
      </c>
      <c r="F12" s="233">
        <v>25</v>
      </c>
      <c r="G12" s="233">
        <f>INT(E12/F12*100)</f>
        <v>80</v>
      </c>
      <c r="I12" s="218" t="s">
        <v>366</v>
      </c>
      <c r="J12" s="223">
        <v>1101</v>
      </c>
      <c r="K12" s="223">
        <v>72</v>
      </c>
      <c r="L12" s="223">
        <v>58</v>
      </c>
      <c r="M12" s="223">
        <v>20324</v>
      </c>
      <c r="N12" s="223">
        <v>11788</v>
      </c>
      <c r="O12" s="223">
        <v>38263</v>
      </c>
      <c r="V12" s="81">
        <f>V11+0.05</f>
        <v>0.15000000000000002</v>
      </c>
    </row>
    <row r="13" spans="2:22" x14ac:dyDescent="0.3">
      <c r="B13" s="231" t="s">
        <v>278</v>
      </c>
      <c r="C13" s="233">
        <v>31</v>
      </c>
      <c r="D13" s="233">
        <f>ROUNDUP(C13/$C$10,2)</f>
        <v>1.04</v>
      </c>
      <c r="E13" s="233">
        <v>31</v>
      </c>
      <c r="F13" s="233">
        <v>31</v>
      </c>
      <c r="G13" s="233">
        <f t="shared" ref="G13:G33" si="10">INT(E13/F13*100)</f>
        <v>100</v>
      </c>
      <c r="I13" s="218" t="s">
        <v>367</v>
      </c>
      <c r="J13" s="223">
        <v>1857</v>
      </c>
      <c r="K13" s="223">
        <v>84</v>
      </c>
      <c r="L13" s="223">
        <v>14</v>
      </c>
      <c r="M13" s="223">
        <v>43672</v>
      </c>
      <c r="N13" s="223">
        <v>17603</v>
      </c>
      <c r="O13" s="223">
        <v>38266</v>
      </c>
      <c r="V13" s="83">
        <f>V$12*0.95</f>
        <v>0.14250000000000002</v>
      </c>
    </row>
    <row r="14" spans="2:22" x14ac:dyDescent="0.3">
      <c r="B14" s="231" t="s">
        <v>279</v>
      </c>
      <c r="C14" s="233">
        <v>35</v>
      </c>
      <c r="D14" s="233">
        <f>ROUNDUP(C14/$C$10,2)</f>
        <v>1.17</v>
      </c>
      <c r="E14" s="233">
        <v>35</v>
      </c>
      <c r="F14" s="233">
        <v>35</v>
      </c>
      <c r="G14" s="233">
        <f t="shared" si="10"/>
        <v>100</v>
      </c>
      <c r="I14" s="218" t="s">
        <v>368</v>
      </c>
      <c r="J14" s="223">
        <v>1507</v>
      </c>
      <c r="K14" s="223">
        <v>79</v>
      </c>
      <c r="L14" s="223">
        <v>101</v>
      </c>
      <c r="M14" s="223">
        <v>30100</v>
      </c>
      <c r="N14" s="223">
        <v>22428</v>
      </c>
      <c r="O14" s="223">
        <v>37968</v>
      </c>
      <c r="V14" s="81">
        <f>V$12*0.92</f>
        <v>0.13800000000000004</v>
      </c>
    </row>
    <row r="15" spans="2:22" x14ac:dyDescent="0.3">
      <c r="B15" s="231" t="s">
        <v>281</v>
      </c>
      <c r="C15" s="233">
        <v>31</v>
      </c>
      <c r="D15" s="233">
        <f>ROUNDUP(C15/$C$10,2)</f>
        <v>1.04</v>
      </c>
      <c r="E15" s="233">
        <v>30</v>
      </c>
      <c r="F15" s="233">
        <v>31</v>
      </c>
      <c r="G15" s="233">
        <f t="shared" si="10"/>
        <v>96</v>
      </c>
      <c r="I15" s="222" t="s">
        <v>359</v>
      </c>
      <c r="J15" s="225">
        <f>AVERAGE(J11:J14)</f>
        <v>1727.5</v>
      </c>
      <c r="K15" s="225">
        <f t="shared" ref="K15:L15" si="11">AVERAGE(K11:K14)</f>
        <v>98.5</v>
      </c>
      <c r="L15" s="225">
        <f t="shared" si="11"/>
        <v>51.25</v>
      </c>
      <c r="M15" s="228">
        <f>AVERAGE(M11:M14)</f>
        <v>40468.25</v>
      </c>
      <c r="N15" s="228">
        <f t="shared" ref="N15" si="12">AVERAGE(N11:N14)</f>
        <v>20580.75</v>
      </c>
      <c r="O15" s="228">
        <f t="shared" ref="O15" si="13">AVERAGE(O11:O14)</f>
        <v>37484</v>
      </c>
      <c r="V15" s="81">
        <f>V$12*1.08</f>
        <v>0.16200000000000003</v>
      </c>
    </row>
    <row r="16" spans="2:22" x14ac:dyDescent="0.3">
      <c r="B16" s="232" t="s">
        <v>260</v>
      </c>
      <c r="C16" s="238">
        <v>33</v>
      </c>
      <c r="D16" s="239">
        <f>C16/30</f>
        <v>1.1000000000000001</v>
      </c>
      <c r="E16" s="240">
        <v>40</v>
      </c>
      <c r="F16" s="240">
        <v>33</v>
      </c>
      <c r="G16" s="240">
        <f t="shared" si="10"/>
        <v>121</v>
      </c>
      <c r="I16" s="220" t="s">
        <v>369</v>
      </c>
      <c r="J16" s="227">
        <f>J15*J8</f>
        <v>1209.25</v>
      </c>
      <c r="K16" s="227">
        <f t="shared" ref="K16:L16" si="14">K15*K8</f>
        <v>88.65</v>
      </c>
      <c r="L16" s="227">
        <f t="shared" si="14"/>
        <v>41</v>
      </c>
      <c r="M16" s="224">
        <f>M15*M8</f>
        <v>28327.774999999998</v>
      </c>
      <c r="N16" s="224">
        <f t="shared" ref="N16" si="15">N15*N8</f>
        <v>15435.5625</v>
      </c>
      <c r="O16" s="224">
        <f t="shared" ref="O16" si="16">O15*O8</f>
        <v>29987.200000000001</v>
      </c>
      <c r="V16" s="81">
        <f>V14</f>
        <v>0.13800000000000004</v>
      </c>
    </row>
    <row r="17" spans="2:22" x14ac:dyDescent="0.3">
      <c r="B17" s="232" t="s">
        <v>224</v>
      </c>
      <c r="C17" s="238">
        <v>36</v>
      </c>
      <c r="D17" s="238">
        <f>ROUNDUP(C17/$C$16,2)</f>
        <v>1.1000000000000001</v>
      </c>
      <c r="E17" s="240">
        <v>52</v>
      </c>
      <c r="F17" s="240">
        <v>36</v>
      </c>
      <c r="G17" s="240">
        <f t="shared" si="10"/>
        <v>144</v>
      </c>
      <c r="V17" s="81">
        <f>V$12*1.12</f>
        <v>0.16800000000000004</v>
      </c>
    </row>
    <row r="18" spans="2:22" x14ac:dyDescent="0.3">
      <c r="B18" s="232" t="s">
        <v>225</v>
      </c>
      <c r="C18" s="238">
        <v>28</v>
      </c>
      <c r="D18" s="238">
        <f>ROUNDUP(C18/$C$16,2)</f>
        <v>0.85</v>
      </c>
      <c r="E18" s="240">
        <v>55</v>
      </c>
      <c r="F18" s="240">
        <v>28</v>
      </c>
      <c r="G18" s="240">
        <f t="shared" si="10"/>
        <v>196</v>
      </c>
      <c r="V18" s="74">
        <f>V12+0.05</f>
        <v>0.2</v>
      </c>
    </row>
    <row r="19" spans="2:22" x14ac:dyDescent="0.3">
      <c r="B19" s="232" t="s">
        <v>226</v>
      </c>
      <c r="C19" s="238">
        <v>27</v>
      </c>
      <c r="D19" s="238">
        <f>ROUNDUP(C19/$C$16,2)</f>
        <v>0.82000000000000006</v>
      </c>
      <c r="E19" s="240">
        <v>40</v>
      </c>
      <c r="F19" s="240">
        <v>27</v>
      </c>
      <c r="G19" s="240">
        <f t="shared" si="10"/>
        <v>148</v>
      </c>
      <c r="V19" s="98">
        <f>V18*2</f>
        <v>0.4</v>
      </c>
    </row>
    <row r="20" spans="2:22" x14ac:dyDescent="0.3">
      <c r="B20" s="232" t="s">
        <v>227</v>
      </c>
      <c r="C20" s="238">
        <v>32</v>
      </c>
      <c r="D20" s="238">
        <f>ROUNDUP(C20/$C$16,2)</f>
        <v>0.97</v>
      </c>
      <c r="E20" s="240">
        <v>38</v>
      </c>
      <c r="F20" s="240">
        <v>32</v>
      </c>
      <c r="G20" s="240">
        <f t="shared" si="10"/>
        <v>118</v>
      </c>
      <c r="V20" s="74">
        <f>V18</f>
        <v>0.2</v>
      </c>
    </row>
    <row r="21" spans="2:22" x14ac:dyDescent="0.3">
      <c r="B21" s="232" t="s">
        <v>228</v>
      </c>
      <c r="C21" s="238">
        <v>29</v>
      </c>
      <c r="D21" s="238">
        <f>ROUNDUP(C21/$C$16,2)</f>
        <v>0.88</v>
      </c>
      <c r="E21" s="240">
        <v>40</v>
      </c>
      <c r="F21" s="240">
        <v>29</v>
      </c>
      <c r="G21" s="240">
        <f t="shared" si="10"/>
        <v>137</v>
      </c>
      <c r="V21" s="74">
        <f t="shared" ref="V21" si="17">V20</f>
        <v>0.2</v>
      </c>
    </row>
    <row r="22" spans="2:22" x14ac:dyDescent="0.3">
      <c r="B22" s="231" t="s">
        <v>261</v>
      </c>
      <c r="C22" s="233">
        <v>31</v>
      </c>
      <c r="D22" s="234">
        <f>C22/30</f>
        <v>1.0333333333333334</v>
      </c>
      <c r="E22" s="233">
        <v>50</v>
      </c>
      <c r="F22" s="233">
        <v>31</v>
      </c>
      <c r="G22" s="233">
        <f t="shared" si="10"/>
        <v>161</v>
      </c>
      <c r="I22" s="217" t="s">
        <v>356</v>
      </c>
      <c r="J22" s="217" t="s">
        <v>357</v>
      </c>
      <c r="K22" s="217" t="s">
        <v>425</v>
      </c>
      <c r="L22" s="217" t="s">
        <v>423</v>
      </c>
      <c r="M22" s="217" t="s">
        <v>424</v>
      </c>
      <c r="V22" s="86">
        <f>V21+0.05</f>
        <v>0.25</v>
      </c>
    </row>
    <row r="23" spans="2:22" x14ac:dyDescent="0.3">
      <c r="B23" s="231" t="s">
        <v>230</v>
      </c>
      <c r="C23" s="233">
        <v>29</v>
      </c>
      <c r="D23" s="233">
        <f>ROUNDUP(C23/$C$22,2)</f>
        <v>0.94000000000000006</v>
      </c>
      <c r="E23" s="233">
        <v>60</v>
      </c>
      <c r="F23" s="233">
        <v>29</v>
      </c>
      <c r="G23" s="233">
        <f t="shared" si="10"/>
        <v>206</v>
      </c>
      <c r="I23" s="214">
        <v>50</v>
      </c>
      <c r="J23" s="215">
        <f>ROUNDUP(ServantLevelExperience!$D$35/I23,0)</f>
        <v>5063</v>
      </c>
      <c r="K23" s="215">
        <v>100</v>
      </c>
      <c r="L23" s="215">
        <v>25</v>
      </c>
      <c r="M23" s="215">
        <v>15000</v>
      </c>
      <c r="N23" s="265">
        <f>I23*K23</f>
        <v>5000</v>
      </c>
      <c r="V23" s="88">
        <f t="shared" ref="V23:V29" si="18">V22</f>
        <v>0.25</v>
      </c>
    </row>
    <row r="24" spans="2:22" x14ac:dyDescent="0.3">
      <c r="B24" s="231" t="s">
        <v>231</v>
      </c>
      <c r="C24" s="233">
        <v>32</v>
      </c>
      <c r="D24" s="233">
        <f>ROUNDUP(C24/$C$22,2)</f>
        <v>1.04</v>
      </c>
      <c r="E24" s="233">
        <v>35</v>
      </c>
      <c r="F24" s="233">
        <v>32</v>
      </c>
      <c r="G24" s="233">
        <f t="shared" si="10"/>
        <v>109</v>
      </c>
      <c r="I24" s="214">
        <v>100</v>
      </c>
      <c r="J24" s="215">
        <f>ROUNDUP(ServantLevelExperience!$D$35/I24,0)</f>
        <v>2532</v>
      </c>
      <c r="K24" s="215">
        <v>50</v>
      </c>
      <c r="L24" s="215">
        <v>25</v>
      </c>
      <c r="M24" s="215">
        <v>15000</v>
      </c>
      <c r="N24" s="265">
        <f t="shared" ref="N24:N26" si="19">I24*K24</f>
        <v>5000</v>
      </c>
      <c r="V24" s="88">
        <f t="shared" si="18"/>
        <v>0.25</v>
      </c>
    </row>
    <row r="25" spans="2:22" x14ac:dyDescent="0.3">
      <c r="B25" s="231" t="s">
        <v>232</v>
      </c>
      <c r="C25" s="233">
        <v>33</v>
      </c>
      <c r="D25" s="233">
        <f>ROUNDUP(C25/$C$22,2)</f>
        <v>1.07</v>
      </c>
      <c r="E25" s="233">
        <v>70</v>
      </c>
      <c r="F25" s="233">
        <v>33</v>
      </c>
      <c r="G25" s="233">
        <f t="shared" si="10"/>
        <v>212</v>
      </c>
      <c r="I25" s="214">
        <v>500</v>
      </c>
      <c r="J25" s="215">
        <f>ROUNDUP(ServantLevelExperience!$D$35/I25,0)</f>
        <v>507</v>
      </c>
      <c r="K25" s="215">
        <v>20</v>
      </c>
      <c r="L25" s="215">
        <v>50</v>
      </c>
      <c r="M25" s="215">
        <v>30000</v>
      </c>
      <c r="N25" s="265">
        <f t="shared" si="19"/>
        <v>10000</v>
      </c>
      <c r="V25" s="88">
        <f t="shared" si="18"/>
        <v>0.25</v>
      </c>
    </row>
    <row r="26" spans="2:22" x14ac:dyDescent="0.3">
      <c r="B26" s="229" t="s">
        <v>372</v>
      </c>
      <c r="C26" s="236">
        <v>32</v>
      </c>
      <c r="D26" s="237">
        <f>C26/30</f>
        <v>1.0666666666666667</v>
      </c>
      <c r="E26" s="241">
        <v>40</v>
      </c>
      <c r="F26" s="241">
        <v>32</v>
      </c>
      <c r="G26" s="241">
        <f t="shared" si="10"/>
        <v>125</v>
      </c>
      <c r="I26" s="214">
        <v>1000</v>
      </c>
      <c r="J26" s="215">
        <f>ROUNDUP(ServantLevelExperience!$D$35/I26,0)</f>
        <v>254</v>
      </c>
      <c r="K26" s="215">
        <v>10</v>
      </c>
      <c r="L26" s="215">
        <v>50</v>
      </c>
      <c r="M26" s="215">
        <v>30000</v>
      </c>
      <c r="N26" s="265">
        <f t="shared" si="19"/>
        <v>10000</v>
      </c>
      <c r="V26" s="88">
        <f t="shared" si="18"/>
        <v>0.25</v>
      </c>
    </row>
    <row r="27" spans="2:22" x14ac:dyDescent="0.3">
      <c r="B27" s="229" t="s">
        <v>373</v>
      </c>
      <c r="C27" s="236">
        <v>28</v>
      </c>
      <c r="D27" s="236">
        <f t="shared" ref="D27:D33" si="20">ROUNDUP(C27/$C$26,2)</f>
        <v>0.88</v>
      </c>
      <c r="E27" s="241">
        <v>55</v>
      </c>
      <c r="F27" s="241">
        <v>28</v>
      </c>
      <c r="G27" s="241">
        <f t="shared" si="10"/>
        <v>196</v>
      </c>
      <c r="V27" s="88">
        <f t="shared" si="18"/>
        <v>0.25</v>
      </c>
    </row>
    <row r="28" spans="2:22" x14ac:dyDescent="0.3">
      <c r="B28" s="229" t="s">
        <v>374</v>
      </c>
      <c r="C28" s="236">
        <v>29</v>
      </c>
      <c r="D28" s="236">
        <f t="shared" si="20"/>
        <v>0.91</v>
      </c>
      <c r="E28" s="241">
        <v>48</v>
      </c>
      <c r="F28" s="241">
        <v>29</v>
      </c>
      <c r="G28" s="241">
        <f t="shared" si="10"/>
        <v>165</v>
      </c>
      <c r="V28" s="88">
        <f t="shared" si="18"/>
        <v>0.25</v>
      </c>
    </row>
    <row r="29" spans="2:22" x14ac:dyDescent="0.3">
      <c r="B29" s="229" t="s">
        <v>375</v>
      </c>
      <c r="C29" s="236">
        <v>33</v>
      </c>
      <c r="D29" s="236">
        <f t="shared" si="20"/>
        <v>1.04</v>
      </c>
      <c r="E29" s="241">
        <v>48</v>
      </c>
      <c r="F29" s="241">
        <v>33</v>
      </c>
      <c r="G29" s="241">
        <f t="shared" si="10"/>
        <v>145</v>
      </c>
      <c r="V29" s="88">
        <f t="shared" si="18"/>
        <v>0.25</v>
      </c>
    </row>
    <row r="30" spans="2:22" x14ac:dyDescent="0.3">
      <c r="B30" s="229" t="s">
        <v>376</v>
      </c>
      <c r="C30" s="236">
        <v>31</v>
      </c>
      <c r="D30" s="236">
        <f t="shared" si="20"/>
        <v>0.97</v>
      </c>
      <c r="E30" s="241">
        <v>80</v>
      </c>
      <c r="F30" s="241">
        <v>31</v>
      </c>
      <c r="G30" s="241">
        <f t="shared" si="10"/>
        <v>258</v>
      </c>
    </row>
    <row r="31" spans="2:22" x14ac:dyDescent="0.3">
      <c r="B31" s="229" t="s">
        <v>377</v>
      </c>
      <c r="C31" s="236">
        <v>30</v>
      </c>
      <c r="D31" s="236">
        <f t="shared" si="20"/>
        <v>0.94000000000000006</v>
      </c>
      <c r="E31" s="241">
        <v>58</v>
      </c>
      <c r="F31" s="241">
        <v>30</v>
      </c>
      <c r="G31" s="241">
        <f t="shared" si="10"/>
        <v>193</v>
      </c>
    </row>
    <row r="32" spans="2:22" x14ac:dyDescent="0.3">
      <c r="B32" s="229" t="s">
        <v>378</v>
      </c>
      <c r="C32" s="236">
        <v>27</v>
      </c>
      <c r="D32" s="236">
        <f t="shared" si="20"/>
        <v>0.85</v>
      </c>
      <c r="E32" s="241">
        <v>22</v>
      </c>
      <c r="F32" s="241">
        <v>27</v>
      </c>
      <c r="G32" s="241">
        <f t="shared" si="10"/>
        <v>81</v>
      </c>
    </row>
    <row r="33" spans="2:7" x14ac:dyDescent="0.3">
      <c r="B33" s="229" t="s">
        <v>379</v>
      </c>
      <c r="C33" s="236">
        <v>29</v>
      </c>
      <c r="D33" s="236">
        <f t="shared" si="20"/>
        <v>0.91</v>
      </c>
      <c r="E33" s="241">
        <v>48</v>
      </c>
      <c r="F33" s="241">
        <v>29</v>
      </c>
      <c r="G33" s="241">
        <f t="shared" si="10"/>
        <v>165</v>
      </c>
    </row>
  </sheetData>
  <mergeCells count="3">
    <mergeCell ref="J9:L9"/>
    <mergeCell ref="M9:O9"/>
    <mergeCell ref="I9:I10"/>
  </mergeCells>
  <phoneticPr fontId="32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workbookViewId="0">
      <selection activeCell="I37" sqref="I37"/>
    </sheetView>
  </sheetViews>
  <sheetFormatPr defaultRowHeight="16.5" x14ac:dyDescent="0.3"/>
  <cols>
    <col min="1" max="1" width="9" style="244"/>
    <col min="2" max="2" width="39.5" style="264" bestFit="1" customWidth="1"/>
    <col min="3" max="16384" width="9" style="244"/>
  </cols>
  <sheetData>
    <row r="2" spans="2:8" x14ac:dyDescent="0.3">
      <c r="B2" s="262" t="s">
        <v>385</v>
      </c>
      <c r="C2" s="242">
        <v>3.5</v>
      </c>
      <c r="D2" s="242">
        <v>90</v>
      </c>
      <c r="E2" s="242">
        <v>1</v>
      </c>
      <c r="F2" s="242">
        <v>1</v>
      </c>
      <c r="G2" s="243">
        <v>250</v>
      </c>
      <c r="H2" s="243">
        <f>E2*F2*(G2+100)</f>
        <v>350</v>
      </c>
    </row>
    <row r="3" spans="2:8" x14ac:dyDescent="0.3">
      <c r="B3" s="245" t="s">
        <v>386</v>
      </c>
      <c r="C3" s="246">
        <v>0.5</v>
      </c>
      <c r="D3" s="246">
        <v>180</v>
      </c>
      <c r="E3" s="246">
        <v>1</v>
      </c>
      <c r="F3" s="246">
        <v>1</v>
      </c>
      <c r="G3" s="243">
        <v>250</v>
      </c>
      <c r="H3" s="243">
        <f t="shared" ref="H3:H7" si="0">E3*F3*(G3+100)</f>
        <v>350</v>
      </c>
    </row>
    <row r="4" spans="2:8" x14ac:dyDescent="0.3">
      <c r="B4" s="245" t="s">
        <v>387</v>
      </c>
      <c r="C4" s="246">
        <v>0.5</v>
      </c>
      <c r="D4" s="246">
        <v>180</v>
      </c>
      <c r="E4" s="246">
        <v>1</v>
      </c>
      <c r="F4" s="246">
        <v>1</v>
      </c>
      <c r="G4" s="243">
        <v>250</v>
      </c>
      <c r="H4" s="243">
        <f t="shared" si="0"/>
        <v>350</v>
      </c>
    </row>
    <row r="5" spans="2:8" x14ac:dyDescent="0.3">
      <c r="B5" s="245" t="s">
        <v>388</v>
      </c>
      <c r="C5" s="246">
        <v>4</v>
      </c>
      <c r="D5" s="246">
        <v>180</v>
      </c>
      <c r="E5" s="246">
        <v>1</v>
      </c>
      <c r="F5" s="246">
        <v>3</v>
      </c>
      <c r="G5" s="247">
        <v>30</v>
      </c>
      <c r="H5" s="243">
        <f t="shared" si="0"/>
        <v>390</v>
      </c>
    </row>
    <row r="6" spans="2:8" x14ac:dyDescent="0.3">
      <c r="B6" s="245" t="s">
        <v>389</v>
      </c>
      <c r="C6" s="246">
        <v>0</v>
      </c>
      <c r="D6" s="246">
        <v>0</v>
      </c>
      <c r="E6" s="246">
        <v>1</v>
      </c>
      <c r="F6" s="246">
        <v>2</v>
      </c>
      <c r="G6" s="243">
        <v>100</v>
      </c>
      <c r="H6" s="243">
        <f t="shared" si="0"/>
        <v>400</v>
      </c>
    </row>
    <row r="7" spans="2:8" x14ac:dyDescent="0.3">
      <c r="B7" s="245" t="s">
        <v>390</v>
      </c>
      <c r="C7" s="248">
        <v>4</v>
      </c>
      <c r="D7" s="248">
        <v>180</v>
      </c>
      <c r="E7" s="248">
        <v>1</v>
      </c>
      <c r="F7" s="248">
        <v>3</v>
      </c>
      <c r="G7" s="243">
        <v>40</v>
      </c>
      <c r="H7" s="243">
        <f t="shared" si="0"/>
        <v>420</v>
      </c>
    </row>
    <row r="9" spans="2:8" x14ac:dyDescent="0.3">
      <c r="B9" s="249" t="s">
        <v>391</v>
      </c>
      <c r="C9" s="250">
        <v>1.5</v>
      </c>
      <c r="D9" s="250">
        <v>180</v>
      </c>
      <c r="E9" s="248">
        <v>1</v>
      </c>
      <c r="F9" s="246">
        <v>2</v>
      </c>
      <c r="G9" s="243">
        <v>100</v>
      </c>
      <c r="H9" s="243">
        <f>E9*F9*(G9+100)</f>
        <v>400</v>
      </c>
    </row>
    <row r="10" spans="2:8" x14ac:dyDescent="0.3">
      <c r="B10" s="251" t="s">
        <v>392</v>
      </c>
      <c r="C10" s="252">
        <v>3</v>
      </c>
      <c r="D10" s="252">
        <v>180</v>
      </c>
      <c r="E10" s="248">
        <v>1</v>
      </c>
      <c r="F10" s="248">
        <v>3</v>
      </c>
      <c r="G10" s="243">
        <v>50</v>
      </c>
      <c r="H10" s="243">
        <f t="shared" ref="H10:H21" si="1">E10*F10*(G10+100)</f>
        <v>450</v>
      </c>
    </row>
    <row r="11" spans="2:8" x14ac:dyDescent="0.3">
      <c r="B11" s="249" t="s">
        <v>393</v>
      </c>
      <c r="C11" s="253">
        <v>0.5</v>
      </c>
      <c r="D11" s="253">
        <v>180</v>
      </c>
      <c r="E11" s="248">
        <v>3</v>
      </c>
      <c r="F11" s="248">
        <v>1</v>
      </c>
      <c r="G11" s="243">
        <v>50</v>
      </c>
      <c r="H11" s="243">
        <f>E11*F11*(G11+100)</f>
        <v>450</v>
      </c>
    </row>
    <row r="12" spans="2:8" x14ac:dyDescent="0.3">
      <c r="B12" s="249" t="s">
        <v>394</v>
      </c>
      <c r="C12" s="254">
        <v>4</v>
      </c>
      <c r="D12" s="254">
        <v>45</v>
      </c>
      <c r="E12" s="248">
        <v>2</v>
      </c>
      <c r="F12" s="248">
        <v>1</v>
      </c>
      <c r="G12" s="243">
        <v>0</v>
      </c>
      <c r="H12" s="243">
        <f t="shared" si="1"/>
        <v>200</v>
      </c>
    </row>
    <row r="13" spans="2:8" x14ac:dyDescent="0.3">
      <c r="B13" s="249" t="s">
        <v>394</v>
      </c>
      <c r="C13" s="254">
        <v>6</v>
      </c>
      <c r="D13" s="254">
        <v>45</v>
      </c>
      <c r="E13" s="248">
        <v>1</v>
      </c>
      <c r="F13" s="248">
        <v>2</v>
      </c>
      <c r="G13" s="243">
        <v>5</v>
      </c>
      <c r="H13" s="243">
        <f t="shared" si="1"/>
        <v>210</v>
      </c>
    </row>
    <row r="14" spans="2:8" x14ac:dyDescent="0.3">
      <c r="B14" s="249" t="s">
        <v>395</v>
      </c>
      <c r="C14" s="255">
        <v>4</v>
      </c>
      <c r="D14" s="255">
        <v>90</v>
      </c>
      <c r="E14" s="248">
        <v>2</v>
      </c>
      <c r="F14" s="248">
        <v>4</v>
      </c>
      <c r="G14" s="243">
        <v>0</v>
      </c>
      <c r="H14" s="243">
        <f t="shared" si="1"/>
        <v>800</v>
      </c>
    </row>
    <row r="15" spans="2:8" x14ac:dyDescent="0.3">
      <c r="B15" s="249" t="s">
        <v>396</v>
      </c>
      <c r="C15" s="255">
        <v>0.5</v>
      </c>
      <c r="D15" s="255">
        <v>180</v>
      </c>
      <c r="E15" s="248">
        <v>1</v>
      </c>
      <c r="F15" s="248">
        <v>1</v>
      </c>
      <c r="G15" s="243">
        <v>150</v>
      </c>
      <c r="H15" s="243">
        <f t="shared" si="1"/>
        <v>250</v>
      </c>
    </row>
    <row r="16" spans="2:8" x14ac:dyDescent="0.3">
      <c r="B16" s="249" t="s">
        <v>397</v>
      </c>
      <c r="C16" s="242">
        <v>3.5</v>
      </c>
      <c r="D16" s="242">
        <v>90</v>
      </c>
      <c r="E16" s="248">
        <v>1</v>
      </c>
      <c r="F16" s="248">
        <v>3</v>
      </c>
      <c r="G16" s="243">
        <v>50</v>
      </c>
      <c r="H16" s="243">
        <f t="shared" si="1"/>
        <v>450</v>
      </c>
    </row>
    <row r="17" spans="2:8" x14ac:dyDescent="0.3">
      <c r="B17" s="249" t="s">
        <v>398</v>
      </c>
      <c r="C17" s="256">
        <v>3</v>
      </c>
      <c r="D17" s="256">
        <v>180</v>
      </c>
      <c r="E17" s="248">
        <v>1</v>
      </c>
      <c r="F17" s="248">
        <v>2</v>
      </c>
      <c r="G17" s="243">
        <v>150</v>
      </c>
      <c r="H17" s="243">
        <f t="shared" si="1"/>
        <v>500</v>
      </c>
    </row>
    <row r="18" spans="2:8" x14ac:dyDescent="0.3">
      <c r="B18" s="249" t="s">
        <v>399</v>
      </c>
      <c r="C18" s="256">
        <v>0</v>
      </c>
      <c r="D18" s="256">
        <v>0</v>
      </c>
      <c r="E18" s="248">
        <v>1</v>
      </c>
      <c r="F18" s="248">
        <v>2</v>
      </c>
      <c r="G18" s="243">
        <v>150</v>
      </c>
      <c r="H18" s="243">
        <f t="shared" si="1"/>
        <v>500</v>
      </c>
    </row>
    <row r="19" spans="2:8" x14ac:dyDescent="0.3">
      <c r="B19" s="249" t="s">
        <v>400</v>
      </c>
      <c r="C19" s="255">
        <v>2</v>
      </c>
      <c r="D19" s="255">
        <v>180</v>
      </c>
      <c r="E19" s="248">
        <v>1</v>
      </c>
      <c r="F19" s="248">
        <v>3</v>
      </c>
      <c r="G19" s="243">
        <v>70</v>
      </c>
      <c r="H19" s="243">
        <f t="shared" si="1"/>
        <v>510</v>
      </c>
    </row>
    <row r="20" spans="2:8" x14ac:dyDescent="0.3">
      <c r="B20" s="249" t="s">
        <v>401</v>
      </c>
      <c r="C20" s="242">
        <v>3.5</v>
      </c>
      <c r="D20" s="242">
        <v>90</v>
      </c>
      <c r="E20" s="248">
        <v>1</v>
      </c>
      <c r="F20" s="248">
        <v>3</v>
      </c>
      <c r="G20" s="243">
        <v>50</v>
      </c>
      <c r="H20" s="243">
        <f t="shared" si="1"/>
        <v>450</v>
      </c>
    </row>
    <row r="21" spans="2:8" x14ac:dyDescent="0.3">
      <c r="B21" s="249" t="s">
        <v>402</v>
      </c>
      <c r="C21" s="256">
        <v>3</v>
      </c>
      <c r="D21" s="256">
        <v>180</v>
      </c>
      <c r="E21" s="248">
        <v>1</v>
      </c>
      <c r="F21" s="248">
        <v>2</v>
      </c>
      <c r="G21" s="243">
        <v>150</v>
      </c>
      <c r="H21" s="243">
        <f t="shared" si="1"/>
        <v>500</v>
      </c>
    </row>
    <row r="22" spans="2:8" x14ac:dyDescent="0.3">
      <c r="B22" s="251" t="s">
        <v>403</v>
      </c>
      <c r="C22" s="252">
        <v>8</v>
      </c>
      <c r="D22" s="252">
        <v>180</v>
      </c>
      <c r="G22" s="243"/>
      <c r="H22" s="243"/>
    </row>
    <row r="24" spans="2:8" x14ac:dyDescent="0.3">
      <c r="B24" s="257" t="s">
        <v>404</v>
      </c>
      <c r="C24" s="258">
        <v>4</v>
      </c>
      <c r="D24" s="258">
        <v>180</v>
      </c>
      <c r="E24" s="259">
        <v>3</v>
      </c>
      <c r="F24" s="259">
        <v>3</v>
      </c>
      <c r="G24" s="260">
        <v>0</v>
      </c>
      <c r="H24" s="260">
        <f t="shared" ref="H24:H25" si="2">E24*F24*(G24+100)</f>
        <v>900</v>
      </c>
    </row>
    <row r="25" spans="2:8" x14ac:dyDescent="0.3">
      <c r="B25" s="257" t="s">
        <v>405</v>
      </c>
      <c r="C25" s="258">
        <v>3</v>
      </c>
      <c r="D25" s="258">
        <v>180</v>
      </c>
      <c r="E25" s="259">
        <v>3</v>
      </c>
      <c r="F25" s="259">
        <v>3</v>
      </c>
      <c r="G25" s="260">
        <v>0</v>
      </c>
      <c r="H25" s="260">
        <f t="shared" si="2"/>
        <v>900</v>
      </c>
    </row>
    <row r="26" spans="2:8" x14ac:dyDescent="0.3">
      <c r="B26" s="263" t="s">
        <v>406</v>
      </c>
      <c r="C26" s="261"/>
      <c r="D26" s="261"/>
      <c r="E26" s="261"/>
      <c r="F26" s="261"/>
      <c r="G26" s="261"/>
      <c r="H26" s="261"/>
    </row>
    <row r="27" spans="2:8" x14ac:dyDescent="0.3">
      <c r="B27" s="257" t="s">
        <v>407</v>
      </c>
      <c r="C27" s="261"/>
      <c r="D27" s="261"/>
      <c r="E27" s="259">
        <v>1</v>
      </c>
      <c r="F27" s="259">
        <v>4</v>
      </c>
      <c r="G27" s="260">
        <v>100</v>
      </c>
      <c r="H27" s="260">
        <f t="shared" ref="H27:H31" si="3">E27*F27*(G27+100)</f>
        <v>800</v>
      </c>
    </row>
    <row r="28" spans="2:8" x14ac:dyDescent="0.3">
      <c r="B28" s="257" t="s">
        <v>408</v>
      </c>
      <c r="C28" s="261"/>
      <c r="D28" s="261"/>
      <c r="E28" s="259">
        <v>1</v>
      </c>
      <c r="F28" s="259">
        <v>4</v>
      </c>
      <c r="G28" s="260">
        <v>100</v>
      </c>
      <c r="H28" s="260">
        <f t="shared" si="3"/>
        <v>800</v>
      </c>
    </row>
    <row r="29" spans="2:8" x14ac:dyDescent="0.3">
      <c r="B29" s="257" t="s">
        <v>409</v>
      </c>
      <c r="C29" s="261"/>
      <c r="D29" s="261"/>
      <c r="E29" s="259">
        <v>1</v>
      </c>
      <c r="F29" s="259">
        <v>2</v>
      </c>
      <c r="G29" s="260">
        <v>300</v>
      </c>
      <c r="H29" s="260">
        <f t="shared" si="3"/>
        <v>800</v>
      </c>
    </row>
    <row r="30" spans="2:8" x14ac:dyDescent="0.3">
      <c r="B30" s="257" t="s">
        <v>410</v>
      </c>
      <c r="C30" s="261"/>
      <c r="D30" s="261"/>
      <c r="E30" s="259">
        <v>3</v>
      </c>
      <c r="F30" s="259">
        <v>3</v>
      </c>
      <c r="G30" s="260">
        <v>0</v>
      </c>
      <c r="H30" s="260">
        <f t="shared" si="3"/>
        <v>900</v>
      </c>
    </row>
    <row r="31" spans="2:8" x14ac:dyDescent="0.3">
      <c r="B31" s="257" t="s">
        <v>411</v>
      </c>
      <c r="C31" s="261"/>
      <c r="D31" s="261"/>
      <c r="E31" s="259">
        <v>1</v>
      </c>
      <c r="F31" s="259">
        <v>2</v>
      </c>
      <c r="G31" s="260">
        <v>300</v>
      </c>
      <c r="H31" s="260">
        <f t="shared" si="3"/>
        <v>800</v>
      </c>
    </row>
    <row r="32" spans="2:8" x14ac:dyDescent="0.3">
      <c r="B32" s="263" t="s">
        <v>412</v>
      </c>
      <c r="C32" s="261"/>
      <c r="D32" s="261"/>
      <c r="E32" s="261"/>
      <c r="F32" s="261"/>
      <c r="G32" s="261"/>
      <c r="H32" s="261"/>
    </row>
    <row r="33" spans="2:8" x14ac:dyDescent="0.3">
      <c r="B33" s="257" t="s">
        <v>413</v>
      </c>
      <c r="C33" s="261"/>
      <c r="D33" s="261"/>
      <c r="E33" s="259">
        <v>1</v>
      </c>
      <c r="F33" s="259">
        <v>4</v>
      </c>
      <c r="G33" s="260">
        <v>100</v>
      </c>
      <c r="H33" s="260">
        <f t="shared" ref="H33:H34" si="4">E33*F33*(G33+100)</f>
        <v>800</v>
      </c>
    </row>
    <row r="34" spans="2:8" x14ac:dyDescent="0.3">
      <c r="B34" s="257" t="s">
        <v>414</v>
      </c>
      <c r="C34" s="261"/>
      <c r="D34" s="261"/>
      <c r="E34" s="259">
        <v>2</v>
      </c>
      <c r="F34" s="259">
        <v>6</v>
      </c>
      <c r="G34" s="260">
        <v>0</v>
      </c>
      <c r="H34" s="260">
        <f t="shared" si="4"/>
        <v>1200</v>
      </c>
    </row>
    <row r="35" spans="2:8" x14ac:dyDescent="0.3">
      <c r="B35" s="263" t="s">
        <v>415</v>
      </c>
      <c r="C35" s="261"/>
      <c r="D35" s="261"/>
      <c r="E35" s="261"/>
      <c r="F35" s="261"/>
      <c r="G35" s="261"/>
      <c r="H35" s="261"/>
    </row>
  </sheetData>
  <phoneticPr fontId="3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9"/>
  <sheetViews>
    <sheetView workbookViewId="0">
      <pane xSplit="2" ySplit="4" topLeftCell="K5" activePane="bottomRight" state="frozen"/>
      <selection pane="topRight" activeCell="C1" sqref="C1"/>
      <selection pane="bottomLeft" activeCell="A5" sqref="A5"/>
      <selection pane="bottomRight" activeCell="B17" sqref="A1:AD29"/>
    </sheetView>
  </sheetViews>
  <sheetFormatPr defaultColWidth="9" defaultRowHeight="16.5" customHeight="1" x14ac:dyDescent="0.3"/>
  <cols>
    <col min="1" max="1" width="8.625" bestFit="1" customWidth="1"/>
    <col min="2" max="2" width="28.125" style="1" bestFit="1" customWidth="1"/>
    <col min="3" max="3" width="21.125" style="1" customWidth="1"/>
    <col min="4" max="4" width="24.625" style="1" hidden="1" customWidth="1"/>
    <col min="5" max="5" width="19.875" style="1" hidden="1" customWidth="1"/>
    <col min="6" max="6" width="13.75" style="1" hidden="1" customWidth="1"/>
    <col min="7" max="7" width="14.25" style="1" hidden="1" customWidth="1"/>
    <col min="8" max="8" width="22.625" style="1" hidden="1" customWidth="1"/>
    <col min="9" max="9" width="24.125" style="1" hidden="1" customWidth="1"/>
    <col min="10" max="10" width="16.125" style="1" hidden="1" customWidth="1"/>
    <col min="11" max="11" width="19.25" style="1" hidden="1" customWidth="1"/>
    <col min="12" max="12" width="24.125" style="1" hidden="1" customWidth="1"/>
    <col min="13" max="13" width="17.375" style="1" hidden="1" customWidth="1"/>
    <col min="14" max="15" width="21" style="1" hidden="1" customWidth="1"/>
    <col min="16" max="16" width="19.625" style="1" bestFit="1" customWidth="1"/>
    <col min="17" max="17" width="21.25" style="1" bestFit="1" customWidth="1"/>
    <col min="18" max="18" width="25.5" style="1" hidden="1" customWidth="1"/>
    <col min="19" max="19" width="19.625" style="1" bestFit="1" customWidth="1"/>
    <col min="20" max="20" width="16.25" style="1" bestFit="1" customWidth="1"/>
    <col min="21" max="22" width="13.5" style="1" bestFit="1" customWidth="1"/>
    <col min="23" max="23" width="13" style="1" bestFit="1" customWidth="1"/>
    <col min="24" max="24" width="11.5" style="1" bestFit="1" customWidth="1"/>
    <col min="25" max="27" width="10" style="1" bestFit="1" customWidth="1"/>
    <col min="28" max="28" width="14.5" style="1" bestFit="1" customWidth="1"/>
    <col min="29" max="29" width="11.5" style="1" bestFit="1" customWidth="1"/>
    <col min="30" max="30" width="8.5" bestFit="1" customWidth="1"/>
  </cols>
  <sheetData>
    <row r="1" spans="1:30" ht="16.5" customHeight="1" x14ac:dyDescent="0.3">
      <c r="A1" s="61" t="s">
        <v>129</v>
      </c>
      <c r="B1" s="2" t="s">
        <v>129</v>
      </c>
      <c r="C1" s="3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1">
        <v>3289</v>
      </c>
      <c r="Q1" s="1" t="s">
        <v>432</v>
      </c>
      <c r="R1" s="63"/>
      <c r="S1" s="63" t="s">
        <v>441</v>
      </c>
      <c r="T1" s="63"/>
      <c r="U1" s="63"/>
      <c r="V1" s="63"/>
      <c r="W1" s="63"/>
      <c r="X1" s="63"/>
      <c r="Y1" s="63" t="s">
        <v>443</v>
      </c>
      <c r="Z1" s="63"/>
      <c r="AA1" s="63"/>
      <c r="AB1" s="63"/>
      <c r="AC1" s="63"/>
      <c r="AD1" s="63"/>
    </row>
    <row r="2" spans="1:30" ht="16.5" customHeight="1" x14ac:dyDescent="0.3">
      <c r="A2" s="6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/>
      <c r="G2" s="4" t="s">
        <v>132</v>
      </c>
      <c r="H2" s="4" t="s">
        <v>133</v>
      </c>
      <c r="I2" s="4" t="s">
        <v>5</v>
      </c>
      <c r="J2" s="4" t="s">
        <v>214</v>
      </c>
      <c r="K2" s="4" t="s">
        <v>6</v>
      </c>
      <c r="L2" s="4" t="s">
        <v>7</v>
      </c>
      <c r="M2" s="4"/>
      <c r="N2" s="4"/>
      <c r="O2" s="4"/>
      <c r="P2" s="4" t="s">
        <v>8</v>
      </c>
      <c r="Q2" s="4" t="s">
        <v>9</v>
      </c>
      <c r="R2" s="4" t="s">
        <v>10</v>
      </c>
      <c r="S2" s="4" t="s">
        <v>11</v>
      </c>
      <c r="T2" s="65" t="s">
        <v>12</v>
      </c>
      <c r="U2" s="65" t="s">
        <v>13</v>
      </c>
      <c r="V2" s="65" t="s">
        <v>14</v>
      </c>
      <c r="W2" s="65" t="s">
        <v>15</v>
      </c>
      <c r="X2" s="65" t="s">
        <v>16</v>
      </c>
      <c r="Y2" s="65" t="s">
        <v>17</v>
      </c>
      <c r="Z2" s="65" t="s">
        <v>18</v>
      </c>
      <c r="AA2" s="65" t="s">
        <v>19</v>
      </c>
      <c r="AB2" s="65" t="s">
        <v>20</v>
      </c>
      <c r="AC2" s="65" t="s">
        <v>21</v>
      </c>
      <c r="AD2" s="65" t="s">
        <v>22</v>
      </c>
    </row>
    <row r="3" spans="1:30" ht="16.5" customHeight="1" x14ac:dyDescent="0.3">
      <c r="A3" s="66" t="s">
        <v>23</v>
      </c>
      <c r="B3" s="66" t="s">
        <v>23</v>
      </c>
      <c r="C3" s="66" t="s">
        <v>24</v>
      </c>
      <c r="D3" s="66" t="s">
        <v>259</v>
      </c>
      <c r="E3" s="66" t="s">
        <v>259</v>
      </c>
      <c r="F3" s="66" t="s">
        <v>259</v>
      </c>
      <c r="G3" s="66" t="s">
        <v>24</v>
      </c>
      <c r="H3" s="66" t="s">
        <v>24</v>
      </c>
      <c r="I3" s="66" t="s">
        <v>24</v>
      </c>
      <c r="J3" s="66" t="s">
        <v>24</v>
      </c>
      <c r="K3" s="66" t="s">
        <v>24</v>
      </c>
      <c r="L3" s="66" t="s">
        <v>24</v>
      </c>
      <c r="M3" s="66" t="s">
        <v>259</v>
      </c>
      <c r="N3" s="66" t="s">
        <v>259</v>
      </c>
      <c r="O3" s="66" t="s">
        <v>259</v>
      </c>
      <c r="P3" s="66" t="s">
        <v>24</v>
      </c>
      <c r="Q3" s="66" t="s">
        <v>24</v>
      </c>
      <c r="R3" s="66" t="s">
        <v>24</v>
      </c>
      <c r="S3" s="66" t="s">
        <v>24</v>
      </c>
      <c r="T3" s="66" t="s">
        <v>24</v>
      </c>
      <c r="U3" s="66" t="s">
        <v>24</v>
      </c>
      <c r="V3" s="66" t="s">
        <v>24</v>
      </c>
      <c r="W3" s="66" t="s">
        <v>24</v>
      </c>
      <c r="X3" s="66" t="s">
        <v>24</v>
      </c>
      <c r="Y3" s="66" t="s">
        <v>24</v>
      </c>
      <c r="Z3" s="66" t="s">
        <v>24</v>
      </c>
      <c r="AA3" s="66" t="s">
        <v>24</v>
      </c>
      <c r="AB3" s="66" t="s">
        <v>24</v>
      </c>
      <c r="AC3" s="66" t="s">
        <v>24</v>
      </c>
      <c r="AD3" s="66" t="s">
        <v>24</v>
      </c>
    </row>
    <row r="4" spans="1:30" ht="40.5" customHeight="1" x14ac:dyDescent="0.3">
      <c r="A4" s="67" t="s">
        <v>25</v>
      </c>
      <c r="B4" s="67" t="s">
        <v>26</v>
      </c>
      <c r="C4" s="67" t="s">
        <v>27</v>
      </c>
      <c r="D4" s="67" t="s">
        <v>27</v>
      </c>
      <c r="E4" s="67" t="s">
        <v>27</v>
      </c>
      <c r="F4" s="67" t="s">
        <v>27</v>
      </c>
      <c r="G4" s="67" t="s">
        <v>27</v>
      </c>
      <c r="H4" s="67" t="s">
        <v>204</v>
      </c>
      <c r="I4" s="68" t="s">
        <v>205</v>
      </c>
      <c r="J4" s="68" t="s">
        <v>28</v>
      </c>
      <c r="K4" s="68" t="s">
        <v>27</v>
      </c>
      <c r="L4" s="68" t="s">
        <v>205</v>
      </c>
      <c r="M4" s="67" t="s">
        <v>27</v>
      </c>
      <c r="N4" s="67" t="s">
        <v>27</v>
      </c>
      <c r="O4" s="67" t="s">
        <v>27</v>
      </c>
      <c r="P4" s="67" t="s">
        <v>28</v>
      </c>
      <c r="Q4" s="67" t="s">
        <v>28</v>
      </c>
      <c r="R4" s="67" t="s">
        <v>28</v>
      </c>
      <c r="S4" s="67" t="s">
        <v>28</v>
      </c>
      <c r="T4" s="67" t="s">
        <v>28</v>
      </c>
      <c r="U4" s="67" t="s">
        <v>28</v>
      </c>
      <c r="V4" s="67" t="s">
        <v>28</v>
      </c>
      <c r="W4" s="67" t="s">
        <v>28</v>
      </c>
      <c r="X4" s="67" t="s">
        <v>28</v>
      </c>
      <c r="Y4" s="67" t="s">
        <v>28</v>
      </c>
      <c r="Z4" s="67" t="s">
        <v>28</v>
      </c>
      <c r="AA4" s="67" t="s">
        <v>28</v>
      </c>
      <c r="AB4" s="67" t="s">
        <v>28</v>
      </c>
      <c r="AC4" s="67" t="s">
        <v>28</v>
      </c>
      <c r="AD4" s="67" t="s">
        <v>28</v>
      </c>
    </row>
    <row r="5" spans="1:30" ht="16.5" customHeight="1" x14ac:dyDescent="0.3">
      <c r="A5" s="69" t="s">
        <v>29</v>
      </c>
      <c r="B5" s="69" t="s">
        <v>30</v>
      </c>
      <c r="C5" s="70" t="s">
        <v>31</v>
      </c>
      <c r="D5" s="69" t="s">
        <v>32</v>
      </c>
      <c r="E5" s="69" t="s">
        <v>134</v>
      </c>
      <c r="F5" s="69" t="s">
        <v>215</v>
      </c>
      <c r="G5" s="69" t="s">
        <v>135</v>
      </c>
      <c r="H5" s="71" t="s">
        <v>136</v>
      </c>
      <c r="I5" s="70" t="s">
        <v>137</v>
      </c>
      <c r="J5" s="70" t="s">
        <v>216</v>
      </c>
      <c r="K5" s="70" t="s">
        <v>33</v>
      </c>
      <c r="L5" s="70" t="s">
        <v>34</v>
      </c>
      <c r="M5" s="71" t="s">
        <v>35</v>
      </c>
      <c r="N5" s="71" t="s">
        <v>36</v>
      </c>
      <c r="O5" s="71" t="s">
        <v>37</v>
      </c>
      <c r="P5" s="72" t="s">
        <v>38</v>
      </c>
      <c r="Q5" s="72" t="s">
        <v>39</v>
      </c>
      <c r="R5" s="72" t="s">
        <v>40</v>
      </c>
      <c r="S5" s="72" t="s">
        <v>298</v>
      </c>
      <c r="T5" s="96" t="s">
        <v>42</v>
      </c>
      <c r="U5" s="72" t="s">
        <v>43</v>
      </c>
      <c r="V5" s="97" t="s">
        <v>44</v>
      </c>
      <c r="W5" s="99" t="s">
        <v>45</v>
      </c>
      <c r="X5" s="73" t="s">
        <v>46</v>
      </c>
      <c r="Y5" s="71" t="s">
        <v>47</v>
      </c>
      <c r="Z5" s="71" t="s">
        <v>48</v>
      </c>
      <c r="AA5" s="71" t="s">
        <v>49</v>
      </c>
      <c r="AB5" s="72" t="s">
        <v>50</v>
      </c>
      <c r="AC5" s="72" t="s">
        <v>51</v>
      </c>
      <c r="AD5" s="72" t="s">
        <v>52</v>
      </c>
    </row>
    <row r="6" spans="1:30" s="5" customFormat="1" ht="16.5" customHeight="1" x14ac:dyDescent="0.3">
      <c r="A6" s="74" t="b">
        <v>1</v>
      </c>
      <c r="B6" s="75" t="s">
        <v>273</v>
      </c>
      <c r="C6" s="76">
        <v>100701001</v>
      </c>
      <c r="D6" s="77">
        <v>54001</v>
      </c>
      <c r="E6" s="77">
        <v>55001</v>
      </c>
      <c r="F6" s="74">
        <v>530905001</v>
      </c>
      <c r="G6" s="76">
        <v>155101001</v>
      </c>
      <c r="H6" s="75" t="s">
        <v>218</v>
      </c>
      <c r="I6" s="266" t="s">
        <v>427</v>
      </c>
      <c r="J6" s="266">
        <v>15</v>
      </c>
      <c r="K6" s="266">
        <v>10</v>
      </c>
      <c r="L6" s="267" t="s">
        <v>139</v>
      </c>
      <c r="M6" s="74" t="s">
        <v>138</v>
      </c>
      <c r="N6" s="74">
        <v>530905001</v>
      </c>
      <c r="O6" s="74" t="s">
        <v>138</v>
      </c>
      <c r="P6" s="74">
        <v>1525</v>
      </c>
      <c r="Q6" s="74">
        <v>410</v>
      </c>
      <c r="R6" s="74">
        <v>0</v>
      </c>
      <c r="S6" s="74">
        <v>166</v>
      </c>
      <c r="T6" s="271">
        <f>Simulator_Posion!G10</f>
        <v>113</v>
      </c>
      <c r="U6" s="78">
        <v>10.119999999999999</v>
      </c>
      <c r="V6" s="78">
        <v>180.20000000000002</v>
      </c>
      <c r="W6" s="78">
        <v>3.9760000000000004</v>
      </c>
      <c r="X6" s="78">
        <v>1.0129999999999999</v>
      </c>
      <c r="Y6" s="78">
        <v>312</v>
      </c>
      <c r="Z6" s="78">
        <v>2.0750000000000002</v>
      </c>
      <c r="AA6" s="78">
        <v>100.87</v>
      </c>
      <c r="AB6" s="74">
        <v>2.9529999999999998</v>
      </c>
      <c r="AC6" s="98">
        <v>8.3000000000000007</v>
      </c>
      <c r="AD6" s="74">
        <v>0.1</v>
      </c>
    </row>
    <row r="7" spans="1:30" s="5" customFormat="1" ht="16.5" customHeight="1" x14ac:dyDescent="0.3">
      <c r="A7" s="74" t="b">
        <v>1</v>
      </c>
      <c r="B7" s="75" t="s">
        <v>274</v>
      </c>
      <c r="C7" s="79">
        <f t="shared" ref="C7:E22" si="0">C6+1</f>
        <v>100701002</v>
      </c>
      <c r="D7" s="80">
        <f t="shared" si="0"/>
        <v>54002</v>
      </c>
      <c r="E7" s="80">
        <f>E6+1</f>
        <v>55002</v>
      </c>
      <c r="F7" s="74">
        <v>530905002</v>
      </c>
      <c r="G7" s="79">
        <v>155101002</v>
      </c>
      <c r="H7" s="75" t="s">
        <v>155</v>
      </c>
      <c r="I7" s="266" t="s">
        <v>427</v>
      </c>
      <c r="J7" s="266">
        <v>15</v>
      </c>
      <c r="K7" s="266">
        <v>10</v>
      </c>
      <c r="L7" s="267" t="s">
        <v>139</v>
      </c>
      <c r="M7" s="74" t="s">
        <v>138</v>
      </c>
      <c r="N7" s="74">
        <v>530905002</v>
      </c>
      <c r="O7" s="74" t="s">
        <v>138</v>
      </c>
      <c r="P7" s="74">
        <f>INT(P$6*0.7)</f>
        <v>1067</v>
      </c>
      <c r="Q7" s="74">
        <f>INT(Q$6*0.9)</f>
        <v>369</v>
      </c>
      <c r="R7" s="74">
        <f>R6</f>
        <v>0</v>
      </c>
      <c r="S7" s="74">
        <f>INT(S$6*Simulator_Posion!D11)</f>
        <v>189</v>
      </c>
      <c r="T7" s="271">
        <f>Simulator_Posion!G11</f>
        <v>102</v>
      </c>
      <c r="U7" s="78">
        <f>U$6*0.95</f>
        <v>9.613999999999999</v>
      </c>
      <c r="V7" s="78">
        <f>V$6*1.004</f>
        <v>180.92080000000001</v>
      </c>
      <c r="W7" s="78">
        <f>W$6*1.004</f>
        <v>3.9919040000000003</v>
      </c>
      <c r="X7" s="78">
        <f>X$6*0.95</f>
        <v>0.96234999999999982</v>
      </c>
      <c r="Y7" s="78">
        <f>INT(Y$6*1.05)</f>
        <v>327</v>
      </c>
      <c r="Z7" s="78">
        <f>Z$6*0.95</f>
        <v>1.9712500000000002</v>
      </c>
      <c r="AA7" s="78">
        <f>AA$6*0.95</f>
        <v>95.826499999999996</v>
      </c>
      <c r="AB7" s="78">
        <f>AB$6*0.95</f>
        <v>2.8053499999999998</v>
      </c>
      <c r="AC7" s="74">
        <f>$AC$6-0.1</f>
        <v>8.2000000000000011</v>
      </c>
      <c r="AD7" s="74">
        <f>AD6</f>
        <v>0.1</v>
      </c>
    </row>
    <row r="8" spans="1:30" s="5" customFormat="1" ht="16.5" customHeight="1" x14ac:dyDescent="0.3">
      <c r="A8" s="74" t="b">
        <v>1</v>
      </c>
      <c r="B8" s="75" t="s">
        <v>276</v>
      </c>
      <c r="C8" s="79">
        <f t="shared" si="0"/>
        <v>100701003</v>
      </c>
      <c r="D8" s="80">
        <f t="shared" si="0"/>
        <v>54003</v>
      </c>
      <c r="E8" s="80">
        <f t="shared" si="0"/>
        <v>55003</v>
      </c>
      <c r="F8" s="74">
        <v>530905003</v>
      </c>
      <c r="G8" s="79">
        <v>155101003</v>
      </c>
      <c r="H8" s="75" t="s">
        <v>156</v>
      </c>
      <c r="I8" s="266" t="s">
        <v>427</v>
      </c>
      <c r="J8" s="266">
        <v>15</v>
      </c>
      <c r="K8" s="266">
        <v>10</v>
      </c>
      <c r="L8" s="267" t="s">
        <v>139</v>
      </c>
      <c r="M8" s="74" t="s">
        <v>138</v>
      </c>
      <c r="N8" s="74">
        <v>530905003</v>
      </c>
      <c r="O8" s="74" t="s">
        <v>138</v>
      </c>
      <c r="P8" s="74">
        <f>INT(P$6*0.95)</f>
        <v>1448</v>
      </c>
      <c r="Q8" s="74">
        <f>INT(Q$6*1.03)</f>
        <v>422</v>
      </c>
      <c r="R8" s="74">
        <f>R7</f>
        <v>0</v>
      </c>
      <c r="S8" s="74">
        <f>INT(S$6*Simulator_Posion!D12)</f>
        <v>182</v>
      </c>
      <c r="T8" s="271">
        <f>Simulator_Posion!G12</f>
        <v>80</v>
      </c>
      <c r="U8" s="78">
        <f>U$6*1.021</f>
        <v>10.332519999999999</v>
      </c>
      <c r="V8" s="78">
        <f>V$6*1.021</f>
        <v>183.98419999999999</v>
      </c>
      <c r="W8" s="78">
        <f>W$6*0.99</f>
        <v>3.9362400000000002</v>
      </c>
      <c r="X8" s="78">
        <f>X$6*1.021</f>
        <v>1.0342729999999998</v>
      </c>
      <c r="Y8" s="78">
        <f>INT(Y$6*1.12)</f>
        <v>349</v>
      </c>
      <c r="Z8" s="78">
        <f>Z$6*1.021</f>
        <v>2.1185749999999999</v>
      </c>
      <c r="AA8" s="78">
        <f>AA$6*1.021</f>
        <v>102.98827</v>
      </c>
      <c r="AB8" s="78">
        <f>AB$6*1.021</f>
        <v>3.0150129999999997</v>
      </c>
      <c r="AC8" s="74">
        <f>$AC$6+0.1</f>
        <v>8.4</v>
      </c>
      <c r="AD8" s="74">
        <f>AD7</f>
        <v>0.1</v>
      </c>
    </row>
    <row r="9" spans="1:30" s="5" customFormat="1" ht="16.5" customHeight="1" x14ac:dyDescent="0.3">
      <c r="A9" s="74" t="b">
        <v>1</v>
      </c>
      <c r="B9" s="75" t="s">
        <v>278</v>
      </c>
      <c r="C9" s="79">
        <f t="shared" si="0"/>
        <v>100701004</v>
      </c>
      <c r="D9" s="80">
        <f t="shared" si="0"/>
        <v>54004</v>
      </c>
      <c r="E9" s="80">
        <f t="shared" si="0"/>
        <v>55004</v>
      </c>
      <c r="F9" s="74">
        <v>530905004</v>
      </c>
      <c r="G9" s="79">
        <v>155101004</v>
      </c>
      <c r="H9" s="75" t="s">
        <v>157</v>
      </c>
      <c r="I9" s="266" t="s">
        <v>427</v>
      </c>
      <c r="J9" s="266">
        <v>15</v>
      </c>
      <c r="K9" s="266">
        <v>10</v>
      </c>
      <c r="L9" s="267" t="s">
        <v>139</v>
      </c>
      <c r="M9" s="74" t="s">
        <v>138</v>
      </c>
      <c r="N9" s="74">
        <v>530905004</v>
      </c>
      <c r="O9" s="74" t="s">
        <v>138</v>
      </c>
      <c r="P9" s="74">
        <f>INT(P$6*1.03)</f>
        <v>1570</v>
      </c>
      <c r="Q9" s="74">
        <f>INT(Q$6*1.1)</f>
        <v>451</v>
      </c>
      <c r="R9" s="74">
        <f>R8</f>
        <v>0</v>
      </c>
      <c r="S9" s="74">
        <f>INT(S$6*Simulator_Posion!D13)</f>
        <v>172</v>
      </c>
      <c r="T9" s="271">
        <f>Simulator_Posion!G13</f>
        <v>100</v>
      </c>
      <c r="U9" s="78">
        <f>U$6*0.989</f>
        <v>10.008679999999998</v>
      </c>
      <c r="V9" s="78">
        <f>V$6*0.95</f>
        <v>171.19</v>
      </c>
      <c r="W9" s="78">
        <f>W$6*0.95</f>
        <v>3.7772000000000001</v>
      </c>
      <c r="X9" s="78">
        <f>X$6*0.989</f>
        <v>1.001857</v>
      </c>
      <c r="Y9" s="78">
        <f>INT(Y$6*0.9)</f>
        <v>280</v>
      </c>
      <c r="Z9" s="78">
        <f>Z$6*0.989</f>
        <v>2.0521750000000001</v>
      </c>
      <c r="AA9" s="78">
        <f>AA$6*0.989</f>
        <v>99.760429999999999</v>
      </c>
      <c r="AB9" s="78">
        <f>AB$6*0.989</f>
        <v>2.9205169999999998</v>
      </c>
      <c r="AC9" s="74">
        <f>$AC$6</f>
        <v>8.3000000000000007</v>
      </c>
      <c r="AD9" s="74">
        <f>AD8</f>
        <v>0.1</v>
      </c>
    </row>
    <row r="10" spans="1:30" s="5" customFormat="1" ht="16.5" customHeight="1" x14ac:dyDescent="0.3">
      <c r="A10" s="74" t="b">
        <v>1</v>
      </c>
      <c r="B10" s="75" t="s">
        <v>279</v>
      </c>
      <c r="C10" s="79">
        <f t="shared" si="0"/>
        <v>100701005</v>
      </c>
      <c r="D10" s="80">
        <f t="shared" si="0"/>
        <v>54005</v>
      </c>
      <c r="E10" s="80">
        <f t="shared" si="0"/>
        <v>55005</v>
      </c>
      <c r="F10" s="74">
        <v>530905005</v>
      </c>
      <c r="G10" s="79">
        <v>155101005</v>
      </c>
      <c r="H10" s="75" t="s">
        <v>158</v>
      </c>
      <c r="I10" s="266" t="s">
        <v>427</v>
      </c>
      <c r="J10" s="266">
        <v>15</v>
      </c>
      <c r="K10" s="266">
        <v>10</v>
      </c>
      <c r="L10" s="267" t="s">
        <v>139</v>
      </c>
      <c r="M10" s="74" t="s">
        <v>138</v>
      </c>
      <c r="N10" s="74">
        <v>530905005</v>
      </c>
      <c r="O10" s="74" t="s">
        <v>138</v>
      </c>
      <c r="P10" s="74">
        <f>INT(P$6*0.9)</f>
        <v>1372</v>
      </c>
      <c r="Q10" s="74">
        <f>INT(Q$6*0.95)</f>
        <v>389</v>
      </c>
      <c r="R10" s="74">
        <f>R9</f>
        <v>0</v>
      </c>
      <c r="S10" s="74">
        <f>INT(S$6*Simulator_Posion!D14)</f>
        <v>194</v>
      </c>
      <c r="T10" s="271">
        <f>Simulator_Posion!G14</f>
        <v>100</v>
      </c>
      <c r="U10" s="78">
        <f>U$6*1.004</f>
        <v>10.16048</v>
      </c>
      <c r="V10" s="78">
        <f>V$6*0.989</f>
        <v>178.21780000000001</v>
      </c>
      <c r="W10" s="78">
        <f>W$6*1.021</f>
        <v>4.0594960000000002</v>
      </c>
      <c r="X10" s="78">
        <f>X$6*0.86</f>
        <v>0.87117999999999995</v>
      </c>
      <c r="Y10" s="78">
        <f>INT(Y$6*0.8)</f>
        <v>249</v>
      </c>
      <c r="Z10" s="78">
        <f>Z$6*1.004</f>
        <v>2.0833000000000004</v>
      </c>
      <c r="AA10" s="78">
        <f>AA$6*1.004</f>
        <v>101.27348000000001</v>
      </c>
      <c r="AB10" s="78">
        <f>AB$6*1.004</f>
        <v>2.9648119999999998</v>
      </c>
      <c r="AC10" s="74">
        <f t="shared" ref="AC10:AC11" si="1">$AC$6</f>
        <v>8.3000000000000007</v>
      </c>
      <c r="AD10" s="74">
        <f>AD9</f>
        <v>0.1</v>
      </c>
    </row>
    <row r="11" spans="1:30" s="5" customFormat="1" ht="16.5" customHeight="1" x14ac:dyDescent="0.3">
      <c r="A11" s="74" t="b">
        <v>1</v>
      </c>
      <c r="B11" s="75" t="s">
        <v>281</v>
      </c>
      <c r="C11" s="79">
        <f t="shared" si="0"/>
        <v>100701006</v>
      </c>
      <c r="D11" s="80">
        <f t="shared" si="0"/>
        <v>54006</v>
      </c>
      <c r="E11" s="80">
        <f t="shared" si="0"/>
        <v>55006</v>
      </c>
      <c r="F11" s="74">
        <v>530905006</v>
      </c>
      <c r="G11" s="79">
        <v>155101006</v>
      </c>
      <c r="H11" s="75" t="s">
        <v>159</v>
      </c>
      <c r="I11" s="266" t="s">
        <v>427</v>
      </c>
      <c r="J11" s="266">
        <v>15</v>
      </c>
      <c r="K11" s="266">
        <v>10</v>
      </c>
      <c r="L11" s="267" t="s">
        <v>139</v>
      </c>
      <c r="M11" s="74" t="s">
        <v>138</v>
      </c>
      <c r="N11" s="74">
        <v>530905006</v>
      </c>
      <c r="O11" s="74" t="s">
        <v>138</v>
      </c>
      <c r="P11" s="74">
        <f>INT(P$6*0.89)</f>
        <v>1357</v>
      </c>
      <c r="Q11" s="74">
        <f>INT(Q$6*1.05)</f>
        <v>430</v>
      </c>
      <c r="R11" s="74">
        <f>R10</f>
        <v>0</v>
      </c>
      <c r="S11" s="74">
        <f>INT(S$6*Simulator_Posion!D15)</f>
        <v>172</v>
      </c>
      <c r="T11" s="271">
        <f>Simulator_Posion!G15</f>
        <v>96</v>
      </c>
      <c r="U11" s="78">
        <f>U$6*1.3</f>
        <v>13.155999999999999</v>
      </c>
      <c r="V11" s="78">
        <f>V$6*1.15</f>
        <v>207.23</v>
      </c>
      <c r="W11" s="78">
        <f>W$6*0.989</f>
        <v>3.9322640000000004</v>
      </c>
      <c r="X11" s="78">
        <f>X$6*0.99</f>
        <v>1.0028699999999999</v>
      </c>
      <c r="Y11" s="78">
        <f>INT(Y$6*0.92)</f>
        <v>287</v>
      </c>
      <c r="Z11" s="78">
        <f>Z$6*0.99</f>
        <v>2.0542500000000001</v>
      </c>
      <c r="AA11" s="78">
        <f>AA$6*0.99</f>
        <v>99.8613</v>
      </c>
      <c r="AB11" s="78">
        <f>AB$6*0.99</f>
        <v>2.92347</v>
      </c>
      <c r="AC11" s="74">
        <f t="shared" si="1"/>
        <v>8.3000000000000007</v>
      </c>
      <c r="AD11" s="74">
        <f>AD10</f>
        <v>0.1</v>
      </c>
    </row>
    <row r="12" spans="1:30" s="5" customFormat="1" ht="16.5" customHeight="1" x14ac:dyDescent="0.3">
      <c r="A12" s="81" t="b">
        <v>1</v>
      </c>
      <c r="B12" s="82" t="s">
        <v>260</v>
      </c>
      <c r="C12" s="76">
        <f>C6+1000</f>
        <v>100702001</v>
      </c>
      <c r="D12" s="81">
        <f t="shared" si="0"/>
        <v>54007</v>
      </c>
      <c r="E12" s="81">
        <f t="shared" si="0"/>
        <v>55007</v>
      </c>
      <c r="F12" s="81">
        <v>530905007</v>
      </c>
      <c r="G12" s="76" t="s">
        <v>130</v>
      </c>
      <c r="H12" s="82" t="s">
        <v>160</v>
      </c>
      <c r="I12" s="268" t="s">
        <v>128</v>
      </c>
      <c r="J12" s="268">
        <v>15</v>
      </c>
      <c r="K12" s="268">
        <v>30</v>
      </c>
      <c r="L12" s="268" t="s">
        <v>428</v>
      </c>
      <c r="M12" s="81" t="s">
        <v>138</v>
      </c>
      <c r="N12" s="81">
        <v>530905007</v>
      </c>
      <c r="O12" s="81" t="s">
        <v>138</v>
      </c>
      <c r="P12" s="81">
        <f>INT(P6*1.4)</f>
        <v>2135</v>
      </c>
      <c r="Q12" s="81">
        <v>620</v>
      </c>
      <c r="R12" s="81">
        <v>0</v>
      </c>
      <c r="S12" s="81">
        <f>INT(S6*$S$1*Simulator_Posion!D16)</f>
        <v>328</v>
      </c>
      <c r="T12" s="272">
        <f>Simulator_Posion!G16</f>
        <v>121</v>
      </c>
      <c r="U12" s="83">
        <v>11.85</v>
      </c>
      <c r="V12" s="83">
        <v>183.4</v>
      </c>
      <c r="W12" s="83">
        <v>6.6470000000000002</v>
      </c>
      <c r="X12" s="83">
        <v>2.0790000000000002</v>
      </c>
      <c r="Y12" s="83">
        <f>Y6*Y1</f>
        <v>468</v>
      </c>
      <c r="Z12" s="83">
        <v>2.4790000000000001</v>
      </c>
      <c r="AA12" s="83">
        <v>101.5</v>
      </c>
      <c r="AB12" s="81">
        <v>5.1319999999999997</v>
      </c>
      <c r="AC12" s="275">
        <f t="shared" ref="AC12:AC13" si="2">$AC$6-0.1</f>
        <v>8.2000000000000011</v>
      </c>
      <c r="AD12" s="81">
        <v>0.2</v>
      </c>
    </row>
    <row r="13" spans="1:30" s="5" customFormat="1" ht="16.5" customHeight="1" x14ac:dyDescent="0.3">
      <c r="A13" s="81" t="b">
        <v>1</v>
      </c>
      <c r="B13" s="82" t="s">
        <v>224</v>
      </c>
      <c r="C13" s="81">
        <f>C12+1</f>
        <v>100702002</v>
      </c>
      <c r="D13" s="81">
        <f t="shared" si="0"/>
        <v>54008</v>
      </c>
      <c r="E13" s="81">
        <f t="shared" si="0"/>
        <v>55008</v>
      </c>
      <c r="F13" s="81">
        <v>530905008</v>
      </c>
      <c r="G13" s="81" t="s">
        <v>112</v>
      </c>
      <c r="H13" s="82" t="s">
        <v>161</v>
      </c>
      <c r="I13" s="268" t="s">
        <v>128</v>
      </c>
      <c r="J13" s="268">
        <v>15</v>
      </c>
      <c r="K13" s="268">
        <v>30</v>
      </c>
      <c r="L13" s="268" t="s">
        <v>428</v>
      </c>
      <c r="M13" s="81" t="s">
        <v>138</v>
      </c>
      <c r="N13" s="81">
        <v>530905008</v>
      </c>
      <c r="O13" s="81" t="s">
        <v>138</v>
      </c>
      <c r="P13" s="81">
        <f>INT(P$12*1.1)</f>
        <v>2348</v>
      </c>
      <c r="Q13" s="81">
        <f>INT(Q$12*1.1)</f>
        <v>682</v>
      </c>
      <c r="R13" s="81">
        <f>R12</f>
        <v>0</v>
      </c>
      <c r="S13" s="81">
        <f>INT(S$12*Simulator_Posion!D17)</f>
        <v>360</v>
      </c>
      <c r="T13" s="272">
        <f>Simulator_Posion!G17</f>
        <v>144</v>
      </c>
      <c r="U13" s="83">
        <f>U$12*0.6</f>
        <v>7.1099999999999994</v>
      </c>
      <c r="V13" s="83">
        <f>V$12*0.9</f>
        <v>165.06</v>
      </c>
      <c r="W13" s="83">
        <f>W$12*0.95</f>
        <v>6.3146500000000003</v>
      </c>
      <c r="X13" s="83">
        <f>X$12*0.7</f>
        <v>1.4553</v>
      </c>
      <c r="Y13" s="83">
        <f>INT(Y$12*0.6)</f>
        <v>280</v>
      </c>
      <c r="Z13" s="83">
        <f>Z$12*0.95</f>
        <v>2.3550499999999999</v>
      </c>
      <c r="AA13" s="83">
        <f>AA$12*0.95</f>
        <v>96.424999999999997</v>
      </c>
      <c r="AB13" s="83">
        <f>AB$12*0.95</f>
        <v>4.8753999999999991</v>
      </c>
      <c r="AC13" s="275">
        <f t="shared" si="2"/>
        <v>8.2000000000000011</v>
      </c>
      <c r="AD13" s="81">
        <f>AD12</f>
        <v>0.2</v>
      </c>
    </row>
    <row r="14" spans="1:30" s="5" customFormat="1" ht="16.5" customHeight="1" x14ac:dyDescent="0.3">
      <c r="A14" s="81" t="b">
        <v>1</v>
      </c>
      <c r="B14" s="82" t="s">
        <v>225</v>
      </c>
      <c r="C14" s="81">
        <f>C13+1</f>
        <v>100702003</v>
      </c>
      <c r="D14" s="81">
        <f t="shared" si="0"/>
        <v>54009</v>
      </c>
      <c r="E14" s="81">
        <f t="shared" si="0"/>
        <v>55009</v>
      </c>
      <c r="F14" s="81">
        <v>530905009</v>
      </c>
      <c r="G14" s="81" t="s">
        <v>113</v>
      </c>
      <c r="H14" s="82" t="s">
        <v>162</v>
      </c>
      <c r="I14" s="268" t="s">
        <v>128</v>
      </c>
      <c r="J14" s="268">
        <v>15</v>
      </c>
      <c r="K14" s="268">
        <v>30</v>
      </c>
      <c r="L14" s="268" t="s">
        <v>428</v>
      </c>
      <c r="M14" s="81" t="s">
        <v>138</v>
      </c>
      <c r="N14" s="81">
        <v>530905009</v>
      </c>
      <c r="O14" s="81" t="s">
        <v>138</v>
      </c>
      <c r="P14" s="81">
        <f>INT(P$12*1.22)</f>
        <v>2604</v>
      </c>
      <c r="Q14" s="81">
        <f>INT(Q$12*1.08)</f>
        <v>669</v>
      </c>
      <c r="R14" s="81">
        <f>R13</f>
        <v>0</v>
      </c>
      <c r="S14" s="81">
        <f>INT(S$12*Simulator_Posion!D18)</f>
        <v>278</v>
      </c>
      <c r="T14" s="272">
        <f>Simulator_Posion!G18</f>
        <v>196</v>
      </c>
      <c r="U14" s="83">
        <f>U$12*0.8</f>
        <v>9.48</v>
      </c>
      <c r="V14" s="83">
        <f>V$12*0.85</f>
        <v>155.89000000000001</v>
      </c>
      <c r="W14" s="83">
        <f>W$12*0.989</f>
        <v>6.5738830000000004</v>
      </c>
      <c r="X14" s="83">
        <f>X$12*1.3</f>
        <v>2.7027000000000005</v>
      </c>
      <c r="Y14" s="83">
        <f>INT(Y$12*1.11)</f>
        <v>519</v>
      </c>
      <c r="Z14" s="83">
        <f>Z$12*0.99</f>
        <v>2.4542100000000002</v>
      </c>
      <c r="AA14" s="83">
        <f>AA$12*0.99</f>
        <v>100.485</v>
      </c>
      <c r="AB14" s="83">
        <f>AB$12*0.99</f>
        <v>5.0806799999999992</v>
      </c>
      <c r="AC14" s="275">
        <f>$AC$6-0.2</f>
        <v>8.1000000000000014</v>
      </c>
      <c r="AD14" s="81">
        <f>AD13</f>
        <v>0.2</v>
      </c>
    </row>
    <row r="15" spans="1:30" s="5" customFormat="1" ht="16.5" customHeight="1" x14ac:dyDescent="0.3">
      <c r="A15" s="81" t="b">
        <v>1</v>
      </c>
      <c r="B15" s="82" t="s">
        <v>226</v>
      </c>
      <c r="C15" s="81">
        <f>C14+1</f>
        <v>100702004</v>
      </c>
      <c r="D15" s="81">
        <f t="shared" si="0"/>
        <v>54010</v>
      </c>
      <c r="E15" s="81">
        <f t="shared" si="0"/>
        <v>55010</v>
      </c>
      <c r="F15" s="81">
        <v>530905010</v>
      </c>
      <c r="G15" s="81" t="s">
        <v>114</v>
      </c>
      <c r="H15" s="82" t="s">
        <v>163</v>
      </c>
      <c r="I15" s="268" t="s">
        <v>128</v>
      </c>
      <c r="J15" s="268">
        <v>15</v>
      </c>
      <c r="K15" s="268">
        <v>30</v>
      </c>
      <c r="L15" s="268" t="s">
        <v>428</v>
      </c>
      <c r="M15" s="81" t="s">
        <v>138</v>
      </c>
      <c r="N15" s="81">
        <v>530905010</v>
      </c>
      <c r="O15" s="81" t="s">
        <v>138</v>
      </c>
      <c r="P15" s="81">
        <f>INT(P$12*0.92)</f>
        <v>1964</v>
      </c>
      <c r="Q15" s="81">
        <f>INT(Q$12*0.92)</f>
        <v>570</v>
      </c>
      <c r="R15" s="81">
        <f>R14</f>
        <v>0</v>
      </c>
      <c r="S15" s="81">
        <f>INT(S$12*Simulator_Posion!D19)</f>
        <v>268</v>
      </c>
      <c r="T15" s="272">
        <f>Simulator_Posion!G19</f>
        <v>148</v>
      </c>
      <c r="U15" s="83">
        <f>U$12*0.989</f>
        <v>11.71965</v>
      </c>
      <c r="V15" s="83">
        <f>V$12*0.989</f>
        <v>181.3826</v>
      </c>
      <c r="W15" s="83">
        <f>W$12*0.99</f>
        <v>6.5805300000000004</v>
      </c>
      <c r="X15" s="83">
        <f>X$12*0.989</f>
        <v>2.0561310000000002</v>
      </c>
      <c r="Y15" s="83">
        <f>INT(Y$12*0.92)</f>
        <v>430</v>
      </c>
      <c r="Z15" s="83">
        <f>Z$12*1.095</f>
        <v>2.7145049999999999</v>
      </c>
      <c r="AA15" s="83">
        <f>AA$12*0.989</f>
        <v>100.3835</v>
      </c>
      <c r="AB15" s="83">
        <f>AB$12*0.989</f>
        <v>5.0755479999999995</v>
      </c>
      <c r="AC15" s="275">
        <f>$AC$6+0.1</f>
        <v>8.4</v>
      </c>
      <c r="AD15" s="81">
        <f>AD14</f>
        <v>0.2</v>
      </c>
    </row>
    <row r="16" spans="1:30" s="5" customFormat="1" ht="16.5" customHeight="1" x14ac:dyDescent="0.3">
      <c r="A16" s="81" t="b">
        <v>1</v>
      </c>
      <c r="B16" s="82" t="s">
        <v>227</v>
      </c>
      <c r="C16" s="81">
        <f>C15+1</f>
        <v>100702005</v>
      </c>
      <c r="D16" s="81">
        <f t="shared" si="0"/>
        <v>54011</v>
      </c>
      <c r="E16" s="81">
        <f t="shared" si="0"/>
        <v>55011</v>
      </c>
      <c r="F16" s="81">
        <v>530905011</v>
      </c>
      <c r="G16" s="81" t="s">
        <v>115</v>
      </c>
      <c r="H16" s="82" t="s">
        <v>164</v>
      </c>
      <c r="I16" s="268" t="s">
        <v>128</v>
      </c>
      <c r="J16" s="268">
        <v>15</v>
      </c>
      <c r="K16" s="268">
        <v>30</v>
      </c>
      <c r="L16" s="268" t="s">
        <v>428</v>
      </c>
      <c r="M16" s="81" t="s">
        <v>138</v>
      </c>
      <c r="N16" s="81">
        <v>530905011</v>
      </c>
      <c r="O16" s="81" t="s">
        <v>138</v>
      </c>
      <c r="P16" s="81">
        <f>INT(P$12*0.97)</f>
        <v>2070</v>
      </c>
      <c r="Q16" s="81">
        <f>INT(Q$12*0.97)</f>
        <v>601</v>
      </c>
      <c r="R16" s="81">
        <f>R15</f>
        <v>0</v>
      </c>
      <c r="S16" s="81">
        <f>INT(S$12*Simulator_Posion!D20)</f>
        <v>318</v>
      </c>
      <c r="T16" s="272">
        <f>Simulator_Posion!G20</f>
        <v>118</v>
      </c>
      <c r="U16" s="83">
        <f>U$12*1.104</f>
        <v>13.082400000000002</v>
      </c>
      <c r="V16" s="83">
        <f>V$12*1.05</f>
        <v>192.57000000000002</v>
      </c>
      <c r="W16" s="83">
        <f>W$12*0.967</f>
        <v>6.4276489999999997</v>
      </c>
      <c r="X16" s="83">
        <f>X$12*1.004</f>
        <v>2.0873160000000004</v>
      </c>
      <c r="Y16" s="83">
        <f>INT(Y$12*0.97)</f>
        <v>453</v>
      </c>
      <c r="Z16" s="83">
        <f>Z$12*1.004</f>
        <v>2.4889160000000001</v>
      </c>
      <c r="AA16" s="83">
        <f>AA$12*1.004</f>
        <v>101.90600000000001</v>
      </c>
      <c r="AB16" s="83">
        <f>AB$12*1.004</f>
        <v>5.1525279999999993</v>
      </c>
      <c r="AC16" s="275">
        <f>$AC$6</f>
        <v>8.3000000000000007</v>
      </c>
      <c r="AD16" s="81">
        <f>AD15</f>
        <v>0.2</v>
      </c>
    </row>
    <row r="17" spans="1:30" s="5" customFormat="1" ht="16.5" customHeight="1" x14ac:dyDescent="0.3">
      <c r="A17" s="81" t="b">
        <v>1</v>
      </c>
      <c r="B17" s="82" t="s">
        <v>228</v>
      </c>
      <c r="C17" s="81">
        <f>C16+1</f>
        <v>100702006</v>
      </c>
      <c r="D17" s="81">
        <f t="shared" si="0"/>
        <v>54012</v>
      </c>
      <c r="E17" s="81">
        <f t="shared" si="0"/>
        <v>55012</v>
      </c>
      <c r="F17" s="81">
        <v>530905012</v>
      </c>
      <c r="G17" s="81" t="s">
        <v>116</v>
      </c>
      <c r="H17" s="82" t="s">
        <v>165</v>
      </c>
      <c r="I17" s="268" t="s">
        <v>128</v>
      </c>
      <c r="J17" s="268">
        <v>15</v>
      </c>
      <c r="K17" s="268">
        <v>30</v>
      </c>
      <c r="L17" s="268" t="s">
        <v>428</v>
      </c>
      <c r="M17" s="81" t="s">
        <v>138</v>
      </c>
      <c r="N17" s="81">
        <v>530905012</v>
      </c>
      <c r="O17" s="81" t="s">
        <v>138</v>
      </c>
      <c r="P17" s="81">
        <f>INT(P$12*1.01)</f>
        <v>2156</v>
      </c>
      <c r="Q17" s="81">
        <f>INT(Q$12*1.17)</f>
        <v>725</v>
      </c>
      <c r="R17" s="81">
        <f>R16</f>
        <v>0</v>
      </c>
      <c r="S17" s="81">
        <f>INT(S$12*Simulator_Posion!D21)</f>
        <v>288</v>
      </c>
      <c r="T17" s="272">
        <f>Simulator_Posion!G21</f>
        <v>137</v>
      </c>
      <c r="U17" s="83">
        <f>U$12*1.15</f>
        <v>13.627499999999998</v>
      </c>
      <c r="V17" s="83">
        <f>V$12*1.23</f>
        <v>225.58199999999999</v>
      </c>
      <c r="W17" s="83">
        <f>W$12*1.004</f>
        <v>6.6735880000000005</v>
      </c>
      <c r="X17" s="83">
        <f>X$12*0.923</f>
        <v>1.9189170000000002</v>
      </c>
      <c r="Y17" s="83">
        <f>INT(Y$12*0.92)</f>
        <v>430</v>
      </c>
      <c r="Z17" s="83">
        <f>Z$12*1.08</f>
        <v>2.6773200000000004</v>
      </c>
      <c r="AA17" s="83">
        <f>AA$12*0.967</f>
        <v>98.150499999999994</v>
      </c>
      <c r="AB17" s="83">
        <f>AB$12*0.967</f>
        <v>4.9626439999999992</v>
      </c>
      <c r="AC17" s="275">
        <f>$AC$6</f>
        <v>8.3000000000000007</v>
      </c>
      <c r="AD17" s="81">
        <f>AD16</f>
        <v>0.2</v>
      </c>
    </row>
    <row r="18" spans="1:30" s="5" customFormat="1" ht="16.5" customHeight="1" x14ac:dyDescent="0.3">
      <c r="A18" s="74" t="b">
        <v>1</v>
      </c>
      <c r="B18" s="75" t="s">
        <v>261</v>
      </c>
      <c r="C18" s="76">
        <f>C12+1000</f>
        <v>100703001</v>
      </c>
      <c r="D18" s="74">
        <f t="shared" si="0"/>
        <v>54013</v>
      </c>
      <c r="E18" s="74">
        <f t="shared" si="0"/>
        <v>55013</v>
      </c>
      <c r="F18" s="74">
        <v>530905013</v>
      </c>
      <c r="G18" s="76" t="s">
        <v>131</v>
      </c>
      <c r="H18" s="84" t="s">
        <v>166</v>
      </c>
      <c r="I18" s="267" t="s">
        <v>139</v>
      </c>
      <c r="J18" s="267" t="s">
        <v>229</v>
      </c>
      <c r="K18" s="267">
        <v>80</v>
      </c>
      <c r="L18" s="267" t="s">
        <v>429</v>
      </c>
      <c r="M18" s="74" t="s">
        <v>138</v>
      </c>
      <c r="N18" s="74">
        <v>530905013</v>
      </c>
      <c r="O18" s="74" t="s">
        <v>138</v>
      </c>
      <c r="P18" s="235">
        <f>INT(P12*2)</f>
        <v>4270</v>
      </c>
      <c r="Q18" s="85" t="s">
        <v>439</v>
      </c>
      <c r="R18" s="85">
        <v>0</v>
      </c>
      <c r="S18" s="235">
        <f>INT(S12*$S$1*Simulator_Posion!D22)</f>
        <v>610</v>
      </c>
      <c r="T18" s="271">
        <f>Simulator_Posion!G22</f>
        <v>161</v>
      </c>
      <c r="U18" s="78" t="s">
        <v>262</v>
      </c>
      <c r="V18" s="78">
        <v>188.9</v>
      </c>
      <c r="W18" s="78">
        <v>9.3040000000000056</v>
      </c>
      <c r="X18" s="78">
        <v>3.0139999999999998</v>
      </c>
      <c r="Y18" s="78">
        <f>Y12*Y1</f>
        <v>702</v>
      </c>
      <c r="Z18" s="78" t="s">
        <v>263</v>
      </c>
      <c r="AA18" s="78">
        <v>102.13</v>
      </c>
      <c r="AB18" s="85" t="s">
        <v>269</v>
      </c>
      <c r="AC18" s="74">
        <f>$AC$6-0.1</f>
        <v>8.2000000000000011</v>
      </c>
      <c r="AD18" s="85" t="s">
        <v>267</v>
      </c>
    </row>
    <row r="19" spans="1:30" s="5" customFormat="1" ht="16.5" customHeight="1" x14ac:dyDescent="0.3">
      <c r="A19" s="74" t="b">
        <v>1</v>
      </c>
      <c r="B19" s="75" t="s">
        <v>230</v>
      </c>
      <c r="C19" s="74">
        <f t="shared" ref="C19:E29" si="3">C18+1</f>
        <v>100703002</v>
      </c>
      <c r="D19" s="74">
        <f t="shared" si="0"/>
        <v>54014</v>
      </c>
      <c r="E19" s="74">
        <f t="shared" si="0"/>
        <v>55014</v>
      </c>
      <c r="F19" s="74">
        <v>530905014</v>
      </c>
      <c r="G19" s="74" t="s">
        <v>117</v>
      </c>
      <c r="H19" s="84" t="s">
        <v>167</v>
      </c>
      <c r="I19" s="267" t="s">
        <v>139</v>
      </c>
      <c r="J19" s="267" t="s">
        <v>229</v>
      </c>
      <c r="K19" s="267">
        <v>80</v>
      </c>
      <c r="L19" s="267" t="s">
        <v>429</v>
      </c>
      <c r="M19" s="74" t="s">
        <v>138</v>
      </c>
      <c r="N19" s="74">
        <v>530905014</v>
      </c>
      <c r="O19" s="74" t="s">
        <v>138</v>
      </c>
      <c r="P19" s="74">
        <f>INT(P$18*0.92)</f>
        <v>3928</v>
      </c>
      <c r="Q19" s="74">
        <f>INT(Q$18*1.03)</f>
        <v>813</v>
      </c>
      <c r="R19" s="74">
        <f>R18</f>
        <v>0</v>
      </c>
      <c r="S19" s="74">
        <f>INT(S$18*Simulator_Posion!D23)</f>
        <v>573</v>
      </c>
      <c r="T19" s="271">
        <f>Simulator_Posion!G23</f>
        <v>206</v>
      </c>
      <c r="U19" s="78">
        <f>U$18*0.95</f>
        <v>13.831999999999999</v>
      </c>
      <c r="V19" s="78">
        <f>V$18*0.989</f>
        <v>186.82210000000001</v>
      </c>
      <c r="W19" s="78">
        <f>W$18*1.004</f>
        <v>9.3412160000000064</v>
      </c>
      <c r="X19" s="78">
        <f>X$18*0.95</f>
        <v>2.8632999999999997</v>
      </c>
      <c r="Y19" s="78">
        <f>INT(Y$18*0.82)</f>
        <v>575</v>
      </c>
      <c r="Z19" s="78">
        <f>INT(Z$18*0.913)</f>
        <v>2</v>
      </c>
      <c r="AA19" s="78">
        <f>AA$18*0.95</f>
        <v>97.023499999999984</v>
      </c>
      <c r="AB19" s="78">
        <f>AB$18*0.95</f>
        <v>7.18675</v>
      </c>
      <c r="AC19" s="74">
        <f t="shared" ref="AC19:AC20" si="4">$AC$6-0.1</f>
        <v>8.2000000000000011</v>
      </c>
      <c r="AD19" s="74" t="str">
        <f>AD18</f>
        <v>0.3</v>
      </c>
    </row>
    <row r="20" spans="1:30" s="5" customFormat="1" ht="16.5" customHeight="1" x14ac:dyDescent="0.3">
      <c r="A20" s="74" t="b">
        <v>1</v>
      </c>
      <c r="B20" s="75" t="s">
        <v>231</v>
      </c>
      <c r="C20" s="74">
        <f t="shared" si="3"/>
        <v>100703003</v>
      </c>
      <c r="D20" s="74">
        <f t="shared" si="0"/>
        <v>54015</v>
      </c>
      <c r="E20" s="74">
        <f t="shared" si="0"/>
        <v>55015</v>
      </c>
      <c r="F20" s="74">
        <v>530905015</v>
      </c>
      <c r="G20" s="74" t="s">
        <v>118</v>
      </c>
      <c r="H20" s="84" t="s">
        <v>168</v>
      </c>
      <c r="I20" s="267" t="s">
        <v>139</v>
      </c>
      <c r="J20" s="267" t="s">
        <v>229</v>
      </c>
      <c r="K20" s="267">
        <v>80</v>
      </c>
      <c r="L20" s="267" t="s">
        <v>429</v>
      </c>
      <c r="M20" s="74" t="s">
        <v>138</v>
      </c>
      <c r="N20" s="74">
        <v>530905015</v>
      </c>
      <c r="O20" s="74" t="s">
        <v>138</v>
      </c>
      <c r="P20" s="74">
        <f>INT(P$18*0.98)</f>
        <v>4184</v>
      </c>
      <c r="Q20" s="74">
        <f>INT(Q$18*1.08)</f>
        <v>853</v>
      </c>
      <c r="R20" s="74">
        <f>R19</f>
        <v>0</v>
      </c>
      <c r="S20" s="74">
        <f>INT(S$18*Simulator_Posion!D24)</f>
        <v>634</v>
      </c>
      <c r="T20" s="271">
        <f>Simulator_Posion!G24</f>
        <v>109</v>
      </c>
      <c r="U20" s="78">
        <f>U$18*1.004</f>
        <v>14.61824</v>
      </c>
      <c r="V20" s="78">
        <f>V$18*0.95</f>
        <v>179.45499999999998</v>
      </c>
      <c r="W20" s="78">
        <f>W$18*0.989</f>
        <v>9.2016560000000052</v>
      </c>
      <c r="X20" s="78">
        <f>X$18*1.004</f>
        <v>3.0260559999999996</v>
      </c>
      <c r="Y20" s="78">
        <f>INT(Y$18*0.97)</f>
        <v>680</v>
      </c>
      <c r="Z20" s="78">
        <f>Z$18*1.004</f>
        <v>3.199748</v>
      </c>
      <c r="AA20" s="78">
        <f>AA$18*1.004</f>
        <v>102.53851999999999</v>
      </c>
      <c r="AB20" s="78">
        <f>AB$18*1.004</f>
        <v>7.5952600000000006</v>
      </c>
      <c r="AC20" s="74">
        <f t="shared" si="4"/>
        <v>8.2000000000000011</v>
      </c>
      <c r="AD20" s="74" t="str">
        <f>AD19</f>
        <v>0.3</v>
      </c>
    </row>
    <row r="21" spans="1:30" s="5" customFormat="1" ht="16.5" customHeight="1" x14ac:dyDescent="0.3">
      <c r="A21" s="74" t="b">
        <v>1</v>
      </c>
      <c r="B21" s="75" t="s">
        <v>232</v>
      </c>
      <c r="C21" s="74">
        <f t="shared" si="3"/>
        <v>100703004</v>
      </c>
      <c r="D21" s="74">
        <f t="shared" si="0"/>
        <v>54016</v>
      </c>
      <c r="E21" s="74">
        <f t="shared" si="0"/>
        <v>55016</v>
      </c>
      <c r="F21" s="74">
        <v>530905016</v>
      </c>
      <c r="G21" s="74" t="s">
        <v>119</v>
      </c>
      <c r="H21" s="84" t="s">
        <v>233</v>
      </c>
      <c r="I21" s="267" t="s">
        <v>139</v>
      </c>
      <c r="J21" s="267" t="s">
        <v>229</v>
      </c>
      <c r="K21" s="267">
        <v>80</v>
      </c>
      <c r="L21" s="267" t="s">
        <v>429</v>
      </c>
      <c r="M21" s="74" t="s">
        <v>138</v>
      </c>
      <c r="N21" s="74">
        <v>530905016</v>
      </c>
      <c r="O21" s="74" t="s">
        <v>138</v>
      </c>
      <c r="P21" s="74">
        <f>INT(P$18*0.86)</f>
        <v>3672</v>
      </c>
      <c r="Q21" s="74">
        <f>INT(Q$18*0.92)</f>
        <v>726</v>
      </c>
      <c r="R21" s="74">
        <f>R20</f>
        <v>0</v>
      </c>
      <c r="S21" s="74">
        <f>INT(S$18*Simulator_Posion!D25)</f>
        <v>652</v>
      </c>
      <c r="T21" s="271">
        <f>Simulator_Posion!G25</f>
        <v>212</v>
      </c>
      <c r="U21" s="78">
        <f>U$18*0.989</f>
        <v>14.399840000000001</v>
      </c>
      <c r="V21" s="78">
        <f>V$18*1.004</f>
        <v>189.65559999999999</v>
      </c>
      <c r="W21" s="78">
        <f>W$18*0.95</f>
        <v>8.8388000000000044</v>
      </c>
      <c r="X21" s="78">
        <f>X$18*0.989</f>
        <v>2.9808459999999997</v>
      </c>
      <c r="Y21" s="78">
        <f>INT(Y$18*0.83)</f>
        <v>582</v>
      </c>
      <c r="Z21" s="78">
        <f>Z$18*0.989</f>
        <v>3.1519429999999997</v>
      </c>
      <c r="AA21" s="78">
        <f>AA$18*0.989</f>
        <v>101.00657</v>
      </c>
      <c r="AB21" s="78">
        <f>AB$18*0.989</f>
        <v>7.4817850000000004</v>
      </c>
      <c r="AC21" s="74">
        <f>$AC$6</f>
        <v>8.3000000000000007</v>
      </c>
      <c r="AD21" s="74" t="str">
        <f>AD20</f>
        <v>0.3</v>
      </c>
    </row>
    <row r="22" spans="1:30" s="5" customFormat="1" ht="16.5" customHeight="1" x14ac:dyDescent="0.3">
      <c r="A22" s="86" t="b">
        <v>0</v>
      </c>
      <c r="B22" s="229" t="s">
        <v>372</v>
      </c>
      <c r="C22" s="86">
        <f t="shared" si="3"/>
        <v>100703005</v>
      </c>
      <c r="D22" s="86">
        <f t="shared" si="0"/>
        <v>54017</v>
      </c>
      <c r="E22" s="86">
        <f t="shared" si="0"/>
        <v>55017</v>
      </c>
      <c r="F22" s="86">
        <v>530905016</v>
      </c>
      <c r="G22" s="86" t="s">
        <v>120</v>
      </c>
      <c r="H22" s="87" t="s">
        <v>138</v>
      </c>
      <c r="I22" s="269" t="s">
        <v>139</v>
      </c>
      <c r="J22" s="269" t="s">
        <v>229</v>
      </c>
      <c r="K22" s="270">
        <v>80</v>
      </c>
      <c r="L22" s="269" t="s">
        <v>430</v>
      </c>
      <c r="M22" s="88" t="s">
        <v>138</v>
      </c>
      <c r="N22" s="88" t="s">
        <v>138</v>
      </c>
      <c r="O22" s="88" t="s">
        <v>138</v>
      </c>
      <c r="P22" s="88" t="s">
        <v>264</v>
      </c>
      <c r="Q22" s="88" t="s">
        <v>440</v>
      </c>
      <c r="R22" s="88">
        <v>0</v>
      </c>
      <c r="S22" s="88" t="s">
        <v>426</v>
      </c>
      <c r="T22" s="273">
        <f>Simulator_Posion!G26</f>
        <v>125</v>
      </c>
      <c r="U22" s="89" t="s">
        <v>265</v>
      </c>
      <c r="V22" s="89">
        <v>195.23699999999999</v>
      </c>
      <c r="W22" s="89">
        <v>14.568</v>
      </c>
      <c r="X22" s="89">
        <v>3.9820000000000002</v>
      </c>
      <c r="Y22" s="89">
        <f>Y18*Y1</f>
        <v>1053</v>
      </c>
      <c r="Z22" s="89" t="s">
        <v>266</v>
      </c>
      <c r="AA22" s="89">
        <v>101.01</v>
      </c>
      <c r="AB22" s="88" t="s">
        <v>270</v>
      </c>
      <c r="AC22" s="274">
        <f>$AC$6</f>
        <v>8.3000000000000007</v>
      </c>
      <c r="AD22" s="88" t="s">
        <v>268</v>
      </c>
    </row>
    <row r="23" spans="1:30" s="5" customFormat="1" ht="16.5" customHeight="1" x14ac:dyDescent="0.3">
      <c r="A23" s="86" t="b">
        <v>0</v>
      </c>
      <c r="B23" s="229" t="s">
        <v>373</v>
      </c>
      <c r="C23" s="86">
        <f t="shared" si="3"/>
        <v>100703006</v>
      </c>
      <c r="D23" s="86">
        <f t="shared" si="3"/>
        <v>54018</v>
      </c>
      <c r="E23" s="86">
        <f t="shared" si="3"/>
        <v>55018</v>
      </c>
      <c r="F23" s="86">
        <v>530905016</v>
      </c>
      <c r="G23" s="86" t="s">
        <v>121</v>
      </c>
      <c r="H23" s="87" t="s">
        <v>138</v>
      </c>
      <c r="I23" s="269" t="s">
        <v>139</v>
      </c>
      <c r="J23" s="269" t="s">
        <v>229</v>
      </c>
      <c r="K23" s="270">
        <v>80</v>
      </c>
      <c r="L23" s="269" t="s">
        <v>430</v>
      </c>
      <c r="M23" s="88" t="s">
        <v>138</v>
      </c>
      <c r="N23" s="88" t="s">
        <v>138</v>
      </c>
      <c r="O23" s="88" t="s">
        <v>138</v>
      </c>
      <c r="P23" s="88">
        <f>INT(P$22*1.03)</f>
        <v>5291</v>
      </c>
      <c r="Q23" s="88">
        <f>INT(Q$22*1.19)</f>
        <v>1178</v>
      </c>
      <c r="R23" s="88">
        <f t="shared" ref="R23:R29" si="5">R22</f>
        <v>0</v>
      </c>
      <c r="S23" s="88">
        <f>INT(S$22*Simulator_Posion!D27)</f>
        <v>692</v>
      </c>
      <c r="T23" s="273">
        <f>Simulator_Posion!G27</f>
        <v>196</v>
      </c>
      <c r="U23" s="89">
        <f>U$22*0.959</f>
        <v>14.950809999999999</v>
      </c>
      <c r="V23" s="89">
        <f>V$22*0.967</f>
        <v>188.79417899999999</v>
      </c>
      <c r="W23" s="89">
        <f>W$22*1.011</f>
        <v>14.728247999999999</v>
      </c>
      <c r="X23" s="89">
        <f>X$22*0.959</f>
        <v>3.8187380000000002</v>
      </c>
      <c r="Y23" s="89">
        <f>INT(Y$22*1.07)</f>
        <v>1126</v>
      </c>
      <c r="Z23" s="89">
        <f>Z$22*0.959</f>
        <v>3.9376539999999998</v>
      </c>
      <c r="AA23" s="89">
        <f>AA$22*0.959</f>
        <v>96.868589999999998</v>
      </c>
      <c r="AB23" s="89">
        <f>AB$22*0.959</f>
        <v>10.803134999999999</v>
      </c>
      <c r="AC23" s="274">
        <f t="shared" ref="AC23:AC29" si="6">$AC$6</f>
        <v>8.3000000000000007</v>
      </c>
      <c r="AD23" s="88" t="str">
        <f t="shared" ref="AD23:AD29" si="7">AD22</f>
        <v>0.4</v>
      </c>
    </row>
    <row r="24" spans="1:30" s="5" customFormat="1" ht="16.5" customHeight="1" x14ac:dyDescent="0.3">
      <c r="A24" s="86" t="b">
        <v>0</v>
      </c>
      <c r="B24" s="229" t="s">
        <v>374</v>
      </c>
      <c r="C24" s="86">
        <f t="shared" si="3"/>
        <v>100703007</v>
      </c>
      <c r="D24" s="86">
        <f t="shared" si="3"/>
        <v>54019</v>
      </c>
      <c r="E24" s="86">
        <f t="shared" si="3"/>
        <v>55019</v>
      </c>
      <c r="F24" s="86">
        <v>530905016</v>
      </c>
      <c r="G24" s="86" t="s">
        <v>122</v>
      </c>
      <c r="H24" s="87" t="s">
        <v>138</v>
      </c>
      <c r="I24" s="269" t="s">
        <v>139</v>
      </c>
      <c r="J24" s="269" t="s">
        <v>229</v>
      </c>
      <c r="K24" s="270">
        <v>80</v>
      </c>
      <c r="L24" s="269" t="s">
        <v>430</v>
      </c>
      <c r="M24" s="88" t="s">
        <v>138</v>
      </c>
      <c r="N24" s="88" t="s">
        <v>138</v>
      </c>
      <c r="O24" s="88" t="s">
        <v>138</v>
      </c>
      <c r="P24" s="88">
        <f>INT(P$22*0.85)</f>
        <v>4366</v>
      </c>
      <c r="Q24" s="88">
        <f>INT(Q$22*0.96)</f>
        <v>950</v>
      </c>
      <c r="R24" s="88">
        <f t="shared" si="5"/>
        <v>0</v>
      </c>
      <c r="S24" s="88">
        <f>INT(S$22*Simulator_Posion!D28)</f>
        <v>716</v>
      </c>
      <c r="T24" s="273">
        <f>Simulator_Posion!G28</f>
        <v>165</v>
      </c>
      <c r="U24" s="89">
        <f>U$22*0.953</f>
        <v>14.85727</v>
      </c>
      <c r="V24" s="89">
        <f>V$22*1.011</f>
        <v>197.38460699999999</v>
      </c>
      <c r="W24" s="89">
        <f>W$22*0.967</f>
        <v>14.087256</v>
      </c>
      <c r="X24" s="89">
        <f>X$22*0.953</f>
        <v>3.7948460000000002</v>
      </c>
      <c r="Y24" s="89">
        <f>INT(Y$22*0.93)</f>
        <v>979</v>
      </c>
      <c r="Z24" s="89">
        <f>Z$22*0.953</f>
        <v>3.9130179999999997</v>
      </c>
      <c r="AA24" s="89">
        <f>AA$22*0.953</f>
        <v>96.262529999999998</v>
      </c>
      <c r="AB24" s="89">
        <f>AB$22*0.953</f>
        <v>10.735545</v>
      </c>
      <c r="AC24" s="274">
        <f t="shared" si="6"/>
        <v>8.3000000000000007</v>
      </c>
      <c r="AD24" s="88" t="str">
        <f t="shared" si="7"/>
        <v>0.4</v>
      </c>
    </row>
    <row r="25" spans="1:30" s="5" customFormat="1" ht="16.5" customHeight="1" x14ac:dyDescent="0.3">
      <c r="A25" s="86" t="b">
        <v>0</v>
      </c>
      <c r="B25" s="229" t="s">
        <v>375</v>
      </c>
      <c r="C25" s="86">
        <f t="shared" si="3"/>
        <v>100703008</v>
      </c>
      <c r="D25" s="86">
        <f t="shared" si="3"/>
        <v>54020</v>
      </c>
      <c r="E25" s="86">
        <f t="shared" si="3"/>
        <v>55020</v>
      </c>
      <c r="F25" s="86">
        <v>530905016</v>
      </c>
      <c r="G25" s="86" t="s">
        <v>123</v>
      </c>
      <c r="H25" s="87" t="s">
        <v>138</v>
      </c>
      <c r="I25" s="269" t="s">
        <v>139</v>
      </c>
      <c r="J25" s="269" t="s">
        <v>229</v>
      </c>
      <c r="K25" s="270">
        <v>80</v>
      </c>
      <c r="L25" s="269" t="s">
        <v>430</v>
      </c>
      <c r="M25" s="88" t="s">
        <v>138</v>
      </c>
      <c r="N25" s="88" t="s">
        <v>138</v>
      </c>
      <c r="O25" s="88" t="s">
        <v>138</v>
      </c>
      <c r="P25" s="88">
        <f>INT(P$22*1.13)</f>
        <v>5804</v>
      </c>
      <c r="Q25" s="88">
        <f>INT(Q$22*1.13)</f>
        <v>1118</v>
      </c>
      <c r="R25" s="88">
        <f t="shared" si="5"/>
        <v>0</v>
      </c>
      <c r="S25" s="88">
        <f>INT(S$22*Simulator_Posion!D29)</f>
        <v>818</v>
      </c>
      <c r="T25" s="273">
        <f>Simulator_Posion!G29</f>
        <v>145</v>
      </c>
      <c r="U25" s="89">
        <f>U$22*0.989</f>
        <v>15.418509999999999</v>
      </c>
      <c r="V25" s="89">
        <f>V$22*0.959</f>
        <v>187.232283</v>
      </c>
      <c r="W25" s="89">
        <f>W$22*0.967</f>
        <v>14.087256</v>
      </c>
      <c r="X25" s="89">
        <f>X$22*0.989</f>
        <v>3.9381980000000003</v>
      </c>
      <c r="Y25" s="89">
        <f>INT(Y$22*1.03)</f>
        <v>1084</v>
      </c>
      <c r="Z25" s="89">
        <f>Z$22*0.989</f>
        <v>4.0608339999999998</v>
      </c>
      <c r="AA25" s="89">
        <f>AA$22*0.989</f>
        <v>99.898890000000009</v>
      </c>
      <c r="AB25" s="89">
        <f>AB$22*0.989</f>
        <v>11.141085</v>
      </c>
      <c r="AC25" s="274">
        <f t="shared" si="6"/>
        <v>8.3000000000000007</v>
      </c>
      <c r="AD25" s="88" t="str">
        <f t="shared" si="7"/>
        <v>0.4</v>
      </c>
    </row>
    <row r="26" spans="1:30" s="5" customFormat="1" ht="16.5" customHeight="1" x14ac:dyDescent="0.3">
      <c r="A26" s="86" t="b">
        <v>0</v>
      </c>
      <c r="B26" s="229" t="s">
        <v>376</v>
      </c>
      <c r="C26" s="86">
        <f t="shared" si="3"/>
        <v>100703009</v>
      </c>
      <c r="D26" s="86">
        <f t="shared" si="3"/>
        <v>54021</v>
      </c>
      <c r="E26" s="86">
        <f t="shared" si="3"/>
        <v>55021</v>
      </c>
      <c r="F26" s="86">
        <v>530905016</v>
      </c>
      <c r="G26" s="86" t="s">
        <v>124</v>
      </c>
      <c r="H26" s="87" t="s">
        <v>138</v>
      </c>
      <c r="I26" s="269" t="s">
        <v>139</v>
      </c>
      <c r="J26" s="269" t="s">
        <v>229</v>
      </c>
      <c r="K26" s="270">
        <v>80</v>
      </c>
      <c r="L26" s="269" t="s">
        <v>430</v>
      </c>
      <c r="M26" s="88" t="s">
        <v>138</v>
      </c>
      <c r="N26" s="88" t="s">
        <v>138</v>
      </c>
      <c r="O26" s="88" t="s">
        <v>138</v>
      </c>
      <c r="P26" s="88">
        <f>INT(P$22*1.07)</f>
        <v>5496</v>
      </c>
      <c r="Q26" s="88">
        <f>INT(Q$22*1.07)</f>
        <v>1059</v>
      </c>
      <c r="R26" s="88">
        <f t="shared" si="5"/>
        <v>0</v>
      </c>
      <c r="S26" s="88">
        <f>INT(S$22*Simulator_Posion!D30)</f>
        <v>763</v>
      </c>
      <c r="T26" s="273">
        <f>Simulator_Posion!G30</f>
        <v>258</v>
      </c>
      <c r="U26" s="89">
        <f>U$22*1.006</f>
        <v>15.683540000000001</v>
      </c>
      <c r="V26" s="89">
        <f>V$22*0.953</f>
        <v>186.06086099999999</v>
      </c>
      <c r="W26" s="89">
        <f>W$22*1.006</f>
        <v>14.655408</v>
      </c>
      <c r="X26" s="89">
        <f>X$22*1.006</f>
        <v>4.0058920000000002</v>
      </c>
      <c r="Y26" s="89">
        <f>INT(Y$22*1.19)</f>
        <v>1253</v>
      </c>
      <c r="Z26" s="89">
        <f>Z$22*1.006</f>
        <v>4.130636</v>
      </c>
      <c r="AA26" s="89">
        <f>AA$22*1.006</f>
        <v>101.61606</v>
      </c>
      <c r="AB26" s="89">
        <f>AB$22*1.006</f>
        <v>11.332590000000001</v>
      </c>
      <c r="AC26" s="274">
        <f t="shared" si="6"/>
        <v>8.3000000000000007</v>
      </c>
      <c r="AD26" s="88" t="str">
        <f t="shared" si="7"/>
        <v>0.4</v>
      </c>
    </row>
    <row r="27" spans="1:30" s="5" customFormat="1" ht="16.5" customHeight="1" x14ac:dyDescent="0.3">
      <c r="A27" s="86" t="b">
        <v>0</v>
      </c>
      <c r="B27" s="229" t="s">
        <v>377</v>
      </c>
      <c r="C27" s="86">
        <f t="shared" si="3"/>
        <v>100703010</v>
      </c>
      <c r="D27" s="86">
        <f t="shared" si="3"/>
        <v>54022</v>
      </c>
      <c r="E27" s="86">
        <f t="shared" si="3"/>
        <v>55022</v>
      </c>
      <c r="F27" s="86">
        <v>530905016</v>
      </c>
      <c r="G27" s="86" t="s">
        <v>125</v>
      </c>
      <c r="H27" s="87" t="s">
        <v>138</v>
      </c>
      <c r="I27" s="269" t="s">
        <v>139</v>
      </c>
      <c r="J27" s="269" t="s">
        <v>229</v>
      </c>
      <c r="K27" s="270">
        <v>80</v>
      </c>
      <c r="L27" s="269" t="s">
        <v>430</v>
      </c>
      <c r="M27" s="88" t="s">
        <v>138</v>
      </c>
      <c r="N27" s="88" t="s">
        <v>138</v>
      </c>
      <c r="O27" s="88" t="s">
        <v>138</v>
      </c>
      <c r="P27" s="88">
        <f>INT(P$22*0.93)</f>
        <v>4777</v>
      </c>
      <c r="Q27" s="88">
        <f>INT(Q$22*0.93)</f>
        <v>920</v>
      </c>
      <c r="R27" s="88">
        <f t="shared" si="5"/>
        <v>0</v>
      </c>
      <c r="S27" s="88">
        <f>INT(S$22*Simulator_Posion!D31)</f>
        <v>739</v>
      </c>
      <c r="T27" s="273">
        <f>Simulator_Posion!G31</f>
        <v>193</v>
      </c>
      <c r="U27" s="89">
        <f>U$22*0.967</f>
        <v>15.075529999999999</v>
      </c>
      <c r="V27" s="89">
        <f>V$22*0.989</f>
        <v>193.089393</v>
      </c>
      <c r="W27" s="89">
        <f>W$22*0.989</f>
        <v>14.407752</v>
      </c>
      <c r="X27" s="89">
        <f>X$22*0.967</f>
        <v>3.8505940000000001</v>
      </c>
      <c r="Y27" s="89">
        <f>INT(Y$22*0.96)</f>
        <v>1010</v>
      </c>
      <c r="Z27" s="89">
        <f t="shared" ref="Z27:AB28" si="8">Z$22*0.967</f>
        <v>3.9705019999999998</v>
      </c>
      <c r="AA27" s="89">
        <f t="shared" si="8"/>
        <v>97.676670000000001</v>
      </c>
      <c r="AB27" s="89">
        <f t="shared" si="8"/>
        <v>10.893255</v>
      </c>
      <c r="AC27" s="274">
        <f t="shared" si="6"/>
        <v>8.3000000000000007</v>
      </c>
      <c r="AD27" s="88" t="str">
        <f t="shared" si="7"/>
        <v>0.4</v>
      </c>
    </row>
    <row r="28" spans="1:30" s="5" customFormat="1" ht="16.5" customHeight="1" x14ac:dyDescent="0.3">
      <c r="A28" s="86" t="b">
        <v>0</v>
      </c>
      <c r="B28" s="229" t="s">
        <v>378</v>
      </c>
      <c r="C28" s="86">
        <f t="shared" si="3"/>
        <v>100703011</v>
      </c>
      <c r="D28" s="86">
        <f t="shared" si="3"/>
        <v>54023</v>
      </c>
      <c r="E28" s="86">
        <f t="shared" si="3"/>
        <v>55023</v>
      </c>
      <c r="F28" s="86">
        <v>530905016</v>
      </c>
      <c r="G28" s="86" t="s">
        <v>126</v>
      </c>
      <c r="H28" s="87" t="s">
        <v>138</v>
      </c>
      <c r="I28" s="269" t="s">
        <v>139</v>
      </c>
      <c r="J28" s="269" t="s">
        <v>229</v>
      </c>
      <c r="K28" s="270">
        <v>80</v>
      </c>
      <c r="L28" s="269" t="s">
        <v>430</v>
      </c>
      <c r="M28" s="88" t="s">
        <v>138</v>
      </c>
      <c r="N28" s="88" t="s">
        <v>138</v>
      </c>
      <c r="O28" s="88" t="s">
        <v>138</v>
      </c>
      <c r="P28" s="88">
        <f>INT(P$22*1.19)</f>
        <v>6113</v>
      </c>
      <c r="Q28" s="88">
        <f>INT(Q$22*1.03)</f>
        <v>1019</v>
      </c>
      <c r="R28" s="88">
        <f t="shared" si="5"/>
        <v>0</v>
      </c>
      <c r="S28" s="88">
        <f>INT(S$22*Simulator_Posion!D32)</f>
        <v>668</v>
      </c>
      <c r="T28" s="273">
        <f>Simulator_Posion!G32</f>
        <v>81</v>
      </c>
      <c r="U28" s="89">
        <f>U$22*0.967</f>
        <v>15.075529999999999</v>
      </c>
      <c r="V28" s="89">
        <f>V$22*1.006</f>
        <v>196.408422</v>
      </c>
      <c r="W28" s="89">
        <f>W$22*0.953</f>
        <v>13.883303999999999</v>
      </c>
      <c r="X28" s="89">
        <f>X$22*0.967</f>
        <v>3.8505940000000001</v>
      </c>
      <c r="Y28" s="89">
        <f>INT(Y$22*1.13)</f>
        <v>1189</v>
      </c>
      <c r="Z28" s="89">
        <f t="shared" si="8"/>
        <v>3.9705019999999998</v>
      </c>
      <c r="AA28" s="89">
        <f t="shared" si="8"/>
        <v>97.676670000000001</v>
      </c>
      <c r="AB28" s="89">
        <f t="shared" si="8"/>
        <v>10.893255</v>
      </c>
      <c r="AC28" s="274">
        <f t="shared" si="6"/>
        <v>8.3000000000000007</v>
      </c>
      <c r="AD28" s="88" t="str">
        <f t="shared" si="7"/>
        <v>0.4</v>
      </c>
    </row>
    <row r="29" spans="1:30" s="5" customFormat="1" ht="16.5" customHeight="1" x14ac:dyDescent="0.3">
      <c r="A29" s="86" t="b">
        <v>0</v>
      </c>
      <c r="B29" s="229" t="s">
        <v>379</v>
      </c>
      <c r="C29" s="86">
        <f t="shared" si="3"/>
        <v>100703012</v>
      </c>
      <c r="D29" s="86">
        <f t="shared" si="3"/>
        <v>54024</v>
      </c>
      <c r="E29" s="86">
        <f t="shared" si="3"/>
        <v>55024</v>
      </c>
      <c r="F29" s="86">
        <v>530905016</v>
      </c>
      <c r="G29" s="86" t="s">
        <v>127</v>
      </c>
      <c r="H29" s="87" t="s">
        <v>138</v>
      </c>
      <c r="I29" s="269" t="s">
        <v>139</v>
      </c>
      <c r="J29" s="269" t="s">
        <v>229</v>
      </c>
      <c r="K29" s="270">
        <v>80</v>
      </c>
      <c r="L29" s="269" t="s">
        <v>430</v>
      </c>
      <c r="M29" s="88" t="s">
        <v>138</v>
      </c>
      <c r="N29" s="88" t="s">
        <v>138</v>
      </c>
      <c r="O29" s="88" t="s">
        <v>138</v>
      </c>
      <c r="P29" s="88">
        <f>INT(P$22*0.96)</f>
        <v>4931</v>
      </c>
      <c r="Q29" s="88">
        <f>INT(Q$22*0.85)</f>
        <v>841</v>
      </c>
      <c r="R29" s="88">
        <f t="shared" si="5"/>
        <v>0</v>
      </c>
      <c r="S29" s="88">
        <f>INT(S$22*Simulator_Posion!D33)</f>
        <v>716</v>
      </c>
      <c r="T29" s="273">
        <f>Simulator_Posion!G33</f>
        <v>165</v>
      </c>
      <c r="U29" s="89">
        <f>U$22*1.011</f>
        <v>15.761489999999998</v>
      </c>
      <c r="V29" s="89">
        <f>V$22*0.967</f>
        <v>188.79417899999999</v>
      </c>
      <c r="W29" s="89">
        <f>W$22*0.959</f>
        <v>13.970711999999999</v>
      </c>
      <c r="X29" s="89">
        <f>X$22*1.011</f>
        <v>4.0258019999999997</v>
      </c>
      <c r="Y29" s="89">
        <f>INT(Y$22*0.85)</f>
        <v>895</v>
      </c>
      <c r="Z29" s="89">
        <f>Z$22*1.011</f>
        <v>4.151165999999999</v>
      </c>
      <c r="AA29" s="89">
        <f>AA$22*1.011</f>
        <v>102.12111</v>
      </c>
      <c r="AB29" s="89">
        <f>AB$22*1.011</f>
        <v>11.388914999999999</v>
      </c>
      <c r="AC29" s="274">
        <f t="shared" si="6"/>
        <v>8.3000000000000007</v>
      </c>
      <c r="AD29" s="88" t="str">
        <f t="shared" si="7"/>
        <v>0.4</v>
      </c>
    </row>
  </sheetData>
  <autoFilter ref="B2:AC21"/>
  <phoneticPr fontId="32" type="noConversion"/>
  <conditionalFormatting sqref="A6:A29">
    <cfRule type="containsText" dxfId="0" priority="1" operator="containsText" text="FALSE">
      <formula>NOT(ISERROR(SEARCH("FALSE",A6)))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9"/>
  <sheetViews>
    <sheetView tabSelected="1"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G22" sqref="G22"/>
    </sheetView>
  </sheetViews>
  <sheetFormatPr defaultColWidth="9" defaultRowHeight="16.5" customHeight="1" x14ac:dyDescent="0.3"/>
  <cols>
    <col min="1" max="1" width="23.5" customWidth="1"/>
    <col min="2" max="2" width="27.5" style="1" bestFit="1" customWidth="1"/>
    <col min="3" max="3" width="19.5" style="1" hidden="1" customWidth="1"/>
    <col min="4" max="4" width="8.5" style="1" bestFit="1" customWidth="1"/>
    <col min="5" max="5" width="20.5" style="1" customWidth="1"/>
    <col min="6" max="6" width="8.5" style="1" bestFit="1" customWidth="1"/>
    <col min="7" max="7" width="23.5" style="1" customWidth="1"/>
    <col min="8" max="8" width="20.375" style="1" customWidth="1"/>
    <col min="9" max="9" width="20.5" style="1" bestFit="1" customWidth="1"/>
    <col min="10" max="10" width="19" style="1" bestFit="1" customWidth="1"/>
    <col min="11" max="11" width="16.75" style="1" bestFit="1" customWidth="1"/>
    <col min="12" max="12" width="12.25" style="1" bestFit="1" customWidth="1"/>
    <col min="13" max="15" width="15.125" style="1" bestFit="1" customWidth="1"/>
    <col min="16" max="16" width="20.125" style="1" bestFit="1" customWidth="1"/>
    <col min="17" max="17" width="16.75" style="1" bestFit="1" customWidth="1"/>
    <col min="18" max="18" width="15.125" style="1" bestFit="1" customWidth="1"/>
  </cols>
  <sheetData>
    <row r="1" spans="1:18" ht="16.5" customHeight="1" x14ac:dyDescent="0.3">
      <c r="A1" s="61" t="s">
        <v>140</v>
      </c>
      <c r="B1" s="2" t="s">
        <v>140</v>
      </c>
      <c r="C1" s="3"/>
      <c r="D1" s="62" t="s">
        <v>442</v>
      </c>
      <c r="E1" s="62" t="s">
        <v>434</v>
      </c>
      <c r="F1" s="63" t="s">
        <v>433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16.5" customHeight="1" x14ac:dyDescent="0.3">
      <c r="A2" s="64" t="s">
        <v>0</v>
      </c>
      <c r="B2" s="4" t="s">
        <v>53</v>
      </c>
      <c r="C2" s="4" t="s">
        <v>54</v>
      </c>
      <c r="D2" s="4" t="s">
        <v>55</v>
      </c>
      <c r="E2" s="4" t="s">
        <v>56</v>
      </c>
      <c r="F2" s="4" t="s">
        <v>57</v>
      </c>
      <c r="G2" s="4" t="s">
        <v>58</v>
      </c>
      <c r="H2" s="65" t="s">
        <v>59</v>
      </c>
      <c r="I2" s="65" t="s">
        <v>60</v>
      </c>
      <c r="J2" s="65" t="s">
        <v>61</v>
      </c>
      <c r="K2" s="65" t="s">
        <v>62</v>
      </c>
      <c r="L2" s="65" t="s">
        <v>63</v>
      </c>
      <c r="M2" s="65" t="s">
        <v>64</v>
      </c>
      <c r="N2" s="65" t="s">
        <v>65</v>
      </c>
      <c r="O2" s="65" t="s">
        <v>66</v>
      </c>
      <c r="P2" s="65" t="s">
        <v>67</v>
      </c>
      <c r="Q2" s="65" t="s">
        <v>68</v>
      </c>
      <c r="R2" s="65" t="s">
        <v>69</v>
      </c>
    </row>
    <row r="3" spans="1:18" ht="16.5" customHeight="1" x14ac:dyDescent="0.3">
      <c r="A3" s="66" t="s">
        <v>23</v>
      </c>
      <c r="B3" s="66" t="s">
        <v>23</v>
      </c>
      <c r="C3" s="66" t="s">
        <v>24</v>
      </c>
      <c r="D3" s="66" t="s">
        <v>24</v>
      </c>
      <c r="E3" s="66" t="s">
        <v>24</v>
      </c>
      <c r="F3" s="66" t="s">
        <v>24</v>
      </c>
      <c r="G3" s="66" t="s">
        <v>24</v>
      </c>
      <c r="H3" s="66" t="s">
        <v>24</v>
      </c>
      <c r="I3" s="66" t="s">
        <v>24</v>
      </c>
      <c r="J3" s="66" t="s">
        <v>24</v>
      </c>
      <c r="K3" s="66" t="s">
        <v>24</v>
      </c>
      <c r="L3" s="66" t="s">
        <v>24</v>
      </c>
      <c r="M3" s="66" t="s">
        <v>24</v>
      </c>
      <c r="N3" s="66" t="s">
        <v>24</v>
      </c>
      <c r="O3" s="66" t="s">
        <v>24</v>
      </c>
      <c r="P3" s="66" t="s">
        <v>24</v>
      </c>
      <c r="Q3" s="66" t="s">
        <v>24</v>
      </c>
      <c r="R3" s="66" t="s">
        <v>24</v>
      </c>
    </row>
    <row r="4" spans="1:18" ht="40.5" customHeight="1" x14ac:dyDescent="0.3">
      <c r="A4" s="67" t="s">
        <v>25</v>
      </c>
      <c r="B4" s="67" t="s">
        <v>26</v>
      </c>
      <c r="C4" s="67" t="s">
        <v>27</v>
      </c>
      <c r="D4" s="67" t="s">
        <v>28</v>
      </c>
      <c r="E4" s="67" t="s">
        <v>28</v>
      </c>
      <c r="F4" s="67" t="s">
        <v>28</v>
      </c>
      <c r="G4" s="67" t="s">
        <v>28</v>
      </c>
      <c r="H4" s="67" t="s">
        <v>28</v>
      </c>
      <c r="I4" s="67" t="s">
        <v>28</v>
      </c>
      <c r="J4" s="67" t="s">
        <v>28</v>
      </c>
      <c r="K4" s="67" t="s">
        <v>28</v>
      </c>
      <c r="L4" s="67" t="s">
        <v>28</v>
      </c>
      <c r="M4" s="67" t="s">
        <v>28</v>
      </c>
      <c r="N4" s="67" t="s">
        <v>28</v>
      </c>
      <c r="O4" s="67" t="s">
        <v>28</v>
      </c>
      <c r="P4" s="67" t="s">
        <v>28</v>
      </c>
      <c r="Q4" s="67" t="s">
        <v>28</v>
      </c>
      <c r="R4" s="67" t="s">
        <v>28</v>
      </c>
    </row>
    <row r="5" spans="1:18" ht="16.5" customHeight="1" x14ac:dyDescent="0.3">
      <c r="A5" s="69" t="s">
        <v>29</v>
      </c>
      <c r="B5" s="69" t="s">
        <v>30</v>
      </c>
      <c r="C5" s="70" t="s">
        <v>31</v>
      </c>
      <c r="D5" s="72" t="s">
        <v>38</v>
      </c>
      <c r="E5" s="72" t="s">
        <v>39</v>
      </c>
      <c r="F5" s="72" t="s">
        <v>40</v>
      </c>
      <c r="G5" s="72" t="s">
        <v>41</v>
      </c>
      <c r="H5" s="96" t="s">
        <v>42</v>
      </c>
      <c r="I5" s="72" t="s">
        <v>43</v>
      </c>
      <c r="J5" s="97" t="s">
        <v>44</v>
      </c>
      <c r="K5" s="71" t="s">
        <v>45</v>
      </c>
      <c r="L5" s="73" t="s">
        <v>46</v>
      </c>
      <c r="M5" s="71" t="s">
        <v>320</v>
      </c>
      <c r="N5" s="71" t="s">
        <v>48</v>
      </c>
      <c r="O5" s="71" t="s">
        <v>49</v>
      </c>
      <c r="P5" s="72" t="s">
        <v>50</v>
      </c>
      <c r="Q5" s="72" t="s">
        <v>51</v>
      </c>
      <c r="R5" s="72" t="s">
        <v>52</v>
      </c>
    </row>
    <row r="6" spans="1:18" s="5" customFormat="1" ht="16.5" customHeight="1" x14ac:dyDescent="0.3">
      <c r="A6" s="74" t="b">
        <v>1</v>
      </c>
      <c r="B6" s="75" t="s">
        <v>217</v>
      </c>
      <c r="C6" s="76">
        <v>100701001</v>
      </c>
      <c r="D6" s="85">
        <f>D1*E1</f>
        <v>568</v>
      </c>
      <c r="E6" s="74">
        <v>11.034000000000001</v>
      </c>
      <c r="F6" s="74">
        <v>1</v>
      </c>
      <c r="G6" s="90">
        <v>85.64</v>
      </c>
      <c r="H6" s="98">
        <v>0.3</v>
      </c>
      <c r="I6" s="74">
        <v>0.03</v>
      </c>
      <c r="J6" s="74">
        <v>0.113</v>
      </c>
      <c r="K6" s="74">
        <v>3.5999999999999997E-2</v>
      </c>
      <c r="L6" s="78">
        <v>0.13</v>
      </c>
      <c r="M6" s="93">
        <v>236</v>
      </c>
      <c r="N6" s="78">
        <v>0.01</v>
      </c>
      <c r="O6" s="78">
        <v>0.123</v>
      </c>
      <c r="P6" s="74">
        <v>0.1</v>
      </c>
      <c r="Q6" s="74">
        <v>0.02</v>
      </c>
      <c r="R6" s="74">
        <v>0.1</v>
      </c>
    </row>
    <row r="7" spans="1:18" s="5" customFormat="1" ht="16.5" customHeight="1" x14ac:dyDescent="0.3">
      <c r="A7" s="74" t="b">
        <v>1</v>
      </c>
      <c r="B7" s="75" t="s">
        <v>219</v>
      </c>
      <c r="C7" s="79">
        <f>C6+1</f>
        <v>100701002</v>
      </c>
      <c r="D7" s="74">
        <f>INT(D$6*0.7)</f>
        <v>397</v>
      </c>
      <c r="E7" s="78">
        <f>E$6*0.95</f>
        <v>10.4823</v>
      </c>
      <c r="F7" s="74">
        <f>F6</f>
        <v>1</v>
      </c>
      <c r="G7" s="90">
        <f>G$6*Simulator_Posion!D11</f>
        <v>97.629599999999996</v>
      </c>
      <c r="H7" s="74">
        <f>H6</f>
        <v>0.3</v>
      </c>
      <c r="I7" s="74">
        <f t="shared" ref="H7:I11" si="0">I6</f>
        <v>0.03</v>
      </c>
      <c r="J7" s="78">
        <f>J$6*0.95</f>
        <v>0.10735</v>
      </c>
      <c r="K7" s="78">
        <f>K$6*1.004</f>
        <v>3.6143999999999996E-2</v>
      </c>
      <c r="L7" s="78">
        <f>L$6*0.989</f>
        <v>0.12856999999999999</v>
      </c>
      <c r="M7" s="93">
        <f>INT(M$6*1.05)</f>
        <v>247</v>
      </c>
      <c r="N7" s="78">
        <f>N$6*0.91</f>
        <v>9.1000000000000004E-3</v>
      </c>
      <c r="O7" s="78">
        <f>O$6*0.95</f>
        <v>0.11685</v>
      </c>
      <c r="P7" s="78">
        <f>P$6*0.95</f>
        <v>9.5000000000000001E-2</v>
      </c>
      <c r="Q7" s="74">
        <v>0.02</v>
      </c>
      <c r="R7" s="74">
        <f t="shared" ref="R7:R11" si="1">R6</f>
        <v>0.1</v>
      </c>
    </row>
    <row r="8" spans="1:18" s="5" customFormat="1" ht="16.5" customHeight="1" x14ac:dyDescent="0.3">
      <c r="A8" s="74" t="b">
        <v>1</v>
      </c>
      <c r="B8" s="75" t="s">
        <v>220</v>
      </c>
      <c r="C8" s="79">
        <f>C7+1</f>
        <v>100701003</v>
      </c>
      <c r="D8" s="74">
        <f>INT(D$6*0.95)</f>
        <v>539</v>
      </c>
      <c r="E8" s="78">
        <f>E$6*1.021</f>
        <v>11.265713999999999</v>
      </c>
      <c r="F8" s="74">
        <f>F7</f>
        <v>1</v>
      </c>
      <c r="G8" s="90">
        <f>G$6*Simulator_Posion!D12</f>
        <v>94.204000000000008</v>
      </c>
      <c r="H8" s="74">
        <f t="shared" si="0"/>
        <v>0.3</v>
      </c>
      <c r="I8" s="74">
        <f t="shared" si="0"/>
        <v>0.03</v>
      </c>
      <c r="J8" s="78">
        <f>J$6*1.021</f>
        <v>0.11537299999999999</v>
      </c>
      <c r="K8" s="78">
        <f>K$6*0.99</f>
        <v>3.5639999999999998E-2</v>
      </c>
      <c r="L8" s="78">
        <f>L$6*1.021</f>
        <v>0.13272999999999999</v>
      </c>
      <c r="M8" s="93">
        <f>INT(M$6*1.15)</f>
        <v>271</v>
      </c>
      <c r="N8" s="78">
        <f>N$6*1.091</f>
        <v>1.091E-2</v>
      </c>
      <c r="O8" s="78">
        <f>O$6*1.021</f>
        <v>0.125583</v>
      </c>
      <c r="P8" s="78">
        <f>P$6*1.021</f>
        <v>0.1021</v>
      </c>
      <c r="Q8" s="74">
        <v>0.02</v>
      </c>
      <c r="R8" s="74">
        <f t="shared" si="1"/>
        <v>0.1</v>
      </c>
    </row>
    <row r="9" spans="1:18" s="5" customFormat="1" ht="16.5" customHeight="1" x14ac:dyDescent="0.3">
      <c r="A9" s="74" t="b">
        <v>1</v>
      </c>
      <c r="B9" s="75" t="s">
        <v>221</v>
      </c>
      <c r="C9" s="79">
        <f>C8+1</f>
        <v>100701004</v>
      </c>
      <c r="D9" s="74">
        <f>INT(D$6*1.03)</f>
        <v>585</v>
      </c>
      <c r="E9" s="78">
        <f>E$6*0.989</f>
        <v>10.912626000000001</v>
      </c>
      <c r="F9" s="74">
        <f>F8</f>
        <v>1</v>
      </c>
      <c r="G9" s="90">
        <f>G$6*Simulator_Posion!D13</f>
        <v>89.065600000000003</v>
      </c>
      <c r="H9" s="74">
        <f t="shared" si="0"/>
        <v>0.3</v>
      </c>
      <c r="I9" s="74">
        <f t="shared" si="0"/>
        <v>0.03</v>
      </c>
      <c r="J9" s="78">
        <f>J$6*0.989</f>
        <v>0.111757</v>
      </c>
      <c r="K9" s="78">
        <f>K$6*0.95</f>
        <v>3.4199999999999994E-2</v>
      </c>
      <c r="L9" s="78">
        <f>L$6*0.99</f>
        <v>0.12870000000000001</v>
      </c>
      <c r="M9" s="93">
        <f>INT(M$6*0.9)</f>
        <v>212</v>
      </c>
      <c r="N9" s="78">
        <f>N$6*0.935</f>
        <v>9.3500000000000007E-3</v>
      </c>
      <c r="O9" s="78">
        <f>O$6*0.989</f>
        <v>0.12164699999999999</v>
      </c>
      <c r="P9" s="78">
        <f>P$6*0.989</f>
        <v>9.8900000000000002E-2</v>
      </c>
      <c r="Q9" s="74">
        <v>0.02</v>
      </c>
      <c r="R9" s="74">
        <f t="shared" si="1"/>
        <v>0.1</v>
      </c>
    </row>
    <row r="10" spans="1:18" s="5" customFormat="1" ht="16.5" customHeight="1" x14ac:dyDescent="0.3">
      <c r="A10" s="74" t="b">
        <v>1</v>
      </c>
      <c r="B10" s="75" t="s">
        <v>222</v>
      </c>
      <c r="C10" s="79">
        <f>C9+1</f>
        <v>100701005</v>
      </c>
      <c r="D10" s="74">
        <f>INT(D$6*0.9)</f>
        <v>511</v>
      </c>
      <c r="E10" s="78">
        <f>E$6*1.004</f>
        <v>11.078136000000001</v>
      </c>
      <c r="F10" s="74">
        <f>F9</f>
        <v>1</v>
      </c>
      <c r="G10" s="90">
        <f>G$6*Simulator_Posion!D14</f>
        <v>100.19879999999999</v>
      </c>
      <c r="H10" s="74">
        <f t="shared" si="0"/>
        <v>0.3</v>
      </c>
      <c r="I10" s="74">
        <f t="shared" si="0"/>
        <v>0.03</v>
      </c>
      <c r="J10" s="78">
        <f>J$6*1.004</f>
        <v>0.113452</v>
      </c>
      <c r="K10" s="78">
        <f>K$6*1.021</f>
        <v>3.6755999999999997E-2</v>
      </c>
      <c r="L10" s="78">
        <f>L$6*0.8</f>
        <v>0.10400000000000001</v>
      </c>
      <c r="M10" s="93">
        <f>INT(M$6*0.8)</f>
        <v>188</v>
      </c>
      <c r="N10" s="78">
        <f>N$6*1.004</f>
        <v>1.004E-2</v>
      </c>
      <c r="O10" s="78">
        <f>O$6*1.004</f>
        <v>0.123492</v>
      </c>
      <c r="P10" s="78">
        <f>P$6*1.004</f>
        <v>0.1004</v>
      </c>
      <c r="Q10" s="74">
        <v>0.02</v>
      </c>
      <c r="R10" s="74">
        <f t="shared" si="1"/>
        <v>0.1</v>
      </c>
    </row>
    <row r="11" spans="1:18" s="5" customFormat="1" ht="16.5" customHeight="1" x14ac:dyDescent="0.3">
      <c r="A11" s="74" t="b">
        <v>1</v>
      </c>
      <c r="B11" s="75" t="s">
        <v>223</v>
      </c>
      <c r="C11" s="79">
        <f>C10+1</f>
        <v>100701006</v>
      </c>
      <c r="D11" s="74">
        <f>INT(D$6*0.91)</f>
        <v>516</v>
      </c>
      <c r="E11" s="78">
        <f>E$6*0.99</f>
        <v>10.92366</v>
      </c>
      <c r="F11" s="74">
        <f>F10</f>
        <v>1</v>
      </c>
      <c r="G11" s="90">
        <f>G$6*Simulator_Posion!D15</f>
        <v>89.065600000000003</v>
      </c>
      <c r="H11" s="74">
        <f t="shared" si="0"/>
        <v>0.3</v>
      </c>
      <c r="I11" s="74">
        <f t="shared" si="0"/>
        <v>0.03</v>
      </c>
      <c r="J11" s="78">
        <f>J$6*0.99</f>
        <v>0.11187</v>
      </c>
      <c r="K11" s="78">
        <f>K$6*0.989</f>
        <v>3.5603999999999997E-2</v>
      </c>
      <c r="L11" s="78">
        <f>L$6*1.004</f>
        <v>0.13052</v>
      </c>
      <c r="M11" s="93">
        <f>INT(M$6*1.03)</f>
        <v>243</v>
      </c>
      <c r="N11" s="78">
        <f>N$6*0.89</f>
        <v>8.8999999999999999E-3</v>
      </c>
      <c r="O11" s="78">
        <f>O$6*0.99</f>
        <v>0.12177</v>
      </c>
      <c r="P11" s="78">
        <f>P$6*0.99</f>
        <v>9.9000000000000005E-2</v>
      </c>
      <c r="Q11" s="74">
        <v>0.02</v>
      </c>
      <c r="R11" s="74">
        <f t="shared" si="1"/>
        <v>0.1</v>
      </c>
    </row>
    <row r="12" spans="1:18" s="5" customFormat="1" ht="16.5" customHeight="1" x14ac:dyDescent="0.3">
      <c r="A12" s="81" t="b">
        <v>1</v>
      </c>
      <c r="B12" s="82" t="s">
        <v>260</v>
      </c>
      <c r="C12" s="76">
        <f>C6+1000</f>
        <v>100702001</v>
      </c>
      <c r="D12" s="278">
        <f>INT(D6*F1)</f>
        <v>681</v>
      </c>
      <c r="E12" s="81">
        <v>21.321000000000002</v>
      </c>
      <c r="F12" s="81">
        <v>1</v>
      </c>
      <c r="G12" s="91">
        <f>119.47*Simulator_Posion!D16</f>
        <v>131.417</v>
      </c>
      <c r="H12" s="81">
        <f>H11+0.05</f>
        <v>0.35</v>
      </c>
      <c r="I12" s="81">
        <v>0.05</v>
      </c>
      <c r="J12" s="81">
        <f>J6+0.05</f>
        <v>0.16300000000000001</v>
      </c>
      <c r="K12" s="81">
        <v>0.05</v>
      </c>
      <c r="L12" s="83">
        <v>0.15</v>
      </c>
      <c r="M12" s="94">
        <v>347</v>
      </c>
      <c r="N12" s="83">
        <v>1.4999999999999999E-2</v>
      </c>
      <c r="O12" s="83">
        <v>0.16700000000000001</v>
      </c>
      <c r="P12" s="81">
        <v>0.15</v>
      </c>
      <c r="Q12" s="81">
        <v>0.02</v>
      </c>
      <c r="R12" s="81">
        <v>0.1</v>
      </c>
    </row>
    <row r="13" spans="1:18" s="5" customFormat="1" ht="16.5" customHeight="1" x14ac:dyDescent="0.3">
      <c r="A13" s="81" t="b">
        <v>1</v>
      </c>
      <c r="B13" s="82" t="s">
        <v>224</v>
      </c>
      <c r="C13" s="81">
        <f>C12+1</f>
        <v>100702002</v>
      </c>
      <c r="D13" s="81">
        <f>INT(D$12*1.1)</f>
        <v>749</v>
      </c>
      <c r="E13" s="83">
        <f>E$12*0.95</f>
        <v>20.254950000000001</v>
      </c>
      <c r="F13" s="81">
        <f>F12</f>
        <v>1</v>
      </c>
      <c r="G13" s="91">
        <f>G$12*Simulator_Posion!D17</f>
        <v>144.55870000000002</v>
      </c>
      <c r="H13" s="83">
        <f>H12</f>
        <v>0.35</v>
      </c>
      <c r="I13" s="81">
        <f t="shared" ref="I13:I17" si="2">I12</f>
        <v>0.05</v>
      </c>
      <c r="J13" s="83">
        <f>J$12*0.95</f>
        <v>0.15484999999999999</v>
      </c>
      <c r="K13" s="83">
        <f>K$12*0.7</f>
        <v>3.4999999999999996E-2</v>
      </c>
      <c r="L13" s="83">
        <f>L$12*0.8</f>
        <v>0.12</v>
      </c>
      <c r="M13" s="94">
        <f>INT(M$12*0.7)</f>
        <v>242</v>
      </c>
      <c r="N13" s="83">
        <f>N$12*0.95</f>
        <v>1.4249999999999999E-2</v>
      </c>
      <c r="O13" s="83">
        <f>O$12*0.95</f>
        <v>0.15865000000000001</v>
      </c>
      <c r="P13" s="83">
        <f>P$12*0.95</f>
        <v>0.14249999999999999</v>
      </c>
      <c r="Q13" s="81">
        <v>0.02</v>
      </c>
      <c r="R13" s="81">
        <f t="shared" ref="R13:R17" si="3">R12</f>
        <v>0.1</v>
      </c>
    </row>
    <row r="14" spans="1:18" s="5" customFormat="1" ht="16.5" customHeight="1" x14ac:dyDescent="0.3">
      <c r="A14" s="81" t="b">
        <v>1</v>
      </c>
      <c r="B14" s="82" t="s">
        <v>225</v>
      </c>
      <c r="C14" s="81">
        <f>C13+1</f>
        <v>100702003</v>
      </c>
      <c r="D14" s="81">
        <f>INT(D$12*1.17)</f>
        <v>796</v>
      </c>
      <c r="E14" s="83">
        <f>E$12*1.06</f>
        <v>22.600260000000002</v>
      </c>
      <c r="F14" s="81">
        <f>F13</f>
        <v>1</v>
      </c>
      <c r="G14" s="91">
        <f>G$12*0.85</f>
        <v>111.70444999999999</v>
      </c>
      <c r="H14" s="83">
        <f t="shared" ref="H14:H17" si="4">H13</f>
        <v>0.35</v>
      </c>
      <c r="I14" s="81">
        <f t="shared" si="2"/>
        <v>0.05</v>
      </c>
      <c r="J14" s="83">
        <f>J$12*0.99</f>
        <v>0.16137000000000001</v>
      </c>
      <c r="K14" s="83">
        <f>K$12*0.967</f>
        <v>4.8350000000000004E-2</v>
      </c>
      <c r="L14" s="83">
        <f>L$12*1.1</f>
        <v>0.16500000000000001</v>
      </c>
      <c r="M14" s="94">
        <f>INT(M$12*1.11)</f>
        <v>385</v>
      </c>
      <c r="N14" s="83">
        <f>N$12*0.99</f>
        <v>1.4849999999999999E-2</v>
      </c>
      <c r="O14" s="83">
        <f>O$12*0.99</f>
        <v>0.16533</v>
      </c>
      <c r="P14" s="83">
        <f>P$12*0.99</f>
        <v>0.14849999999999999</v>
      </c>
      <c r="Q14" s="81">
        <v>0.02</v>
      </c>
      <c r="R14" s="81">
        <f t="shared" si="3"/>
        <v>0.1</v>
      </c>
    </row>
    <row r="15" spans="1:18" s="5" customFormat="1" ht="16.5" customHeight="1" x14ac:dyDescent="0.3">
      <c r="A15" s="81" t="b">
        <v>1</v>
      </c>
      <c r="B15" s="82" t="s">
        <v>226</v>
      </c>
      <c r="C15" s="81">
        <f>C14+1</f>
        <v>100702004</v>
      </c>
      <c r="D15" s="81">
        <f>INT(D$12*0.92)</f>
        <v>626</v>
      </c>
      <c r="E15" s="83">
        <f>E$12*0.989</f>
        <v>21.086469000000001</v>
      </c>
      <c r="F15" s="81">
        <f>F14</f>
        <v>1</v>
      </c>
      <c r="G15" s="91">
        <f>G$12*1.05</f>
        <v>137.98785000000001</v>
      </c>
      <c r="H15" s="83">
        <f t="shared" si="4"/>
        <v>0.35</v>
      </c>
      <c r="I15" s="81">
        <f t="shared" si="2"/>
        <v>0.05</v>
      </c>
      <c r="J15" s="83">
        <f>J$12*0.989</f>
        <v>0.16120700000000002</v>
      </c>
      <c r="K15" s="83">
        <f>K$12*0.989</f>
        <v>4.9450000000000001E-2</v>
      </c>
      <c r="L15" s="83">
        <f>L$12*0.989</f>
        <v>0.14834999999999998</v>
      </c>
      <c r="M15" s="94">
        <f>INT(M$12*0.92)</f>
        <v>319</v>
      </c>
      <c r="N15" s="83">
        <f>N$12*1.1</f>
        <v>1.6500000000000001E-2</v>
      </c>
      <c r="O15" s="83">
        <f>O$12*0.989</f>
        <v>0.165163</v>
      </c>
      <c r="P15" s="83">
        <f>P$12*0.989</f>
        <v>0.14834999999999998</v>
      </c>
      <c r="Q15" s="81">
        <v>0.02</v>
      </c>
      <c r="R15" s="81">
        <f t="shared" si="3"/>
        <v>0.1</v>
      </c>
    </row>
    <row r="16" spans="1:18" s="5" customFormat="1" ht="16.5" customHeight="1" x14ac:dyDescent="0.3">
      <c r="A16" s="81" t="b">
        <v>1</v>
      </c>
      <c r="B16" s="82" t="s">
        <v>227</v>
      </c>
      <c r="C16" s="81">
        <f>C15+1</f>
        <v>100702005</v>
      </c>
      <c r="D16" s="81">
        <f>INT(D$12*0.97)</f>
        <v>660</v>
      </c>
      <c r="E16" s="83">
        <f>E$12*1.004</f>
        <v>21.406284000000003</v>
      </c>
      <c r="F16" s="81">
        <f>F15</f>
        <v>1</v>
      </c>
      <c r="G16" s="91">
        <f>G$12*1.004</f>
        <v>131.942668</v>
      </c>
      <c r="H16" s="83">
        <f t="shared" si="4"/>
        <v>0.35</v>
      </c>
      <c r="I16" s="81">
        <f t="shared" si="2"/>
        <v>0.05</v>
      </c>
      <c r="J16" s="83">
        <f>J$12*1.004</f>
        <v>0.16365200000000002</v>
      </c>
      <c r="K16" s="83">
        <f>K$12*0.95</f>
        <v>4.7500000000000001E-2</v>
      </c>
      <c r="L16" s="83">
        <f>L$12*1.004</f>
        <v>0.15059999999999998</v>
      </c>
      <c r="M16" s="94">
        <f>INT(M$12*1.1)</f>
        <v>381</v>
      </c>
      <c r="N16" s="83">
        <f>N$12*0.95</f>
        <v>1.4249999999999999E-2</v>
      </c>
      <c r="O16" s="83">
        <f>O$12*1.004</f>
        <v>0.16766800000000001</v>
      </c>
      <c r="P16" s="83">
        <f>P$12*1.004</f>
        <v>0.15059999999999998</v>
      </c>
      <c r="Q16" s="81">
        <v>0.02</v>
      </c>
      <c r="R16" s="81">
        <f t="shared" si="3"/>
        <v>0.1</v>
      </c>
    </row>
    <row r="17" spans="1:18" s="5" customFormat="1" ht="16.5" customHeight="1" x14ac:dyDescent="0.3">
      <c r="A17" s="81" t="b">
        <v>1</v>
      </c>
      <c r="B17" s="82" t="s">
        <v>228</v>
      </c>
      <c r="C17" s="81">
        <f>C16+1</f>
        <v>100702006</v>
      </c>
      <c r="D17" s="81">
        <f>INT(D$12*1.01)</f>
        <v>687</v>
      </c>
      <c r="E17" s="83">
        <f>E$12*0.967</f>
        <v>20.617407</v>
      </c>
      <c r="F17" s="81">
        <f>F16</f>
        <v>1</v>
      </c>
      <c r="G17" s="91">
        <f>G$12*0.967</f>
        <v>127.08023899999999</v>
      </c>
      <c r="H17" s="83">
        <f t="shared" si="4"/>
        <v>0.35</v>
      </c>
      <c r="I17" s="81">
        <f t="shared" si="2"/>
        <v>0.05</v>
      </c>
      <c r="J17" s="83">
        <f>J$12*1.15</f>
        <v>0.18745000000000001</v>
      </c>
      <c r="K17" s="83">
        <f>K$12*0.99</f>
        <v>4.9500000000000002E-2</v>
      </c>
      <c r="L17" s="83">
        <f>L$12*0.9</f>
        <v>0.13500000000000001</v>
      </c>
      <c r="M17" s="94">
        <f>INT(M$12*0.92)</f>
        <v>319</v>
      </c>
      <c r="N17" s="83">
        <f>N$12*1.07</f>
        <v>1.6050000000000002E-2</v>
      </c>
      <c r="O17" s="83">
        <f>O$12*0.967</f>
        <v>0.16148899999999999</v>
      </c>
      <c r="P17" s="83">
        <f>P$12*0.967</f>
        <v>0.14504999999999998</v>
      </c>
      <c r="Q17" s="81">
        <v>0.02</v>
      </c>
      <c r="R17" s="81">
        <f t="shared" si="3"/>
        <v>0.1</v>
      </c>
    </row>
    <row r="18" spans="1:18" s="5" customFormat="1" ht="16.5" customHeight="1" x14ac:dyDescent="0.3">
      <c r="A18" s="74" t="b">
        <v>1</v>
      </c>
      <c r="B18" s="75" t="s">
        <v>261</v>
      </c>
      <c r="C18" s="76">
        <f>C12+1000</f>
        <v>100703001</v>
      </c>
      <c r="D18" s="235">
        <f>INT(D12*F1)</f>
        <v>817</v>
      </c>
      <c r="E18" s="74">
        <v>31.616</v>
      </c>
      <c r="F18" s="74">
        <v>1</v>
      </c>
      <c r="G18" s="90">
        <f>161.72*Simulator_Posion!D22</f>
        <v>167.11066666666667</v>
      </c>
      <c r="H18" s="74">
        <f>H12+0.05</f>
        <v>0.39999999999999997</v>
      </c>
      <c r="I18" s="74">
        <v>7.0000000000000007E-2</v>
      </c>
      <c r="J18" s="74">
        <f>J12+0.05</f>
        <v>0.21300000000000002</v>
      </c>
      <c r="K18" s="74">
        <v>7.0000000000000007E-2</v>
      </c>
      <c r="L18" s="78">
        <v>0.2</v>
      </c>
      <c r="M18" s="93">
        <v>485</v>
      </c>
      <c r="N18" s="78">
        <v>2.1000000000000001E-2</v>
      </c>
      <c r="O18" s="78">
        <v>0.20699999999999999</v>
      </c>
      <c r="P18" s="74">
        <v>0.2</v>
      </c>
      <c r="Q18" s="74">
        <v>0.02</v>
      </c>
      <c r="R18" s="74">
        <v>0.1</v>
      </c>
    </row>
    <row r="19" spans="1:18" s="5" customFormat="1" ht="16.5" customHeight="1" x14ac:dyDescent="0.3">
      <c r="A19" s="74" t="b">
        <v>1</v>
      </c>
      <c r="B19" s="75" t="s">
        <v>230</v>
      </c>
      <c r="C19" s="74">
        <f t="shared" ref="C19:C29" si="5">C18+1</f>
        <v>100703002</v>
      </c>
      <c r="D19" s="74">
        <f>INT(D$18*0.92)</f>
        <v>751</v>
      </c>
      <c r="E19" s="78">
        <f>E$18*0.95</f>
        <v>30.0352</v>
      </c>
      <c r="F19" s="74">
        <f>F18</f>
        <v>1</v>
      </c>
      <c r="G19" s="90">
        <f>G$18*Simulator_Posion!D23</f>
        <v>157.08402666666669</v>
      </c>
      <c r="H19" s="74">
        <f>H18</f>
        <v>0.39999999999999997</v>
      </c>
      <c r="I19" s="74">
        <f t="shared" ref="H19:I21" si="6">I18</f>
        <v>7.0000000000000007E-2</v>
      </c>
      <c r="J19" s="78">
        <f>J$18*1.004</f>
        <v>0.21385200000000001</v>
      </c>
      <c r="K19" s="78">
        <f>K$18*0.989</f>
        <v>6.923E-2</v>
      </c>
      <c r="L19" s="78">
        <f>L$18*0.95</f>
        <v>0.19</v>
      </c>
      <c r="M19" s="78">
        <f>INT(M$18*0.82)</f>
        <v>397</v>
      </c>
      <c r="N19" s="78">
        <f>N$18*0.95</f>
        <v>1.9949999999999999E-2</v>
      </c>
      <c r="O19" s="78">
        <f>O$18*0.95</f>
        <v>0.19664999999999999</v>
      </c>
      <c r="P19" s="78">
        <f>P$18*1.2</f>
        <v>0.24</v>
      </c>
      <c r="Q19" s="74">
        <v>0.02</v>
      </c>
      <c r="R19" s="74">
        <f t="shared" ref="R19:R21" si="7">R18</f>
        <v>0.1</v>
      </c>
    </row>
    <row r="20" spans="1:18" s="5" customFormat="1" ht="16.5" customHeight="1" x14ac:dyDescent="0.3">
      <c r="A20" s="74" t="b">
        <v>1</v>
      </c>
      <c r="B20" s="75" t="s">
        <v>231</v>
      </c>
      <c r="C20" s="74">
        <f t="shared" si="5"/>
        <v>100703003</v>
      </c>
      <c r="D20" s="74">
        <f>INT(D$18*0.98)</f>
        <v>800</v>
      </c>
      <c r="E20" s="78">
        <f>E$18*1.004</f>
        <v>31.742463999999998</v>
      </c>
      <c r="F20" s="74">
        <f>F19</f>
        <v>1</v>
      </c>
      <c r="G20" s="90">
        <f>G$18*Simulator_Posion!D24</f>
        <v>173.79509333333334</v>
      </c>
      <c r="H20" s="74">
        <f>H18</f>
        <v>0.39999999999999997</v>
      </c>
      <c r="I20" s="74">
        <f t="shared" si="6"/>
        <v>7.0000000000000007E-2</v>
      </c>
      <c r="J20" s="78">
        <f>J$18*0.95</f>
        <v>0.20235</v>
      </c>
      <c r="K20" s="78">
        <f>K$18*1.004</f>
        <v>7.0280000000000009E-2</v>
      </c>
      <c r="L20" s="78">
        <f>L$18*1.004</f>
        <v>0.20080000000000001</v>
      </c>
      <c r="M20" s="78">
        <f>INT(M$18*0.97)</f>
        <v>470</v>
      </c>
      <c r="N20" s="78">
        <f>N$18*1.004</f>
        <v>2.1084000000000002E-2</v>
      </c>
      <c r="O20" s="78">
        <f>O$18*1.004</f>
        <v>0.20782799999999998</v>
      </c>
      <c r="P20" s="78">
        <f>P$18*1.24</f>
        <v>0.248</v>
      </c>
      <c r="Q20" s="74">
        <v>0.02</v>
      </c>
      <c r="R20" s="74">
        <f t="shared" si="7"/>
        <v>0.1</v>
      </c>
    </row>
    <row r="21" spans="1:18" s="5" customFormat="1" ht="16.5" customHeight="1" x14ac:dyDescent="0.3">
      <c r="A21" s="74" t="b">
        <v>1</v>
      </c>
      <c r="B21" s="75" t="s">
        <v>232</v>
      </c>
      <c r="C21" s="74">
        <f t="shared" si="5"/>
        <v>100703004</v>
      </c>
      <c r="D21" s="74">
        <f>INT(D$18*0.86)</f>
        <v>702</v>
      </c>
      <c r="E21" s="78">
        <f>E$18*0.989</f>
        <v>31.268224</v>
      </c>
      <c r="F21" s="74">
        <f>F20</f>
        <v>1</v>
      </c>
      <c r="G21" s="90">
        <f>G$18*Simulator_Posion!D25</f>
        <v>178.80841333333336</v>
      </c>
      <c r="H21" s="74">
        <f t="shared" si="6"/>
        <v>0.39999999999999997</v>
      </c>
      <c r="I21" s="74">
        <f t="shared" si="6"/>
        <v>7.0000000000000007E-2</v>
      </c>
      <c r="J21" s="78">
        <f>J$18*0.989</f>
        <v>0.21065700000000001</v>
      </c>
      <c r="K21" s="78">
        <f>K$18*0.95</f>
        <v>6.6500000000000004E-2</v>
      </c>
      <c r="L21" s="78">
        <f>L$18*0.989</f>
        <v>0.1978</v>
      </c>
      <c r="M21" s="78">
        <f>INT(M$18*0.83)</f>
        <v>402</v>
      </c>
      <c r="N21" s="78">
        <f>N$18*1.07</f>
        <v>2.2470000000000004E-2</v>
      </c>
      <c r="O21" s="78">
        <f>O$18*0.989</f>
        <v>0.20472299999999999</v>
      </c>
      <c r="P21" s="78">
        <f>P$18*0.989</f>
        <v>0.1978</v>
      </c>
      <c r="Q21" s="74">
        <v>0.02</v>
      </c>
      <c r="R21" s="74">
        <f t="shared" si="7"/>
        <v>0.1</v>
      </c>
    </row>
    <row r="22" spans="1:18" s="5" customFormat="1" ht="16.5" customHeight="1" x14ac:dyDescent="0.3">
      <c r="A22" s="86" t="b">
        <v>0</v>
      </c>
      <c r="B22" s="229" t="s">
        <v>372</v>
      </c>
      <c r="C22" s="86">
        <f t="shared" si="5"/>
        <v>100703005</v>
      </c>
      <c r="D22" s="86">
        <v>342</v>
      </c>
      <c r="E22" s="86">
        <v>41.908000000000001</v>
      </c>
      <c r="F22" s="86">
        <v>1</v>
      </c>
      <c r="G22" s="92">
        <f>201.31*Simulator_Posion!D26</f>
        <v>214.73066666666668</v>
      </c>
      <c r="H22" s="86">
        <f>H21+0.05</f>
        <v>0.44999999999999996</v>
      </c>
      <c r="I22" s="86">
        <v>0.09</v>
      </c>
      <c r="J22" s="86">
        <f>J18+0.05</f>
        <v>0.26300000000000001</v>
      </c>
      <c r="K22" s="86">
        <v>0.09</v>
      </c>
      <c r="L22" s="89">
        <v>0.3</v>
      </c>
      <c r="M22" s="148">
        <v>578</v>
      </c>
      <c r="N22" s="89">
        <v>0.03</v>
      </c>
      <c r="O22" s="89">
        <v>0.23899999999999999</v>
      </c>
      <c r="P22" s="86">
        <v>0.25</v>
      </c>
      <c r="Q22" s="86">
        <v>0.02</v>
      </c>
      <c r="R22" s="86">
        <v>0.1</v>
      </c>
    </row>
    <row r="23" spans="1:18" s="5" customFormat="1" ht="16.5" customHeight="1" x14ac:dyDescent="0.3">
      <c r="A23" s="86" t="b">
        <v>0</v>
      </c>
      <c r="B23" s="229" t="s">
        <v>373</v>
      </c>
      <c r="C23" s="86">
        <f t="shared" si="5"/>
        <v>100703006</v>
      </c>
      <c r="D23" s="88">
        <f>INT(D$22*1.03)</f>
        <v>352</v>
      </c>
      <c r="E23" s="89">
        <f>E$22*0.959</f>
        <v>40.189771999999998</v>
      </c>
      <c r="F23" s="88">
        <f t="shared" ref="F23:F29" si="8">F22</f>
        <v>1</v>
      </c>
      <c r="G23" s="92">
        <f>G$22*Simulator_Posion!D27</f>
        <v>188.96298666666667</v>
      </c>
      <c r="H23" s="88">
        <f t="shared" ref="H23:J29" si="9">H22</f>
        <v>0.44999999999999996</v>
      </c>
      <c r="I23" s="88">
        <f t="shared" si="9"/>
        <v>0.09</v>
      </c>
      <c r="J23" s="88">
        <f t="shared" si="9"/>
        <v>0.26300000000000001</v>
      </c>
      <c r="K23" s="88">
        <f t="shared" ref="K23" si="10">K22</f>
        <v>0.09</v>
      </c>
      <c r="L23" s="89">
        <f>L$22*0.959</f>
        <v>0.28769999999999996</v>
      </c>
      <c r="M23" s="95">
        <f>INT(M$22*1.07)</f>
        <v>618</v>
      </c>
      <c r="N23" s="89">
        <f>N$22*0.959</f>
        <v>2.8769999999999997E-2</v>
      </c>
      <c r="O23" s="89">
        <f>O$22*0.959</f>
        <v>0.22920099999999999</v>
      </c>
      <c r="P23" s="89">
        <f>P$22*0.959</f>
        <v>0.23974999999999999</v>
      </c>
      <c r="Q23" s="88">
        <v>0.02</v>
      </c>
      <c r="R23" s="88">
        <f t="shared" ref="R23:R29" si="11">R22</f>
        <v>0.1</v>
      </c>
    </row>
    <row r="24" spans="1:18" s="5" customFormat="1" ht="16.5" customHeight="1" x14ac:dyDescent="0.3">
      <c r="A24" s="86" t="b">
        <v>0</v>
      </c>
      <c r="B24" s="229" t="s">
        <v>374</v>
      </c>
      <c r="C24" s="86">
        <f t="shared" si="5"/>
        <v>100703007</v>
      </c>
      <c r="D24" s="88">
        <f>INT(D$22*0.85)</f>
        <v>290</v>
      </c>
      <c r="E24" s="89">
        <f>E$22*0.953</f>
        <v>39.938324000000001</v>
      </c>
      <c r="F24" s="88">
        <f t="shared" si="8"/>
        <v>1</v>
      </c>
      <c r="G24" s="92">
        <f>G$22*Simulator_Posion!D28</f>
        <v>195.40490666666668</v>
      </c>
      <c r="H24" s="88">
        <f t="shared" si="9"/>
        <v>0.44999999999999996</v>
      </c>
      <c r="I24" s="88">
        <f t="shared" si="9"/>
        <v>0.09</v>
      </c>
      <c r="J24" s="88">
        <f t="shared" si="9"/>
        <v>0.26300000000000001</v>
      </c>
      <c r="K24" s="88">
        <f t="shared" ref="K24" si="12">K23</f>
        <v>0.09</v>
      </c>
      <c r="L24" s="89">
        <f>L$22*0.953</f>
        <v>0.28589999999999999</v>
      </c>
      <c r="M24" s="95">
        <f>INT(M$22*0.93)</f>
        <v>537</v>
      </c>
      <c r="N24" s="89">
        <f>N$22*0.953</f>
        <v>2.8589999999999997E-2</v>
      </c>
      <c r="O24" s="89">
        <f>O$22*0.953</f>
        <v>0.22776699999999997</v>
      </c>
      <c r="P24" s="89">
        <f>P$22*0.953</f>
        <v>0.23824999999999999</v>
      </c>
      <c r="Q24" s="88">
        <v>0.02</v>
      </c>
      <c r="R24" s="88">
        <f t="shared" si="11"/>
        <v>0.1</v>
      </c>
    </row>
    <row r="25" spans="1:18" s="5" customFormat="1" ht="16.5" customHeight="1" x14ac:dyDescent="0.3">
      <c r="A25" s="86" t="b">
        <v>0</v>
      </c>
      <c r="B25" s="229" t="s">
        <v>375</v>
      </c>
      <c r="C25" s="86">
        <f t="shared" si="5"/>
        <v>100703008</v>
      </c>
      <c r="D25" s="88">
        <f>INT(D$22*1.13)</f>
        <v>386</v>
      </c>
      <c r="E25" s="89">
        <f>E$22*0.989</f>
        <v>41.447012000000001</v>
      </c>
      <c r="F25" s="88">
        <f t="shared" si="8"/>
        <v>1</v>
      </c>
      <c r="G25" s="92">
        <f>G$22*Simulator_Posion!D29</f>
        <v>223.31989333333334</v>
      </c>
      <c r="H25" s="88">
        <f t="shared" si="9"/>
        <v>0.44999999999999996</v>
      </c>
      <c r="I25" s="88">
        <f t="shared" si="9"/>
        <v>0.09</v>
      </c>
      <c r="J25" s="88">
        <f t="shared" si="9"/>
        <v>0.26300000000000001</v>
      </c>
      <c r="K25" s="88">
        <f t="shared" ref="K25" si="13">K24</f>
        <v>0.09</v>
      </c>
      <c r="L25" s="89">
        <f>L$22*0.989</f>
        <v>0.29669999999999996</v>
      </c>
      <c r="M25" s="95">
        <f>INT(M$22*1.03)</f>
        <v>595</v>
      </c>
      <c r="N25" s="89">
        <f>N$22*0.989</f>
        <v>2.9669999999999998E-2</v>
      </c>
      <c r="O25" s="89">
        <f>O$22*0.989</f>
        <v>0.236371</v>
      </c>
      <c r="P25" s="89">
        <f>P$22*0.989</f>
        <v>0.24725</v>
      </c>
      <c r="Q25" s="88">
        <v>0.02</v>
      </c>
      <c r="R25" s="88">
        <f t="shared" si="11"/>
        <v>0.1</v>
      </c>
    </row>
    <row r="26" spans="1:18" s="5" customFormat="1" ht="16.5" customHeight="1" x14ac:dyDescent="0.3">
      <c r="A26" s="86" t="b">
        <v>0</v>
      </c>
      <c r="B26" s="229" t="s">
        <v>376</v>
      </c>
      <c r="C26" s="86">
        <f t="shared" si="5"/>
        <v>100703009</v>
      </c>
      <c r="D26" s="88">
        <f>INT(D$22*1.07)</f>
        <v>365</v>
      </c>
      <c r="E26" s="89">
        <f>E$22*1.006</f>
        <v>42.159448000000005</v>
      </c>
      <c r="F26" s="88">
        <f t="shared" si="8"/>
        <v>1</v>
      </c>
      <c r="G26" s="92">
        <f>G$22*Simulator_Posion!D30</f>
        <v>208.28874666666667</v>
      </c>
      <c r="H26" s="88">
        <f t="shared" si="9"/>
        <v>0.44999999999999996</v>
      </c>
      <c r="I26" s="88">
        <f t="shared" si="9"/>
        <v>0.09</v>
      </c>
      <c r="J26" s="88">
        <f t="shared" si="9"/>
        <v>0.26300000000000001</v>
      </c>
      <c r="K26" s="88">
        <f t="shared" ref="K26" si="14">K25</f>
        <v>0.09</v>
      </c>
      <c r="L26" s="89">
        <f>L$22*1.006</f>
        <v>0.30180000000000001</v>
      </c>
      <c r="M26" s="95">
        <f>INT(M$22*1.19)</f>
        <v>687</v>
      </c>
      <c r="N26" s="89">
        <f>N$22*1.006</f>
        <v>3.0179999999999998E-2</v>
      </c>
      <c r="O26" s="89">
        <f>O$22*1.006</f>
        <v>0.24043399999999998</v>
      </c>
      <c r="P26" s="89">
        <f>P$22*1.006</f>
        <v>0.2515</v>
      </c>
      <c r="Q26" s="88">
        <v>0.02</v>
      </c>
      <c r="R26" s="88">
        <f t="shared" si="11"/>
        <v>0.1</v>
      </c>
    </row>
    <row r="27" spans="1:18" s="5" customFormat="1" ht="16.5" customHeight="1" x14ac:dyDescent="0.3">
      <c r="A27" s="86" t="b">
        <v>0</v>
      </c>
      <c r="B27" s="229" t="s">
        <v>377</v>
      </c>
      <c r="C27" s="86">
        <f t="shared" si="5"/>
        <v>100703010</v>
      </c>
      <c r="D27" s="88">
        <f>INT(D$22*0.93)</f>
        <v>318</v>
      </c>
      <c r="E27" s="89">
        <f>E$22*0.967</f>
        <v>40.525036</v>
      </c>
      <c r="F27" s="88">
        <f t="shared" si="8"/>
        <v>1</v>
      </c>
      <c r="G27" s="92">
        <f>G$22*Simulator_Posion!D31</f>
        <v>201.84682666666669</v>
      </c>
      <c r="H27" s="88">
        <f t="shared" si="9"/>
        <v>0.44999999999999996</v>
      </c>
      <c r="I27" s="88">
        <f t="shared" si="9"/>
        <v>0.09</v>
      </c>
      <c r="J27" s="88">
        <f t="shared" si="9"/>
        <v>0.26300000000000001</v>
      </c>
      <c r="K27" s="88">
        <f t="shared" ref="K27" si="15">K26</f>
        <v>0.09</v>
      </c>
      <c r="L27" s="89">
        <f>L$22*0.967</f>
        <v>0.29009999999999997</v>
      </c>
      <c r="M27" s="95">
        <f>INT(M$22*0.96)</f>
        <v>554</v>
      </c>
      <c r="N27" s="89">
        <f t="shared" ref="N27:P28" si="16">N$22*0.967</f>
        <v>2.9009999999999998E-2</v>
      </c>
      <c r="O27" s="89">
        <f t="shared" si="16"/>
        <v>0.23111299999999999</v>
      </c>
      <c r="P27" s="89">
        <f t="shared" si="16"/>
        <v>0.24174999999999999</v>
      </c>
      <c r="Q27" s="88">
        <v>0.02</v>
      </c>
      <c r="R27" s="88">
        <f t="shared" si="11"/>
        <v>0.1</v>
      </c>
    </row>
    <row r="28" spans="1:18" s="5" customFormat="1" ht="16.5" customHeight="1" x14ac:dyDescent="0.3">
      <c r="A28" s="86" t="b">
        <v>0</v>
      </c>
      <c r="B28" s="229" t="s">
        <v>378</v>
      </c>
      <c r="C28" s="86">
        <f t="shared" si="5"/>
        <v>100703011</v>
      </c>
      <c r="D28" s="88">
        <f>INT(D$22*1.19)</f>
        <v>406</v>
      </c>
      <c r="E28" s="89">
        <f>E$22*0.967</f>
        <v>40.525036</v>
      </c>
      <c r="F28" s="88">
        <f t="shared" si="8"/>
        <v>1</v>
      </c>
      <c r="G28" s="92">
        <f>G$22*Simulator_Posion!D32</f>
        <v>182.52106666666668</v>
      </c>
      <c r="H28" s="88">
        <f t="shared" si="9"/>
        <v>0.44999999999999996</v>
      </c>
      <c r="I28" s="88">
        <f t="shared" si="9"/>
        <v>0.09</v>
      </c>
      <c r="J28" s="88">
        <f t="shared" si="9"/>
        <v>0.26300000000000001</v>
      </c>
      <c r="K28" s="88">
        <f t="shared" ref="K28" si="17">K27</f>
        <v>0.09</v>
      </c>
      <c r="L28" s="89">
        <f>L$22*0.967</f>
        <v>0.29009999999999997</v>
      </c>
      <c r="M28" s="95">
        <f>INT(M$22*1.13)</f>
        <v>653</v>
      </c>
      <c r="N28" s="89">
        <f t="shared" si="16"/>
        <v>2.9009999999999998E-2</v>
      </c>
      <c r="O28" s="89">
        <f t="shared" si="16"/>
        <v>0.23111299999999999</v>
      </c>
      <c r="P28" s="89">
        <f t="shared" si="16"/>
        <v>0.24174999999999999</v>
      </c>
      <c r="Q28" s="88">
        <v>0.02</v>
      </c>
      <c r="R28" s="88">
        <f t="shared" si="11"/>
        <v>0.1</v>
      </c>
    </row>
    <row r="29" spans="1:18" s="5" customFormat="1" ht="16.5" customHeight="1" x14ac:dyDescent="0.3">
      <c r="A29" s="86" t="b">
        <v>0</v>
      </c>
      <c r="B29" s="229" t="s">
        <v>379</v>
      </c>
      <c r="C29" s="86">
        <f t="shared" si="5"/>
        <v>100703012</v>
      </c>
      <c r="D29" s="88">
        <f>INT(D$22*0.96)</f>
        <v>328</v>
      </c>
      <c r="E29" s="89">
        <f>E$22*1.011</f>
        <v>42.368987999999995</v>
      </c>
      <c r="F29" s="88">
        <f t="shared" si="8"/>
        <v>1</v>
      </c>
      <c r="G29" s="92">
        <f>G$22*Simulator_Posion!D33</f>
        <v>195.40490666666668</v>
      </c>
      <c r="H29" s="88">
        <f t="shared" si="9"/>
        <v>0.44999999999999996</v>
      </c>
      <c r="I29" s="88">
        <f t="shared" si="9"/>
        <v>0.09</v>
      </c>
      <c r="J29" s="88">
        <f t="shared" si="9"/>
        <v>0.26300000000000001</v>
      </c>
      <c r="K29" s="88">
        <f t="shared" ref="K29" si="18">K28</f>
        <v>0.09</v>
      </c>
      <c r="L29" s="89">
        <f>L$22*1.011</f>
        <v>0.30329999999999996</v>
      </c>
      <c r="M29" s="95">
        <f>INT(M$22*0.85)</f>
        <v>491</v>
      </c>
      <c r="N29" s="89">
        <f>N$22*1.011</f>
        <v>3.0329999999999996E-2</v>
      </c>
      <c r="O29" s="89">
        <f>O$22*1.011</f>
        <v>0.24162899999999995</v>
      </c>
      <c r="P29" s="89">
        <f>P$22*1.011</f>
        <v>0.25274999999999997</v>
      </c>
      <c r="Q29" s="88">
        <v>0.02</v>
      </c>
      <c r="R29" s="88">
        <f t="shared" si="11"/>
        <v>0.1</v>
      </c>
    </row>
  </sheetData>
  <autoFilter ref="B2:R21"/>
  <phoneticPr fontId="31" type="noConversion"/>
  <conditionalFormatting sqref="A6:A29">
    <cfRule type="containsText" dxfId="1" priority="1" operator="containsText" text="FALSE">
      <formula>NOT(ISERROR(SEARCH("FALSE",A6)))</formula>
    </cfRule>
  </conditionalFormatting>
  <pageMargins left="0.7" right="0.7" top="0.75" bottom="0.75" header="0.3" footer="0.3"/>
  <pageSetup paperSize="9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C33" sqref="C33"/>
    </sheetView>
  </sheetViews>
  <sheetFormatPr defaultColWidth="9" defaultRowHeight="16.5" customHeight="1" x14ac:dyDescent="0.3"/>
  <cols>
    <col min="1" max="1" width="22.625" bestFit="1" customWidth="1"/>
    <col min="2" max="2" width="22.625" style="1" bestFit="1" customWidth="1"/>
    <col min="3" max="3" width="8.625" style="1" bestFit="1" customWidth="1"/>
    <col min="4" max="4" width="14.125" style="1" bestFit="1" customWidth="1"/>
    <col min="5" max="5" width="24.875" style="1" bestFit="1" customWidth="1"/>
  </cols>
  <sheetData>
    <row r="1" spans="1:5" ht="16.5" customHeight="1" x14ac:dyDescent="0.3">
      <c r="A1" s="6" t="s">
        <v>141</v>
      </c>
      <c r="B1" s="2" t="s">
        <v>141</v>
      </c>
      <c r="C1" s="7"/>
      <c r="D1" s="8"/>
      <c r="E1" s="8"/>
    </row>
    <row r="2" spans="1:5" ht="16.5" customHeight="1" x14ac:dyDescent="0.3">
      <c r="A2" s="9" t="s">
        <v>70</v>
      </c>
      <c r="B2" s="9" t="s">
        <v>70</v>
      </c>
      <c r="C2" s="9" t="s">
        <v>70</v>
      </c>
      <c r="D2" s="9" t="s">
        <v>70</v>
      </c>
      <c r="E2" s="9" t="s">
        <v>70</v>
      </c>
    </row>
    <row r="3" spans="1:5" ht="16.5" customHeight="1" x14ac:dyDescent="0.3">
      <c r="A3" s="10" t="s">
        <v>23</v>
      </c>
      <c r="B3" s="11" t="s">
        <v>23</v>
      </c>
      <c r="C3" s="10" t="s">
        <v>24</v>
      </c>
      <c r="D3" s="10" t="s">
        <v>24</v>
      </c>
      <c r="E3" s="10" t="s">
        <v>24</v>
      </c>
    </row>
    <row r="4" spans="1:5" ht="16.5" customHeight="1" x14ac:dyDescent="0.3">
      <c r="A4" s="28" t="s">
        <v>25</v>
      </c>
      <c r="B4" s="28" t="s">
        <v>26</v>
      </c>
      <c r="C4" s="28" t="s">
        <v>27</v>
      </c>
      <c r="D4" s="28" t="s">
        <v>27</v>
      </c>
      <c r="E4" s="28" t="s">
        <v>27</v>
      </c>
    </row>
    <row r="5" spans="1:5" ht="16.5" customHeight="1" x14ac:dyDescent="0.3">
      <c r="A5" s="32" t="s">
        <v>29</v>
      </c>
      <c r="B5" s="32" t="s">
        <v>30</v>
      </c>
      <c r="C5" s="32" t="s">
        <v>142</v>
      </c>
      <c r="D5" s="32" t="s">
        <v>143</v>
      </c>
      <c r="E5" s="32" t="s">
        <v>144</v>
      </c>
    </row>
    <row r="6" spans="1:5" ht="16.5" customHeight="1" x14ac:dyDescent="0.3">
      <c r="A6" s="21" t="b">
        <v>1</v>
      </c>
      <c r="B6" s="22" t="s">
        <v>71</v>
      </c>
      <c r="C6" s="21">
        <v>1</v>
      </c>
      <c r="D6" s="23">
        <v>0</v>
      </c>
      <c r="E6" s="23">
        <v>85</v>
      </c>
    </row>
    <row r="7" spans="1:5" ht="16.5" customHeight="1" x14ac:dyDescent="0.3">
      <c r="A7" s="21" t="b">
        <v>1</v>
      </c>
      <c r="B7" s="22" t="s">
        <v>72</v>
      </c>
      <c r="C7" s="21">
        <v>2</v>
      </c>
      <c r="D7" s="23">
        <f>D6+E6</f>
        <v>85</v>
      </c>
      <c r="E7" s="23">
        <v>289</v>
      </c>
    </row>
    <row r="8" spans="1:5" ht="16.5" customHeight="1" x14ac:dyDescent="0.3">
      <c r="A8" s="21" t="b">
        <v>1</v>
      </c>
      <c r="B8" s="22" t="s">
        <v>73</v>
      </c>
      <c r="C8" s="21">
        <v>3</v>
      </c>
      <c r="D8" s="23">
        <f>D7+E7</f>
        <v>374</v>
      </c>
      <c r="E8" s="23">
        <v>519</v>
      </c>
    </row>
    <row r="9" spans="1:5" ht="16.5" customHeight="1" x14ac:dyDescent="0.3">
      <c r="A9" s="21" t="b">
        <v>1</v>
      </c>
      <c r="B9" s="22" t="s">
        <v>74</v>
      </c>
      <c r="C9" s="21">
        <v>4</v>
      </c>
      <c r="D9" s="23">
        <f t="shared" ref="D9:D35" si="0">D8+E8</f>
        <v>893</v>
      </c>
      <c r="E9" s="23">
        <v>773</v>
      </c>
    </row>
    <row r="10" spans="1:5" ht="16.5" customHeight="1" x14ac:dyDescent="0.3">
      <c r="A10" s="21" t="b">
        <v>1</v>
      </c>
      <c r="B10" s="22" t="s">
        <v>75</v>
      </c>
      <c r="C10" s="21">
        <v>5</v>
      </c>
      <c r="D10" s="23">
        <f t="shared" si="0"/>
        <v>1666</v>
      </c>
      <c r="E10" s="23">
        <v>1053</v>
      </c>
    </row>
    <row r="11" spans="1:5" ht="16.5" customHeight="1" x14ac:dyDescent="0.3">
      <c r="A11" s="21" t="b">
        <v>1</v>
      </c>
      <c r="B11" s="22" t="s">
        <v>76</v>
      </c>
      <c r="C11" s="21">
        <v>6</v>
      </c>
      <c r="D11" s="23">
        <f t="shared" si="0"/>
        <v>2719</v>
      </c>
      <c r="E11" s="23">
        <v>1362</v>
      </c>
    </row>
    <row r="12" spans="1:5" ht="16.5" customHeight="1" x14ac:dyDescent="0.3">
      <c r="A12" s="21" t="b">
        <v>1</v>
      </c>
      <c r="B12" s="22" t="s">
        <v>77</v>
      </c>
      <c r="C12" s="21">
        <v>7</v>
      </c>
      <c r="D12" s="23">
        <f t="shared" si="0"/>
        <v>4081</v>
      </c>
      <c r="E12" s="23">
        <v>1703</v>
      </c>
    </row>
    <row r="13" spans="1:5" ht="16.5" customHeight="1" x14ac:dyDescent="0.3">
      <c r="A13" s="21" t="b">
        <v>1</v>
      </c>
      <c r="B13" s="22" t="s">
        <v>78</v>
      </c>
      <c r="C13" s="21">
        <v>8</v>
      </c>
      <c r="D13" s="23">
        <f t="shared" si="0"/>
        <v>5784</v>
      </c>
      <c r="E13" s="23">
        <v>2079</v>
      </c>
    </row>
    <row r="14" spans="1:5" ht="16.5" customHeight="1" x14ac:dyDescent="0.3">
      <c r="A14" s="21" t="b">
        <v>1</v>
      </c>
      <c r="B14" s="22" t="s">
        <v>79</v>
      </c>
      <c r="C14" s="21">
        <v>9</v>
      </c>
      <c r="D14" s="23">
        <f t="shared" si="0"/>
        <v>7863</v>
      </c>
      <c r="E14" s="23">
        <v>2493</v>
      </c>
    </row>
    <row r="15" spans="1:5" ht="16.5" customHeight="1" x14ac:dyDescent="0.3">
      <c r="A15" s="21" t="b">
        <v>1</v>
      </c>
      <c r="B15" s="22" t="s">
        <v>80</v>
      </c>
      <c r="C15" s="21">
        <v>10</v>
      </c>
      <c r="D15" s="23">
        <f t="shared" si="0"/>
        <v>10356</v>
      </c>
      <c r="E15" s="23">
        <v>2950</v>
      </c>
    </row>
    <row r="16" spans="1:5" ht="16.5" customHeight="1" x14ac:dyDescent="0.3">
      <c r="A16" s="21" t="b">
        <v>1</v>
      </c>
      <c r="B16" s="22" t="s">
        <v>81</v>
      </c>
      <c r="C16" s="21">
        <v>11</v>
      </c>
      <c r="D16" s="23">
        <f t="shared" si="0"/>
        <v>13306</v>
      </c>
      <c r="E16" s="23">
        <v>3432</v>
      </c>
    </row>
    <row r="17" spans="1:5" ht="16.5" customHeight="1" x14ac:dyDescent="0.3">
      <c r="A17" s="21" t="b">
        <v>1</v>
      </c>
      <c r="B17" s="22" t="s">
        <v>82</v>
      </c>
      <c r="C17" s="21">
        <v>12</v>
      </c>
      <c r="D17" s="23">
        <f t="shared" si="0"/>
        <v>16738</v>
      </c>
      <c r="E17" s="23">
        <v>3964</v>
      </c>
    </row>
    <row r="18" spans="1:5" ht="16.5" customHeight="1" x14ac:dyDescent="0.3">
      <c r="A18" s="21" t="b">
        <v>1</v>
      </c>
      <c r="B18" s="22" t="s">
        <v>83</v>
      </c>
      <c r="C18" s="21">
        <v>13</v>
      </c>
      <c r="D18" s="23">
        <f t="shared" si="0"/>
        <v>20702</v>
      </c>
      <c r="E18" s="23">
        <v>4551</v>
      </c>
    </row>
    <row r="19" spans="1:5" ht="16.5" customHeight="1" x14ac:dyDescent="0.3">
      <c r="A19" s="21" t="b">
        <v>1</v>
      </c>
      <c r="B19" s="22" t="s">
        <v>84</v>
      </c>
      <c r="C19" s="21">
        <v>14</v>
      </c>
      <c r="D19" s="23">
        <f t="shared" si="0"/>
        <v>25253</v>
      </c>
      <c r="E19" s="23">
        <v>5198</v>
      </c>
    </row>
    <row r="20" spans="1:5" ht="16.5" customHeight="1" x14ac:dyDescent="0.3">
      <c r="A20" s="21" t="b">
        <v>1</v>
      </c>
      <c r="B20" s="22" t="s">
        <v>85</v>
      </c>
      <c r="C20" s="21">
        <v>15</v>
      </c>
      <c r="D20" s="23">
        <f t="shared" si="0"/>
        <v>30451</v>
      </c>
      <c r="E20" s="23">
        <v>5912</v>
      </c>
    </row>
    <row r="21" spans="1:5" ht="16.5" customHeight="1" x14ac:dyDescent="0.3">
      <c r="A21" s="21" t="b">
        <v>1</v>
      </c>
      <c r="B21" s="22" t="s">
        <v>86</v>
      </c>
      <c r="C21" s="21">
        <v>16</v>
      </c>
      <c r="D21" s="23">
        <f t="shared" si="0"/>
        <v>36363</v>
      </c>
      <c r="E21" s="23">
        <v>6699</v>
      </c>
    </row>
    <row r="22" spans="1:5" ht="16.5" customHeight="1" x14ac:dyDescent="0.3">
      <c r="A22" s="21" t="b">
        <v>1</v>
      </c>
      <c r="B22" s="22" t="s">
        <v>87</v>
      </c>
      <c r="C22" s="21">
        <v>17</v>
      </c>
      <c r="D22" s="23">
        <f t="shared" si="0"/>
        <v>43062</v>
      </c>
      <c r="E22" s="23">
        <v>7567</v>
      </c>
    </row>
    <row r="23" spans="1:5" ht="16.5" customHeight="1" x14ac:dyDescent="0.3">
      <c r="A23" s="21" t="b">
        <v>1</v>
      </c>
      <c r="B23" s="22" t="s">
        <v>88</v>
      </c>
      <c r="C23" s="21">
        <v>18</v>
      </c>
      <c r="D23" s="23">
        <f t="shared" si="0"/>
        <v>50629</v>
      </c>
      <c r="E23" s="23">
        <v>8525</v>
      </c>
    </row>
    <row r="24" spans="1:5" ht="16.5" customHeight="1" x14ac:dyDescent="0.3">
      <c r="A24" s="21" t="b">
        <v>1</v>
      </c>
      <c r="B24" s="22" t="s">
        <v>89</v>
      </c>
      <c r="C24" s="21">
        <v>19</v>
      </c>
      <c r="D24" s="23">
        <f t="shared" si="0"/>
        <v>59154</v>
      </c>
      <c r="E24" s="23">
        <v>9581</v>
      </c>
    </row>
    <row r="25" spans="1:5" ht="16.5" customHeight="1" x14ac:dyDescent="0.3">
      <c r="A25" s="21" t="b">
        <v>1</v>
      </c>
      <c r="B25" s="22" t="s">
        <v>90</v>
      </c>
      <c r="C25" s="21">
        <v>20</v>
      </c>
      <c r="D25" s="23">
        <f t="shared" si="0"/>
        <v>68735</v>
      </c>
      <c r="E25" s="23">
        <v>10746</v>
      </c>
    </row>
    <row r="26" spans="1:5" ht="16.5" customHeight="1" x14ac:dyDescent="0.3">
      <c r="A26" s="21" t="b">
        <v>1</v>
      </c>
      <c r="B26" s="22" t="s">
        <v>91</v>
      </c>
      <c r="C26" s="21">
        <v>21</v>
      </c>
      <c r="D26" s="23">
        <f t="shared" si="0"/>
        <v>79481</v>
      </c>
      <c r="E26" s="23">
        <v>12031</v>
      </c>
    </row>
    <row r="27" spans="1:5" ht="16.5" customHeight="1" x14ac:dyDescent="0.3">
      <c r="A27" s="21" t="b">
        <v>1</v>
      </c>
      <c r="B27" s="22" t="s">
        <v>92</v>
      </c>
      <c r="C27" s="21">
        <v>22</v>
      </c>
      <c r="D27" s="23">
        <f t="shared" si="0"/>
        <v>91512</v>
      </c>
      <c r="E27" s="23">
        <v>13448</v>
      </c>
    </row>
    <row r="28" spans="1:5" ht="16.5" customHeight="1" x14ac:dyDescent="0.3">
      <c r="A28" s="21" t="b">
        <v>1</v>
      </c>
      <c r="B28" s="22" t="s">
        <v>93</v>
      </c>
      <c r="C28" s="21">
        <v>23</v>
      </c>
      <c r="D28" s="23">
        <f t="shared" si="0"/>
        <v>104960</v>
      </c>
      <c r="E28" s="23">
        <v>15011</v>
      </c>
    </row>
    <row r="29" spans="1:5" ht="16.5" customHeight="1" x14ac:dyDescent="0.3">
      <c r="A29" s="21" t="b">
        <v>1</v>
      </c>
      <c r="B29" s="22" t="s">
        <v>94</v>
      </c>
      <c r="C29" s="21">
        <v>24</v>
      </c>
      <c r="D29" s="23">
        <f t="shared" si="0"/>
        <v>119971</v>
      </c>
      <c r="E29" s="23">
        <v>16735</v>
      </c>
    </row>
    <row r="30" spans="1:5" ht="16.5" customHeight="1" x14ac:dyDescent="0.3">
      <c r="A30" s="21" t="b">
        <v>1</v>
      </c>
      <c r="B30" s="22" t="s">
        <v>95</v>
      </c>
      <c r="C30" s="21">
        <v>25</v>
      </c>
      <c r="D30" s="23">
        <f t="shared" si="0"/>
        <v>136706</v>
      </c>
      <c r="E30" s="23">
        <v>18637</v>
      </c>
    </row>
    <row r="31" spans="1:5" ht="16.5" customHeight="1" x14ac:dyDescent="0.3">
      <c r="A31" s="21" t="b">
        <v>1</v>
      </c>
      <c r="B31" s="22" t="s">
        <v>96</v>
      </c>
      <c r="C31" s="21">
        <v>26</v>
      </c>
      <c r="D31" s="23">
        <f t="shared" si="0"/>
        <v>155343</v>
      </c>
      <c r="E31" s="23">
        <v>20735</v>
      </c>
    </row>
    <row r="32" spans="1:5" ht="16.5" customHeight="1" x14ac:dyDescent="0.3">
      <c r="A32" s="21" t="b">
        <v>1</v>
      </c>
      <c r="B32" s="22" t="s">
        <v>97</v>
      </c>
      <c r="C32" s="21">
        <v>27</v>
      </c>
      <c r="D32" s="23">
        <f t="shared" si="0"/>
        <v>176078</v>
      </c>
      <c r="E32" s="23">
        <v>23049</v>
      </c>
    </row>
    <row r="33" spans="1:5" ht="16.5" customHeight="1" x14ac:dyDescent="0.3">
      <c r="A33" s="21" t="b">
        <v>1</v>
      </c>
      <c r="B33" s="22" t="s">
        <v>98</v>
      </c>
      <c r="C33" s="21">
        <v>28</v>
      </c>
      <c r="D33" s="23">
        <f t="shared" si="0"/>
        <v>199127</v>
      </c>
      <c r="E33" s="23">
        <v>25601</v>
      </c>
    </row>
    <row r="34" spans="1:5" ht="16.5" customHeight="1" x14ac:dyDescent="0.3">
      <c r="A34" s="21" t="b">
        <v>1</v>
      </c>
      <c r="B34" s="22" t="s">
        <v>99</v>
      </c>
      <c r="C34" s="21">
        <v>29</v>
      </c>
      <c r="D34" s="23">
        <f t="shared" si="0"/>
        <v>224728</v>
      </c>
      <c r="E34" s="23">
        <v>28416</v>
      </c>
    </row>
    <row r="35" spans="1:5" ht="16.5" customHeight="1" x14ac:dyDescent="0.3">
      <c r="A35" s="21" t="b">
        <v>1</v>
      </c>
      <c r="B35" s="22" t="s">
        <v>100</v>
      </c>
      <c r="C35" s="21">
        <v>30</v>
      </c>
      <c r="D35" s="23">
        <f t="shared" si="0"/>
        <v>253144</v>
      </c>
      <c r="E35" s="23">
        <v>31521</v>
      </c>
    </row>
  </sheetData>
  <phoneticPr fontId="3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 지정된 범위</vt:lpstr>
      </vt:variant>
      <vt:variant>
        <vt:i4>2</vt:i4>
      </vt:variant>
    </vt:vector>
  </HeadingPairs>
  <TitlesOfParts>
    <vt:vector size="15" baseType="lpstr">
      <vt:lpstr>Simulator_ALL</vt:lpstr>
      <vt:lpstr>Simulator_HP</vt:lpstr>
      <vt:lpstr>Simulator_AttkPow</vt:lpstr>
      <vt:lpstr>Simulator_DfsPow</vt:lpstr>
      <vt:lpstr>Simulator_Posion</vt:lpstr>
      <vt:lpstr>Simulator_SkillPower</vt:lpstr>
      <vt:lpstr>Servant</vt:lpstr>
      <vt:lpstr>ServantLevelUPdStatus</vt:lpstr>
      <vt:lpstr>ServantLevelExperience</vt:lpstr>
      <vt:lpstr>ServantAchievement</vt:lpstr>
      <vt:lpstr>ServantPieceStoreProduct</vt:lpstr>
      <vt:lpstr>ServantPieceStore_BackUp</vt:lpstr>
      <vt:lpstr>ServantPieceStoreProduct_BackUp</vt:lpstr>
      <vt:lpstr>Servant!_FilterDatabase</vt:lpstr>
      <vt:lpstr>ServantLevelUPdStatus!_FilterDatabase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</dc:creator>
  <cp:lastModifiedBy>KangDoHee</cp:lastModifiedBy>
  <dcterms:created xsi:type="dcterms:W3CDTF">2013-11-11T11:04:50Z</dcterms:created>
  <dcterms:modified xsi:type="dcterms:W3CDTF">2017-03-02T09:56:34Z</dcterms:modified>
</cp:coreProperties>
</file>