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W_Work\17. NOX\"/>
    </mc:Choice>
  </mc:AlternateContent>
  <bookViews>
    <workbookView xWindow="360" yWindow="45" windowWidth="28035" windowHeight="12570"/>
  </bookViews>
  <sheets>
    <sheet name="종합" sheetId="7" r:id="rId1"/>
    <sheet name="시뮬레이션-액트별 등급 확률개선" sheetId="5" r:id="rId2"/>
    <sheet name="녹스&amp;히트(현재) 뽑기" sheetId="6" r:id="rId3"/>
  </sheets>
  <calcPr calcId="171027"/>
</workbook>
</file>

<file path=xl/calcChain.xml><?xml version="1.0" encoding="utf-8"?>
<calcChain xmlns="http://schemas.openxmlformats.org/spreadsheetml/2006/main">
  <c r="U46" i="5" l="1"/>
  <c r="U47" i="5" s="1"/>
  <c r="U42" i="5"/>
  <c r="U44" i="5" s="1"/>
  <c r="U40" i="5"/>
  <c r="U35" i="5"/>
  <c r="U34" i="5"/>
  <c r="U31" i="5"/>
  <c r="U30" i="5"/>
  <c r="U29" i="5"/>
  <c r="U32" i="5" s="1"/>
  <c r="U28" i="5"/>
  <c r="U36" i="5" l="1"/>
  <c r="U33" i="5"/>
  <c r="U41" i="5"/>
  <c r="U43" i="5" s="1"/>
  <c r="U45" i="5" s="1"/>
  <c r="U48" i="5" l="1"/>
  <c r="R22" i="7" l="1"/>
  <c r="R21" i="7"/>
  <c r="R20" i="7"/>
  <c r="R19" i="7"/>
  <c r="R18" i="7"/>
  <c r="R28" i="7" l="1"/>
  <c r="R27" i="7"/>
  <c r="R26" i="7"/>
  <c r="Y23" i="7"/>
  <c r="AA23" i="7"/>
  <c r="AA25" i="7"/>
  <c r="AA24" i="7"/>
  <c r="Y25" i="7"/>
  <c r="Y24" i="7"/>
  <c r="J24" i="7"/>
  <c r="H27" i="7"/>
  <c r="J30" i="7" l="1"/>
  <c r="K30" i="7"/>
  <c r="L30" i="7"/>
  <c r="L20" i="5" l="1"/>
  <c r="L21" i="5"/>
  <c r="L22" i="5"/>
  <c r="L23" i="5"/>
  <c r="L24" i="5"/>
  <c r="L25" i="5"/>
  <c r="L26" i="5"/>
  <c r="L27" i="5"/>
  <c r="G34" i="5"/>
  <c r="G43" i="5"/>
  <c r="G39" i="5"/>
  <c r="G35" i="5"/>
  <c r="G30" i="5"/>
  <c r="G29" i="5"/>
  <c r="G11" i="5"/>
  <c r="E58" i="5"/>
  <c r="E57" i="5"/>
  <c r="G57" i="5" s="1"/>
  <c r="E56" i="5"/>
  <c r="E55" i="5"/>
  <c r="E54" i="5"/>
  <c r="E53" i="5"/>
  <c r="E52" i="5"/>
  <c r="E51" i="5"/>
  <c r="E50" i="5"/>
  <c r="G50" i="5" s="1"/>
  <c r="E49" i="5"/>
  <c r="E48" i="5"/>
  <c r="E47" i="5"/>
  <c r="E46" i="5"/>
  <c r="E45" i="5"/>
  <c r="E44" i="5"/>
  <c r="N43" i="5"/>
  <c r="E43" i="5"/>
  <c r="E42" i="5"/>
  <c r="E41" i="5"/>
  <c r="E40" i="5"/>
  <c r="E39" i="5"/>
  <c r="M38" i="5"/>
  <c r="E38" i="5"/>
  <c r="M37" i="5"/>
  <c r="E37" i="5"/>
  <c r="M36" i="5"/>
  <c r="E36" i="5"/>
  <c r="M35" i="5"/>
  <c r="E35" i="5"/>
  <c r="M34" i="5"/>
  <c r="E34" i="5"/>
  <c r="M33" i="5"/>
  <c r="E33" i="5"/>
  <c r="G33" i="5" s="1"/>
  <c r="E32" i="5"/>
  <c r="G32" i="5" s="1"/>
  <c r="E31" i="5"/>
  <c r="E30" i="5"/>
  <c r="E29" i="5"/>
  <c r="E28" i="5"/>
  <c r="E27" i="5"/>
  <c r="E26" i="5"/>
  <c r="E25" i="5"/>
  <c r="E24" i="5"/>
  <c r="G24" i="5" s="1"/>
  <c r="S23" i="5"/>
  <c r="V23" i="5" s="1"/>
  <c r="E23" i="5"/>
  <c r="S22" i="5"/>
  <c r="V22" i="5" s="1"/>
  <c r="E22" i="5"/>
  <c r="S21" i="5"/>
  <c r="V21" i="5" s="1"/>
  <c r="E21" i="5"/>
  <c r="S20" i="5"/>
  <c r="V20" i="5" s="1"/>
  <c r="E20" i="5"/>
  <c r="G20" i="5" s="1"/>
  <c r="E19" i="5"/>
  <c r="E18" i="5"/>
  <c r="G18" i="5" s="1"/>
  <c r="E17" i="5"/>
  <c r="E16" i="5"/>
  <c r="P15" i="5"/>
  <c r="G58" i="5" s="1"/>
  <c r="Y7" i="7" s="1"/>
  <c r="E15" i="5"/>
  <c r="S14" i="5"/>
  <c r="V14" i="5" s="1"/>
  <c r="P14" i="5"/>
  <c r="G48" i="5" s="1"/>
  <c r="E14" i="5"/>
  <c r="S13" i="5"/>
  <c r="V13" i="5" s="1"/>
  <c r="P13" i="5"/>
  <c r="G40" i="5" s="1"/>
  <c r="E13" i="5"/>
  <c r="S12" i="5"/>
  <c r="V12" i="5" s="1"/>
  <c r="P12" i="5"/>
  <c r="E12" i="5"/>
  <c r="G12" i="5" s="1"/>
  <c r="S11" i="5"/>
  <c r="V11" i="5" s="1"/>
  <c r="P11" i="5"/>
  <c r="E11" i="5"/>
  <c r="S10" i="5"/>
  <c r="V10" i="5" s="1"/>
  <c r="P10" i="5"/>
  <c r="E10" i="5"/>
  <c r="S9" i="5"/>
  <c r="V9" i="5" s="1"/>
  <c r="P9" i="5"/>
  <c r="G23" i="5" s="1"/>
  <c r="E9" i="5"/>
  <c r="V8" i="5"/>
  <c r="T8" i="5"/>
  <c r="W8" i="5" s="1"/>
  <c r="S8" i="5"/>
  <c r="P8" i="5"/>
  <c r="E8" i="5"/>
  <c r="G19" i="5" l="1"/>
  <c r="G53" i="5"/>
  <c r="G47" i="5"/>
  <c r="C43" i="5"/>
  <c r="G36" i="5"/>
  <c r="G44" i="5"/>
  <c r="G10" i="5"/>
  <c r="G14" i="5"/>
  <c r="G22" i="5"/>
  <c r="G28" i="5"/>
  <c r="G38" i="5"/>
  <c r="G42" i="5"/>
  <c r="G52" i="5"/>
  <c r="G56" i="5"/>
  <c r="G46" i="5"/>
  <c r="G15" i="5"/>
  <c r="G16" i="5"/>
  <c r="G54" i="5"/>
  <c r="G25" i="5"/>
  <c r="G8" i="5"/>
  <c r="G9" i="5"/>
  <c r="G13" i="5"/>
  <c r="G17" i="5"/>
  <c r="G21" i="5"/>
  <c r="G27" i="5"/>
  <c r="G31" i="5"/>
  <c r="G37" i="5"/>
  <c r="G41" i="5"/>
  <c r="G51" i="5"/>
  <c r="G55" i="5"/>
  <c r="G26" i="5"/>
  <c r="G45" i="5"/>
  <c r="G49" i="5"/>
  <c r="C8" i="5"/>
  <c r="V15" i="5"/>
  <c r="V24" i="5"/>
  <c r="C15" i="5"/>
  <c r="C52" i="5"/>
  <c r="C56" i="5"/>
  <c r="C12" i="5"/>
  <c r="C21" i="5"/>
  <c r="C23" i="5"/>
  <c r="C10" i="5"/>
  <c r="C14" i="5"/>
  <c r="C16" i="5"/>
  <c r="C17" i="5"/>
  <c r="C18" i="5"/>
  <c r="C19" i="5"/>
  <c r="C20" i="5"/>
  <c r="C22" i="5"/>
  <c r="C24" i="5"/>
  <c r="C25" i="5"/>
  <c r="C27" i="5"/>
  <c r="C30" i="5"/>
  <c r="C38" i="5"/>
  <c r="C11" i="5"/>
  <c r="C31" i="5"/>
  <c r="C36" i="5"/>
  <c r="C39" i="5"/>
  <c r="C51" i="5"/>
  <c r="C53" i="5"/>
  <c r="C55" i="5"/>
  <c r="C57" i="5"/>
  <c r="C26" i="5"/>
  <c r="C28" i="5"/>
  <c r="C32" i="5"/>
  <c r="C42" i="5"/>
  <c r="C44" i="5"/>
  <c r="C45" i="5"/>
  <c r="C46" i="5"/>
  <c r="C47" i="5"/>
  <c r="C48" i="5"/>
  <c r="C49" i="5"/>
  <c r="C34" i="5"/>
  <c r="C40" i="5"/>
  <c r="C41" i="5"/>
  <c r="C50" i="5"/>
  <c r="C54" i="5"/>
  <c r="C9" i="5"/>
  <c r="C13" i="5"/>
  <c r="C29" i="5"/>
  <c r="C33" i="5"/>
  <c r="C35" i="5"/>
  <c r="C37" i="5"/>
  <c r="U12" i="7"/>
  <c r="U11" i="7"/>
  <c r="U10" i="7"/>
  <c r="U9" i="7"/>
  <c r="U8" i="7"/>
  <c r="U7" i="7"/>
  <c r="U6" i="7"/>
  <c r="T12" i="7"/>
  <c r="T11" i="7"/>
  <c r="T10" i="7"/>
  <c r="T9" i="7"/>
  <c r="T8" i="7"/>
  <c r="T7" i="7"/>
  <c r="T6" i="7"/>
  <c r="R4" i="5" l="1"/>
  <c r="N4" i="5"/>
  <c r="G4" i="5"/>
  <c r="T22" i="7" l="1"/>
  <c r="T21" i="7"/>
  <c r="T20" i="7"/>
  <c r="T19" i="7"/>
  <c r="T18" i="7"/>
  <c r="U18" i="7"/>
  <c r="U22" i="7"/>
  <c r="U19" i="7"/>
  <c r="R35" i="7"/>
  <c r="T35" i="7" s="1"/>
  <c r="U35" i="7" s="1"/>
  <c r="Z23" i="7"/>
  <c r="Z24" i="7"/>
  <c r="R37" i="7"/>
  <c r="R36" i="7"/>
  <c r="X36" i="7" s="1"/>
  <c r="R34" i="7"/>
  <c r="R33" i="7"/>
  <c r="Z25" i="7"/>
  <c r="U21" i="7"/>
  <c r="U20" i="7"/>
  <c r="T23" i="7" l="1"/>
  <c r="V35" i="7"/>
  <c r="X35" i="7"/>
  <c r="V36" i="7"/>
  <c r="R29" i="7"/>
  <c r="W35" i="7"/>
  <c r="U23" i="7"/>
  <c r="Y11" i="7"/>
  <c r="Y9" i="7"/>
  <c r="Y12" i="7"/>
  <c r="Y10" i="7"/>
  <c r="T33" i="7"/>
  <c r="U33" i="7" s="1"/>
  <c r="V33" i="7"/>
  <c r="T34" i="7"/>
  <c r="V34" i="7"/>
  <c r="Y8" i="7"/>
  <c r="U13" i="7"/>
  <c r="T37" i="7"/>
  <c r="U37" i="7" s="1"/>
  <c r="V37" i="7"/>
  <c r="T36" i="7"/>
  <c r="U36" i="7" s="1"/>
  <c r="M30" i="7" l="1"/>
  <c r="M29" i="7"/>
  <c r="M24" i="7"/>
  <c r="M28" i="7"/>
  <c r="M35" i="7"/>
  <c r="M23" i="7"/>
  <c r="M31" i="7"/>
  <c r="M27" i="7"/>
  <c r="N23" i="7"/>
  <c r="N27" i="7"/>
  <c r="N31" i="7"/>
  <c r="N35" i="7"/>
  <c r="N25" i="7"/>
  <c r="N37" i="7"/>
  <c r="N24" i="7"/>
  <c r="N28" i="7"/>
  <c r="N32" i="7"/>
  <c r="N36" i="7"/>
  <c r="N3" i="7"/>
  <c r="N33" i="7"/>
  <c r="N26" i="7"/>
  <c r="N30" i="7"/>
  <c r="N34" i="7"/>
  <c r="N38" i="7"/>
  <c r="N29" i="7"/>
  <c r="N7" i="7"/>
  <c r="V38" i="7"/>
  <c r="Y17" i="7" s="1"/>
  <c r="Y16" i="7" s="1"/>
  <c r="E30" i="7"/>
  <c r="E9" i="7"/>
  <c r="E7" i="7"/>
  <c r="F7" i="7" s="1"/>
  <c r="E28" i="7"/>
  <c r="E8" i="7"/>
  <c r="E27" i="7"/>
  <c r="F27" i="7" s="1"/>
  <c r="E29" i="7"/>
  <c r="E10" i="7"/>
  <c r="U34" i="7"/>
  <c r="W34" i="7"/>
  <c r="X34" i="7" s="1"/>
  <c r="E32" i="7"/>
  <c r="E13" i="7"/>
  <c r="E34" i="7"/>
  <c r="E33" i="7"/>
  <c r="E31" i="7"/>
  <c r="F31" i="7" s="1"/>
  <c r="E14" i="7"/>
  <c r="E12" i="7"/>
  <c r="E11" i="7"/>
  <c r="F11" i="7" s="1"/>
  <c r="E25" i="7"/>
  <c r="E26" i="7"/>
  <c r="E5" i="7"/>
  <c r="E6" i="7"/>
  <c r="E4" i="7"/>
  <c r="E3" i="7"/>
  <c r="F3" i="7" s="1"/>
  <c r="H3" i="7" s="1"/>
  <c r="E24" i="7"/>
  <c r="E23" i="7"/>
  <c r="F23" i="7" s="1"/>
  <c r="W33" i="7"/>
  <c r="E38" i="7"/>
  <c r="E15" i="7"/>
  <c r="F15" i="7" s="1"/>
  <c r="E37" i="7"/>
  <c r="E35" i="7"/>
  <c r="F35" i="7" s="1"/>
  <c r="E18" i="7"/>
  <c r="E17" i="7"/>
  <c r="E16" i="7"/>
  <c r="E36" i="7"/>
  <c r="U38" i="7" l="1"/>
  <c r="Y18" i="7" s="1"/>
  <c r="D9" i="7"/>
  <c r="F9" i="7" s="1"/>
  <c r="H35" i="7"/>
  <c r="H15" i="7"/>
  <c r="X33" i="7"/>
  <c r="X38" i="7" s="1"/>
  <c r="W38" i="7"/>
  <c r="H31" i="7"/>
  <c r="H7" i="7"/>
  <c r="D17" i="7"/>
  <c r="F17" i="7" s="1"/>
  <c r="D13" i="7"/>
  <c r="F13" i="7" s="1"/>
  <c r="D5" i="7"/>
  <c r="F5" i="7" s="1"/>
  <c r="H11" i="7"/>
  <c r="H23" i="7"/>
  <c r="Z17" i="7" l="1"/>
  <c r="Z18" i="7"/>
  <c r="J5" i="7"/>
  <c r="J10" i="7"/>
  <c r="J18" i="7"/>
  <c r="J14" i="7"/>
  <c r="Z16" i="7"/>
  <c r="J17" i="7"/>
  <c r="D4" i="7"/>
  <c r="F4" i="7" s="1"/>
  <c r="G4" i="7" s="1"/>
  <c r="J13" i="7"/>
  <c r="J9" i="7"/>
  <c r="G5" i="7"/>
  <c r="D16" i="7"/>
  <c r="F16" i="7" s="1"/>
  <c r="D18" i="7"/>
  <c r="F18" i="7" s="1"/>
  <c r="D14" i="7"/>
  <c r="F14" i="7" s="1"/>
  <c r="D10" i="7"/>
  <c r="F10" i="7" s="1"/>
  <c r="D6" i="7"/>
  <c r="F6" i="7" s="1"/>
  <c r="G6" i="7" s="1"/>
  <c r="J6" i="7"/>
  <c r="G13" i="7"/>
  <c r="G17" i="7"/>
  <c r="G9" i="7"/>
  <c r="D8" i="7" l="1"/>
  <c r="F8" i="7" s="1"/>
  <c r="G8" i="7" s="1"/>
  <c r="J12" i="7"/>
  <c r="J16" i="7"/>
  <c r="J8" i="7"/>
  <c r="J4" i="7"/>
  <c r="D12" i="7"/>
  <c r="F12" i="7" s="1"/>
  <c r="G12" i="7" s="1"/>
  <c r="G18" i="7"/>
  <c r="G10" i="7"/>
  <c r="G14" i="7"/>
  <c r="G16" i="7"/>
  <c r="M44" i="5" l="1"/>
  <c r="N44" i="5"/>
  <c r="T9" i="5" l="1"/>
  <c r="W9" i="5" s="1"/>
  <c r="T10" i="5"/>
  <c r="M45" i="5"/>
  <c r="N45" i="5"/>
  <c r="M46" i="5" l="1"/>
  <c r="T11" i="5"/>
  <c r="W11" i="5" s="1"/>
  <c r="T20" i="5"/>
  <c r="W20" i="5" s="1"/>
  <c r="N46" i="5"/>
  <c r="P23" i="5" s="1"/>
  <c r="P27" i="5"/>
  <c r="W10" i="5"/>
  <c r="H29" i="5" l="1"/>
  <c r="H31" i="5"/>
  <c r="H30" i="5"/>
  <c r="H28" i="5"/>
  <c r="H27" i="5"/>
  <c r="H32" i="5"/>
  <c r="H58" i="5"/>
  <c r="H54" i="5"/>
  <c r="H56" i="5"/>
  <c r="H55" i="5"/>
  <c r="H53" i="5"/>
  <c r="H50" i="5"/>
  <c r="H52" i="5"/>
  <c r="H57" i="5"/>
  <c r="H51" i="5"/>
  <c r="P26" i="5"/>
  <c r="P24" i="5"/>
  <c r="T12" i="5"/>
  <c r="T21" i="5"/>
  <c r="W21" i="5" s="1"/>
  <c r="N47" i="5"/>
  <c r="M47" i="5"/>
  <c r="P22" i="5"/>
  <c r="P21" i="5"/>
  <c r="P20" i="5"/>
  <c r="P25" i="5"/>
  <c r="H42" i="5" l="1"/>
  <c r="H41" i="5"/>
  <c r="H37" i="5"/>
  <c r="H38" i="5"/>
  <c r="H35" i="5"/>
  <c r="H43" i="5"/>
  <c r="H40" i="5"/>
  <c r="H39" i="5"/>
  <c r="H36" i="5"/>
  <c r="H34" i="5"/>
  <c r="H33" i="5"/>
  <c r="H8" i="5"/>
  <c r="H13" i="5"/>
  <c r="H9" i="5"/>
  <c r="H11" i="5"/>
  <c r="H10" i="5"/>
  <c r="H14" i="5"/>
  <c r="H12" i="5"/>
  <c r="H45" i="5"/>
  <c r="H48" i="5"/>
  <c r="H49" i="5"/>
  <c r="H46" i="5"/>
  <c r="H44" i="5"/>
  <c r="H47" i="5"/>
  <c r="H24" i="5"/>
  <c r="H18" i="5"/>
  <c r="H19" i="5"/>
  <c r="H23" i="5"/>
  <c r="H17" i="5"/>
  <c r="H20" i="5"/>
  <c r="H15" i="5"/>
  <c r="H16" i="5"/>
  <c r="H21" i="5"/>
  <c r="H22" i="5"/>
  <c r="H26" i="5"/>
  <c r="H25" i="5"/>
  <c r="M48" i="5"/>
  <c r="Z7" i="7"/>
  <c r="H4" i="5"/>
  <c r="T23" i="5"/>
  <c r="W23" i="5" s="1"/>
  <c r="T14" i="5"/>
  <c r="W14" i="5" s="1"/>
  <c r="N49" i="5"/>
  <c r="W12" i="5"/>
  <c r="M49" i="5" l="1"/>
  <c r="T13" i="5"/>
  <c r="N48" i="5"/>
  <c r="T22" i="5"/>
  <c r="W22" i="5" s="1"/>
  <c r="W24" i="5" s="1"/>
  <c r="D33" i="7"/>
  <c r="F33" i="7" s="1"/>
  <c r="D37" i="7"/>
  <c r="F37" i="7" s="1"/>
  <c r="H37" i="7" s="1"/>
  <c r="D29" i="7"/>
  <c r="F29" i="7" s="1"/>
  <c r="H29" i="7" s="1"/>
  <c r="D25" i="7"/>
  <c r="F25" i="7" s="1"/>
  <c r="H25" i="7" s="1"/>
  <c r="D36" i="7"/>
  <c r="F36" i="7" s="1"/>
  <c r="H36" i="7" s="1"/>
  <c r="D24" i="7"/>
  <c r="F24" i="7" s="1"/>
  <c r="H24" i="7" s="1"/>
  <c r="D28" i="7"/>
  <c r="F28" i="7" s="1"/>
  <c r="H28" i="7" s="1"/>
  <c r="D32" i="7"/>
  <c r="F32" i="7" s="1"/>
  <c r="P4" i="5"/>
  <c r="D38" i="7"/>
  <c r="F38" i="7" s="1"/>
  <c r="H38" i="7" s="1"/>
  <c r="D34" i="7"/>
  <c r="F34" i="7" s="1"/>
  <c r="D30" i="7"/>
  <c r="F30" i="7" s="1"/>
  <c r="D26" i="7"/>
  <c r="F26" i="7" s="1"/>
  <c r="H26" i="7" s="1"/>
  <c r="Z8" i="7"/>
  <c r="Z9" i="7"/>
  <c r="Z12" i="7"/>
  <c r="Z11" i="7"/>
  <c r="Z10" i="7"/>
  <c r="G30" i="7" l="1"/>
  <c r="H30" i="7"/>
  <c r="W13" i="5"/>
  <c r="W15" i="5" s="1"/>
  <c r="K13" i="7"/>
  <c r="K11" i="7"/>
  <c r="K14" i="7"/>
  <c r="K12" i="7"/>
  <c r="K3" i="7"/>
  <c r="K5" i="7"/>
  <c r="K4" i="7"/>
  <c r="K6" i="7"/>
  <c r="G38" i="7"/>
  <c r="G24" i="7"/>
  <c r="G29" i="7"/>
  <c r="J26" i="7"/>
  <c r="J34" i="7"/>
  <c r="J38" i="7"/>
  <c r="G26" i="7"/>
  <c r="G36" i="7"/>
  <c r="G37" i="7"/>
  <c r="J36" i="7"/>
  <c r="J32" i="7"/>
  <c r="J28" i="7"/>
  <c r="K18" i="7"/>
  <c r="K15" i="7"/>
  <c r="K16" i="7"/>
  <c r="K17" i="7"/>
  <c r="H32" i="7"/>
  <c r="G32" i="7"/>
  <c r="G33" i="7"/>
  <c r="H33" i="7"/>
  <c r="J29" i="7"/>
  <c r="J37" i="7"/>
  <c r="J25" i="7"/>
  <c r="J33" i="7"/>
  <c r="K10" i="7"/>
  <c r="K7" i="7"/>
  <c r="K9" i="7"/>
  <c r="K8" i="7"/>
  <c r="G34" i="7"/>
  <c r="H34" i="7"/>
  <c r="G28" i="7"/>
  <c r="G25" i="7"/>
  <c r="T4" i="5" l="1"/>
  <c r="K27" i="7"/>
  <c r="L27" i="7" s="1"/>
  <c r="L7" i="7"/>
  <c r="K38" i="7"/>
  <c r="L38" i="7" s="1"/>
  <c r="M38" i="7" s="1"/>
  <c r="L18" i="7"/>
  <c r="M18" i="7" s="1"/>
  <c r="K26" i="7"/>
  <c r="L26" i="7" s="1"/>
  <c r="M26" i="7" s="1"/>
  <c r="L6" i="7"/>
  <c r="M6" i="7" s="1"/>
  <c r="K32" i="7"/>
  <c r="L32" i="7" s="1"/>
  <c r="M32" i="7" s="1"/>
  <c r="L12" i="7"/>
  <c r="M12" i="7" s="1"/>
  <c r="L10" i="7"/>
  <c r="M10" i="7" s="1"/>
  <c r="K37" i="7"/>
  <c r="L37" i="7" s="1"/>
  <c r="M37" i="7" s="1"/>
  <c r="L17" i="7"/>
  <c r="M17" i="7" s="1"/>
  <c r="K24" i="7"/>
  <c r="L24" i="7" s="1"/>
  <c r="L4" i="7"/>
  <c r="M4" i="7" s="1"/>
  <c r="K34" i="7"/>
  <c r="L34" i="7" s="1"/>
  <c r="M34" i="7" s="1"/>
  <c r="L14" i="7"/>
  <c r="M14" i="7" s="1"/>
  <c r="K28" i="7"/>
  <c r="L28" i="7" s="1"/>
  <c r="L8" i="7"/>
  <c r="M8" i="7" s="1"/>
  <c r="K36" i="7"/>
  <c r="L36" i="7" s="1"/>
  <c r="M36" i="7" s="1"/>
  <c r="L16" i="7"/>
  <c r="M16" i="7" s="1"/>
  <c r="K25" i="7"/>
  <c r="L25" i="7" s="1"/>
  <c r="M25" i="7" s="1"/>
  <c r="L5" i="7"/>
  <c r="M5" i="7" s="1"/>
  <c r="L11" i="7"/>
  <c r="N11" i="7" s="1"/>
  <c r="K31" i="7"/>
  <c r="L31" i="7" s="1"/>
  <c r="K29" i="7"/>
  <c r="L29" i="7" s="1"/>
  <c r="L9" i="7"/>
  <c r="M9" i="7" s="1"/>
  <c r="K35" i="7"/>
  <c r="L35" i="7" s="1"/>
  <c r="L15" i="7"/>
  <c r="N15" i="7" s="1"/>
  <c r="K23" i="7"/>
  <c r="L23" i="7" s="1"/>
  <c r="L3" i="7"/>
  <c r="K33" i="7"/>
  <c r="L33" i="7" s="1"/>
  <c r="M33" i="7" s="1"/>
  <c r="L13" i="7"/>
  <c r="M13" i="7" s="1"/>
</calcChain>
</file>

<file path=xl/sharedStrings.xml><?xml version="1.0" encoding="utf-8"?>
<sst xmlns="http://schemas.openxmlformats.org/spreadsheetml/2006/main" count="292" uniqueCount="170">
  <si>
    <t>기간</t>
    <phoneticPr fontId="2" type="noConversion"/>
  </si>
  <si>
    <t>1일</t>
    <phoneticPr fontId="2" type="noConversion"/>
  </si>
  <si>
    <t>7일</t>
    <phoneticPr fontId="2" type="noConversion"/>
  </si>
  <si>
    <t>14일</t>
    <phoneticPr fontId="2" type="noConversion"/>
  </si>
  <si>
    <t>30일</t>
    <phoneticPr fontId="2" type="noConversion"/>
  </si>
  <si>
    <t>과금액</t>
    <phoneticPr fontId="2" type="noConversion"/>
  </si>
  <si>
    <t>21일</t>
    <phoneticPr fontId="2" type="noConversion"/>
  </si>
  <si>
    <t>28일</t>
    <phoneticPr fontId="2" type="noConversion"/>
  </si>
  <si>
    <t>정수</t>
    <phoneticPr fontId="2" type="noConversion"/>
  </si>
  <si>
    <t>1. 던전 일일 100회 진행시 획득한 정수</t>
    <phoneticPr fontId="2" type="noConversion"/>
  </si>
  <si>
    <t>&gt; 무기 단계별 필요 정수량</t>
  </si>
  <si>
    <t>아이템 등급</t>
  </si>
  <si>
    <t>개선전 +20 강화
필요 정수량</t>
  </si>
  <si>
    <t>개선 +20 강화
필요 정수량</t>
  </si>
  <si>
    <t>합성 필요 수량</t>
  </si>
  <si>
    <t>개선 정수량</t>
  </si>
  <si>
    <t>ACT8 기준</t>
    <phoneticPr fontId="2" type="noConversion"/>
  </si>
  <si>
    <t>플레이 기간</t>
    <phoneticPr fontId="2" type="noConversion"/>
  </si>
  <si>
    <t>총 정수량</t>
    <phoneticPr fontId="2" type="noConversion"/>
  </si>
  <si>
    <t>무과금</t>
    <phoneticPr fontId="2" type="noConversion"/>
  </si>
  <si>
    <t>1-&gt;7성 제작</t>
    <phoneticPr fontId="2" type="noConversion"/>
  </si>
  <si>
    <t>※ 과금을 통한 10+1 뽑기 -&gt; 장비 분해</t>
    <phoneticPr fontId="2" type="noConversion"/>
  </si>
  <si>
    <t>5-&gt;7성 제작</t>
    <phoneticPr fontId="2" type="noConversion"/>
  </si>
  <si>
    <t>등급</t>
  </si>
  <si>
    <t>풀강화 
필요 정수량</t>
  </si>
  <si>
    <t>5성 2종 풀강화</t>
  </si>
  <si>
    <t>6성 2종 풀강화</t>
  </si>
  <si>
    <t>7성 1종 풀강화</t>
  </si>
  <si>
    <t>합계</t>
  </si>
  <si>
    <t>3-&gt;7성 제작</t>
    <phoneticPr fontId="2" type="noConversion"/>
  </si>
  <si>
    <t xml:space="preserve">※ 과금을 통한 열쇠 구매 </t>
    <phoneticPr fontId="2" type="noConversion"/>
  </si>
  <si>
    <t>※ 던전을 통한 골드 수급</t>
    <phoneticPr fontId="2" type="noConversion"/>
  </si>
  <si>
    <t>&gt; 장비 단계별 필요 정수량(장비는 3성부터 강화&amp;합성)</t>
    <phoneticPr fontId="2" type="noConversion"/>
  </si>
  <si>
    <t>풀강화 필요 정수량</t>
    <phoneticPr fontId="2" type="noConversion"/>
  </si>
  <si>
    <t>반복 정수획득량</t>
    <phoneticPr fontId="2" type="noConversion"/>
  </si>
  <si>
    <t>&gt; 녹스 - 고급 10+1 뽑기로 7성 풀 강화(+1 5성 확정 포함)</t>
  </si>
  <si>
    <t>당청 등급</t>
  </si>
  <si>
    <t>확률(%)</t>
  </si>
  <si>
    <t>10+1 X 10회</t>
  </si>
  <si>
    <t>7성 합성용
장비 수</t>
  </si>
  <si>
    <t>잉여수량</t>
  </si>
  <si>
    <t>잉여 장비
정수 분해</t>
  </si>
  <si>
    <t>정상 장비
정수 분해</t>
  </si>
  <si>
    <t>3성 확률</t>
  </si>
  <si>
    <t>4성 확률</t>
  </si>
  <si>
    <t>5성 확률</t>
  </si>
  <si>
    <t>6성 확률</t>
  </si>
  <si>
    <t>7성 확률</t>
  </si>
  <si>
    <t>※ 뽑기를 통해 5성 장비 확보(무과금 시 확보 불가)</t>
    <phoneticPr fontId="2" type="noConversion"/>
  </si>
  <si>
    <t>풀강화
정수량</t>
  </si>
  <si>
    <t>분해</t>
  </si>
  <si>
    <t>현금가</t>
    <phoneticPr fontId="2" type="noConversion"/>
  </si>
  <si>
    <t>&gt; 획득 장비를 강화 재료로 사용 시 필요 정수량</t>
  </si>
  <si>
    <t>&gt; 녹스 등급별 강화용 정수량</t>
  </si>
  <si>
    <t>&gt; 7성 풀강화를 위한 10+1 뽑기 횟수</t>
  </si>
  <si>
    <t xml:space="preserve"> 10+1 X 10회 뽑기 횟수</t>
  </si>
  <si>
    <t>&gt; 히트 - 고급 10+1 뽑기로 7성 풀 강화(+1 5성 확정 포함)</t>
  </si>
  <si>
    <t>&gt;3성 장비만을 강화 재료로 사용 시 필요 장비수</t>
  </si>
  <si>
    <t>&gt; 히트 등급별 풀 강화 아이템 수량</t>
  </si>
  <si>
    <t>7성 합성용 장비 수</t>
  </si>
  <si>
    <t>잉여장비
3성 환산량</t>
  </si>
  <si>
    <t>* 2015년 12월 확률 및 +1 등급 변경 전 예상 수치임</t>
  </si>
  <si>
    <t>* 3성 환산비율</t>
  </si>
  <si>
    <t>* 3티어 장비의 강화 필요 수량이 늘어나는 것은 고려하지 않았음</t>
  </si>
  <si>
    <t>&gt; 녹스 10+1 10회 기준 다이아 결제 금액</t>
  </si>
  <si>
    <t>&gt; 7성 풀강화 8종 장비 완성 결제 금액</t>
  </si>
  <si>
    <t>10+1 X 10회 다이아</t>
  </si>
  <si>
    <t>결제 가격(\)</t>
  </si>
  <si>
    <t>가격(\)</t>
  </si>
  <si>
    <t>&gt; 히트 10+1 10회 기준 다이아 결제 금액</t>
  </si>
  <si>
    <t>10+1 다이아</t>
  </si>
  <si>
    <t>열쇠 판매 단가</t>
    <phoneticPr fontId="2" type="noConversion"/>
  </si>
  <si>
    <t>열쇠 수량</t>
    <phoneticPr fontId="2" type="noConversion"/>
  </si>
  <si>
    <t>뽑기를 통해 획득한 정수</t>
    <phoneticPr fontId="2" type="noConversion"/>
  </si>
  <si>
    <t>열쇠 구매를 통해 획득한 정수</t>
    <phoneticPr fontId="2" type="noConversion"/>
  </si>
  <si>
    <t>▶ 열쇠구매 + 일반 반복(개선 반복 1개월/30)을 통한 정수 획득량</t>
  </si>
  <si>
    <t>30일
10만 - 1일 100+30회
26만 - 1일 100+80회
79만 - 1일 100+240회</t>
    <phoneticPr fontId="2" type="noConversion"/>
  </si>
  <si>
    <t>21일
10만 - 1일 100+44회
26만 - 1일 100+115회
79만 - 1일 100+343회</t>
    <phoneticPr fontId="2" type="noConversion"/>
  </si>
  <si>
    <t>14일
10만 - 1일 100+65회
26만 - 1일 100+172회
79만 - 1일 100+515회</t>
    <phoneticPr fontId="2" type="noConversion"/>
  </si>
  <si>
    <t>7일
10만 - 1일 100+130회
26만 - 1일 100+3432회
79만 - 1일 100+1028회</t>
    <phoneticPr fontId="2" type="noConversion"/>
  </si>
  <si>
    <t>개선전 정수량</t>
    <phoneticPr fontId="2" type="noConversion"/>
  </si>
  <si>
    <t>개선후 정수량</t>
    <phoneticPr fontId="2" type="noConversion"/>
  </si>
  <si>
    <t>등급</t>
    <phoneticPr fontId="2" type="noConversion"/>
  </si>
  <si>
    <t>풀강화
정수량</t>
    <phoneticPr fontId="2" type="noConversion"/>
  </si>
  <si>
    <t>증가율</t>
    <phoneticPr fontId="2" type="noConversion"/>
  </si>
  <si>
    <t>분해</t>
    <phoneticPr fontId="2" type="noConversion"/>
  </si>
  <si>
    <t>풀강화
분해율</t>
    <phoneticPr fontId="2" type="noConversion"/>
  </si>
  <si>
    <t>&gt; 2차 개선 강화용 정수량</t>
    <phoneticPr fontId="2" type="noConversion"/>
  </si>
  <si>
    <t>반복</t>
    <phoneticPr fontId="2" type="noConversion"/>
  </si>
  <si>
    <t>* 평균획득수량 : 액트에 상관없이 1회 플레이 시 아이템 획득 기대 수량은 1.5개이며, 아이템 중 장비획득 확률은 90%이다.</t>
    <phoneticPr fontId="2" type="noConversion"/>
  </si>
  <si>
    <t>* 정수 획득량 : 플레이 액트별 획득가능 장비아이템의 등급별 획득 확률에 의한 기대 수량에 정수 분해량을 곱한 값이다.</t>
    <phoneticPr fontId="2" type="noConversion"/>
  </si>
  <si>
    <t>1일 최대
행동력</t>
    <phoneticPr fontId="2" type="noConversion"/>
  </si>
  <si>
    <t>개선전 반복 1개월
정수 획득량</t>
    <phoneticPr fontId="2" type="noConversion"/>
  </si>
  <si>
    <t>개선전 1개월
획득 정수량</t>
    <phoneticPr fontId="2" type="noConversion"/>
  </si>
  <si>
    <t>개선전 8종 장비
강화&amp;합성 정수량</t>
    <phoneticPr fontId="2" type="noConversion"/>
  </si>
  <si>
    <t>&gt; 일반던전 기준 정수 획득량 시뮬레이션</t>
    <phoneticPr fontId="2" type="noConversion"/>
  </si>
  <si>
    <t>&gt; 무기 단계별 필요 정수량</t>
    <phoneticPr fontId="2" type="noConversion"/>
  </si>
  <si>
    <t>레벨</t>
    <phoneticPr fontId="2" type="noConversion"/>
  </si>
  <si>
    <t>날짜</t>
    <phoneticPr fontId="2" type="noConversion"/>
  </si>
  <si>
    <t>플레이
액트</t>
    <phoneticPr fontId="2" type="noConversion"/>
  </si>
  <si>
    <t>플레이
횟수</t>
    <phoneticPr fontId="2" type="noConversion"/>
  </si>
  <si>
    <t>평균장비
획득수량</t>
    <phoneticPr fontId="2" type="noConversion"/>
  </si>
  <si>
    <t>액트</t>
    <phoneticPr fontId="2" type="noConversion"/>
  </si>
  <si>
    <t>등급</t>
    <phoneticPr fontId="2" type="noConversion"/>
  </si>
  <si>
    <t>개선전 1회 평균
획득 정수량</t>
    <phoneticPr fontId="2" type="noConversion"/>
  </si>
  <si>
    <t>아이템 등급</t>
    <phoneticPr fontId="2" type="noConversion"/>
  </si>
  <si>
    <t>개선전 +20 강화
필요 정수량</t>
    <phoneticPr fontId="2" type="noConversion"/>
  </si>
  <si>
    <t>개선 +20 강화
필요 정수량</t>
    <phoneticPr fontId="2" type="noConversion"/>
  </si>
  <si>
    <t>합성 필요 수량</t>
    <phoneticPr fontId="2" type="noConversion"/>
  </si>
  <si>
    <t>개선전 정수량</t>
    <phoneticPr fontId="2" type="noConversion"/>
  </si>
  <si>
    <t>개선 정수량</t>
    <phoneticPr fontId="2" type="noConversion"/>
  </si>
  <si>
    <t>&gt; 개선후 액트별 등급 확률</t>
    <phoneticPr fontId="2" type="noConversion"/>
  </si>
  <si>
    <t>&gt; 장비 단계별 필요 정수량(장비는 4성부터 강화&amp;합성)</t>
    <phoneticPr fontId="2" type="noConversion"/>
  </si>
  <si>
    <t>&gt; 개선전 강화용 정수량</t>
    <phoneticPr fontId="2" type="noConversion"/>
  </si>
  <si>
    <t>풀강화
정수량</t>
    <phoneticPr fontId="2" type="noConversion"/>
  </si>
  <si>
    <t>증가율</t>
    <phoneticPr fontId="2" type="noConversion"/>
  </si>
  <si>
    <t>분해</t>
    <phoneticPr fontId="2" type="noConversion"/>
  </si>
  <si>
    <t>풀강화
분해율</t>
    <phoneticPr fontId="2" type="noConversion"/>
  </si>
  <si>
    <t>개선전
정수 획득량</t>
    <phoneticPr fontId="2" type="noConversion"/>
  </si>
  <si>
    <t>개선후 1회 평균
획득 정수량</t>
    <phoneticPr fontId="2" type="noConversion"/>
  </si>
  <si>
    <t>개선후
정수 획득량</t>
    <phoneticPr fontId="2" type="noConversion"/>
  </si>
  <si>
    <t>개선후 반복 1개월
정수 획득량</t>
    <phoneticPr fontId="2" type="noConversion"/>
  </si>
  <si>
    <t>개선후 1개월
획득 정수량</t>
    <phoneticPr fontId="2" type="noConversion"/>
  </si>
  <si>
    <t>개선후 8종 장비
강화&amp;합성 정수량</t>
    <phoneticPr fontId="2" type="noConversion"/>
  </si>
  <si>
    <t>무과금</t>
    <phoneticPr fontId="2" type="noConversion"/>
  </si>
  <si>
    <t>※ 던전 반복을 통한 3성장비 확보</t>
    <phoneticPr fontId="2" type="noConversion"/>
  </si>
  <si>
    <t>※  26만, 79만 결제로 열쇠 구입 시 7일 이내 또는 14일 이내 모두 소진하기 힘든 부분 감안해야 함</t>
    <phoneticPr fontId="2" type="noConversion"/>
  </si>
  <si>
    <t>열쇠구매 
정수 획득량</t>
    <phoneticPr fontId="2" type="noConversion"/>
  </si>
  <si>
    <t>반복 정수
획득량</t>
    <phoneticPr fontId="2" type="noConversion"/>
  </si>
  <si>
    <t>잉여장비
정수</t>
    <phoneticPr fontId="2" type="noConversion"/>
  </si>
  <si>
    <t>열쇠구매
정수 획득량</t>
    <phoneticPr fontId="2" type="noConversion"/>
  </si>
  <si>
    <t>&gt; 개선전 액트별 등급 확률</t>
    <phoneticPr fontId="2" type="noConversion"/>
  </si>
  <si>
    <t>▶ 장비뽑기(잉여장비 정수) + 일반 반복(개선 반복 1개월/30)을 통한 정수 획득량</t>
    <phoneticPr fontId="2" type="noConversion"/>
  </si>
  <si>
    <t>▶ 개선 적용</t>
    <phoneticPr fontId="2" type="noConversion"/>
  </si>
  <si>
    <t>※ 풀강화 정수량 축소</t>
    <phoneticPr fontId="2" type="noConversion"/>
  </si>
  <si>
    <t>※ 던전 획득량 축소</t>
    <phoneticPr fontId="2" type="noConversion"/>
  </si>
  <si>
    <t>※ 획득 등급 및 확률 축소</t>
    <phoneticPr fontId="2" type="noConversion"/>
  </si>
  <si>
    <t>※ 분해율 축소</t>
    <phoneticPr fontId="2" type="noConversion"/>
  </si>
  <si>
    <t>&gt; 1개월 플레이로 획득한 약 13만 정수량으로 강화&amp;합성으로 획득 가능한 장비 등급</t>
    <phoneticPr fontId="2" type="noConversion"/>
  </si>
  <si>
    <t>장비</t>
    <phoneticPr fontId="2" type="noConversion"/>
  </si>
  <si>
    <t>등급</t>
    <phoneticPr fontId="2" type="noConversion"/>
  </si>
  <si>
    <t>강화단계</t>
    <phoneticPr fontId="2" type="noConversion"/>
  </si>
  <si>
    <t>필요 정수량</t>
    <phoneticPr fontId="2" type="noConversion"/>
  </si>
  <si>
    <t>무기</t>
    <phoneticPr fontId="2" type="noConversion"/>
  </si>
  <si>
    <t>1 -&gt; 6</t>
    <phoneticPr fontId="2" type="noConversion"/>
  </si>
  <si>
    <t>투구</t>
    <phoneticPr fontId="2" type="noConversion"/>
  </si>
  <si>
    <t>3 -&gt; 5</t>
    <phoneticPr fontId="2" type="noConversion"/>
  </si>
  <si>
    <t>갑옷</t>
    <phoneticPr fontId="2" type="noConversion"/>
  </si>
  <si>
    <t>3 -&gt; 6</t>
    <phoneticPr fontId="2" type="noConversion"/>
  </si>
  <si>
    <t>하의</t>
    <phoneticPr fontId="2" type="noConversion"/>
  </si>
  <si>
    <t>장갑</t>
    <phoneticPr fontId="2" type="noConversion"/>
  </si>
  <si>
    <t>3 -&gt; 5</t>
    <phoneticPr fontId="2" type="noConversion"/>
  </si>
  <si>
    <t>부츠</t>
    <phoneticPr fontId="2" type="noConversion"/>
  </si>
  <si>
    <t>목걸이</t>
    <phoneticPr fontId="2" type="noConversion"/>
  </si>
  <si>
    <t>3 -&gt; 4</t>
    <phoneticPr fontId="2" type="noConversion"/>
  </si>
  <si>
    <t>반지</t>
    <phoneticPr fontId="2" type="noConversion"/>
  </si>
  <si>
    <t>총합</t>
    <phoneticPr fontId="2" type="noConversion"/>
  </si>
  <si>
    <t>&gt; 1개월 이후 필요 나머지 강화&amp;합성을 위한 필요 정수량(약 50만 정수 획득을 위해 약 3.6개월 소요 예상)</t>
    <phoneticPr fontId="2" type="noConversion"/>
  </si>
  <si>
    <t>6 -&gt; 7</t>
    <phoneticPr fontId="2" type="noConversion"/>
  </si>
  <si>
    <t>투구</t>
    <phoneticPr fontId="2" type="noConversion"/>
  </si>
  <si>
    <t>5 -&gt; 7</t>
    <phoneticPr fontId="2" type="noConversion"/>
  </si>
  <si>
    <t>갑옷</t>
    <phoneticPr fontId="2" type="noConversion"/>
  </si>
  <si>
    <t>6 -&gt; 7</t>
    <phoneticPr fontId="2" type="noConversion"/>
  </si>
  <si>
    <t>하의</t>
    <phoneticPr fontId="2" type="noConversion"/>
  </si>
  <si>
    <t>목걸이</t>
    <phoneticPr fontId="2" type="noConversion"/>
  </si>
  <si>
    <t>4 -&gt; 7</t>
    <phoneticPr fontId="2" type="noConversion"/>
  </si>
  <si>
    <t>반지</t>
    <phoneticPr fontId="2" type="noConversion"/>
  </si>
  <si>
    <t>총합</t>
    <phoneticPr fontId="2" type="noConversion"/>
  </si>
  <si>
    <t>※ 퀘스트, 업적 등으로 획득하는 장비는 제외되었기 때문에 기간은 축소될 수 있음</t>
    <phoneticPr fontId="2" type="noConversion"/>
  </si>
  <si>
    <t>※  즉시완료권 구입 없이 실제 플레이를 할 경우 시간이 늦어지는 점을 감안해야 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</si>
</sst>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_-* #,##0_-;\-* #,##0_-;_-* &quot;-&quot;??_-;_-@_-"/>
    <numFmt numFmtId="178" formatCode="0.0"/>
    <numFmt numFmtId="179" formatCode="_-* #,##0.0_-;\-* #,##0.0_-;_-* &quot;-&quot;_-;_-@_-"/>
    <numFmt numFmtId="180" formatCode="0_);[Red]\(0\)"/>
    <numFmt numFmtId="181" formatCode="0.0_ "/>
    <numFmt numFmtId="182" formatCode="0.0000"/>
    <numFmt numFmtId="183" formatCode="&quot;₩&quot;#,##0"/>
    <numFmt numFmtId="184" formatCode="#,##0_ "/>
    <numFmt numFmtId="185" formatCode="#,##0_);[Red]\(#,##0\)"/>
    <numFmt numFmtId="186" formatCode="0.0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4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181" fontId="6" fillId="19" borderId="2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81" fontId="0" fillId="0" borderId="0" xfId="0" applyNumberFormat="1" applyBorder="1" applyAlignment="1">
      <alignment horizontal="right" vertical="center"/>
    </xf>
    <xf numFmtId="3" fontId="0" fillId="0" borderId="0" xfId="0" applyNumberFormat="1" applyAlignment="1">
      <alignment vertical="center" wrapText="1"/>
    </xf>
    <xf numFmtId="181" fontId="0" fillId="0" borderId="0" xfId="0" applyNumberFormat="1" applyAlignment="1">
      <alignment horizontal="right" vertical="center"/>
    </xf>
    <xf numFmtId="0" fontId="7" fillId="3" borderId="0" xfId="0" applyFont="1" applyFill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0" fillId="19" borderId="2" xfId="0" applyNumberForma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1" fontId="5" fillId="0" borderId="2" xfId="0" applyNumberFormat="1" applyFont="1" applyFill="1" applyBorder="1">
      <alignment vertical="center"/>
    </xf>
    <xf numFmtId="41" fontId="5" fillId="0" borderId="2" xfId="1" applyFont="1" applyFill="1" applyBorder="1">
      <alignment vertical="center"/>
    </xf>
    <xf numFmtId="41" fontId="5" fillId="14" borderId="2" xfId="1" applyFont="1" applyFill="1" applyBorder="1">
      <alignment vertical="center"/>
    </xf>
    <xf numFmtId="180" fontId="0" fillId="0" borderId="2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41" fontId="4" fillId="5" borderId="2" xfId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41" fontId="4" fillId="11" borderId="2" xfId="1" applyFont="1" applyFill="1" applyBorder="1" applyAlignment="1">
      <alignment horizontal="center" vertical="center"/>
    </xf>
    <xf numFmtId="176" fontId="4" fillId="11" borderId="2" xfId="1" applyNumberFormat="1" applyFont="1" applyFill="1" applyBorder="1" applyAlignment="1">
      <alignment horizontal="center" vertical="center"/>
    </xf>
    <xf numFmtId="41" fontId="4" fillId="6" borderId="2" xfId="1" applyFont="1" applyFill="1" applyBorder="1" applyAlignment="1">
      <alignment horizontal="center" vertical="center"/>
    </xf>
    <xf numFmtId="176" fontId="4" fillId="6" borderId="2" xfId="1" applyNumberFormat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41" fontId="4" fillId="12" borderId="2" xfId="1" applyFont="1" applyFill="1" applyBorder="1" applyAlignment="1">
      <alignment horizontal="center" vertical="center"/>
    </xf>
    <xf numFmtId="176" fontId="4" fillId="12" borderId="2" xfId="1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41" fontId="4" fillId="9" borderId="2" xfId="1" applyFont="1" applyFill="1" applyBorder="1" applyAlignment="1">
      <alignment horizontal="center" vertical="center"/>
    </xf>
    <xf numFmtId="176" fontId="4" fillId="9" borderId="2" xfId="1" applyNumberFormat="1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41" fontId="4" fillId="14" borderId="2" xfId="1" applyFont="1" applyFill="1" applyBorder="1" applyAlignment="1">
      <alignment horizontal="center" vertical="center"/>
    </xf>
    <xf numFmtId="176" fontId="4" fillId="14" borderId="2" xfId="1" applyNumberFormat="1" applyFont="1" applyFill="1" applyBorder="1" applyAlignment="1">
      <alignment horizontal="center" vertical="center"/>
    </xf>
    <xf numFmtId="41" fontId="4" fillId="10" borderId="2" xfId="1" applyFont="1" applyFill="1" applyBorder="1" applyAlignment="1">
      <alignment horizontal="center" vertical="center"/>
    </xf>
    <xf numFmtId="41" fontId="4" fillId="16" borderId="2" xfId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41" fontId="5" fillId="2" borderId="2" xfId="1" applyFont="1" applyFill="1" applyBorder="1">
      <alignment vertical="center"/>
    </xf>
    <xf numFmtId="41" fontId="5" fillId="2" borderId="0" xfId="1" applyFont="1" applyFill="1" applyAlignment="1">
      <alignment horizontal="center" vertical="center"/>
    </xf>
    <xf numFmtId="41" fontId="5" fillId="2" borderId="0" xfId="1" applyFont="1" applyFill="1">
      <alignment vertical="center"/>
    </xf>
    <xf numFmtId="41" fontId="5" fillId="6" borderId="2" xfId="1" applyFont="1" applyFill="1" applyBorder="1">
      <alignment vertical="center"/>
    </xf>
    <xf numFmtId="176" fontId="5" fillId="2" borderId="2" xfId="1" applyNumberFormat="1" applyFont="1" applyFill="1" applyBorder="1">
      <alignment vertical="center"/>
    </xf>
    <xf numFmtId="2" fontId="5" fillId="2" borderId="0" xfId="0" applyNumberFormat="1" applyFont="1" applyFill="1">
      <alignment vertical="center"/>
    </xf>
    <xf numFmtId="41" fontId="5" fillId="9" borderId="2" xfId="1" applyFont="1" applyFill="1" applyBorder="1">
      <alignment vertical="center"/>
    </xf>
    <xf numFmtId="41" fontId="4" fillId="10" borderId="2" xfId="0" applyNumberFormat="1" applyFont="1" applyFill="1" applyBorder="1" applyAlignment="1">
      <alignment vertical="center"/>
    </xf>
    <xf numFmtId="41" fontId="4" fillId="13" borderId="2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41" fontId="4" fillId="15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41" fontId="4" fillId="8" borderId="2" xfId="0" applyNumberFormat="1" applyFont="1" applyFill="1" applyBorder="1" applyAlignment="1">
      <alignment horizontal="center" vertical="center"/>
    </xf>
    <xf numFmtId="179" fontId="5" fillId="7" borderId="2" xfId="1" applyNumberFormat="1" applyFont="1" applyFill="1" applyBorder="1">
      <alignment vertical="center"/>
    </xf>
    <xf numFmtId="177" fontId="5" fillId="0" borderId="2" xfId="1" applyNumberFormat="1" applyFont="1" applyFill="1" applyBorder="1">
      <alignment vertical="center"/>
    </xf>
    <xf numFmtId="179" fontId="5" fillId="6" borderId="2" xfId="1" applyNumberFormat="1" applyFont="1" applyFill="1" applyBorder="1">
      <alignment vertical="center"/>
    </xf>
    <xf numFmtId="185" fontId="0" fillId="0" borderId="2" xfId="0" applyNumberFormat="1" applyBorder="1" applyAlignment="1">
      <alignment horizontal="center" vertical="center"/>
    </xf>
    <xf numFmtId="185" fontId="0" fillId="17" borderId="2" xfId="0" applyNumberFormat="1" applyFill="1" applyBorder="1" applyAlignment="1">
      <alignment horizontal="center" vertical="center"/>
    </xf>
    <xf numFmtId="185" fontId="0" fillId="0" borderId="0" xfId="0" applyNumberFormat="1">
      <alignment vertical="center"/>
    </xf>
    <xf numFmtId="185" fontId="0" fillId="0" borderId="0" xfId="0" applyNumberFormat="1" applyAlignment="1">
      <alignment horizontal="center" vertical="center"/>
    </xf>
    <xf numFmtId="185" fontId="0" fillId="19" borderId="2" xfId="0" applyNumberForma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>
      <alignment vertical="center"/>
    </xf>
    <xf numFmtId="182" fontId="9" fillId="0" borderId="2" xfId="0" applyNumberFormat="1" applyFont="1" applyFill="1" applyBorder="1">
      <alignment vertical="center"/>
    </xf>
    <xf numFmtId="1" fontId="9" fillId="0" borderId="2" xfId="0" applyNumberFormat="1" applyFont="1" applyFill="1" applyBorder="1">
      <alignment vertical="center"/>
    </xf>
    <xf numFmtId="1" fontId="9" fillId="0" borderId="8" xfId="0" applyNumberFormat="1" applyFont="1" applyFill="1" applyBorder="1">
      <alignment vertical="center"/>
    </xf>
    <xf numFmtId="41" fontId="9" fillId="0" borderId="2" xfId="1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177" fontId="9" fillId="0" borderId="2" xfId="1" applyNumberFormat="1" applyFont="1" applyFill="1" applyBorder="1">
      <alignment vertical="center"/>
    </xf>
    <xf numFmtId="1" fontId="9" fillId="7" borderId="2" xfId="0" applyNumberFormat="1" applyFont="1" applyFill="1" applyBorder="1">
      <alignment vertical="center"/>
    </xf>
    <xf numFmtId="41" fontId="9" fillId="14" borderId="2" xfId="1" applyFont="1" applyFill="1" applyBorder="1">
      <alignment vertical="center"/>
    </xf>
    <xf numFmtId="1" fontId="9" fillId="0" borderId="0" xfId="0" applyNumberFormat="1" applyFont="1" applyFill="1" applyBorder="1">
      <alignment vertical="center"/>
    </xf>
    <xf numFmtId="1" fontId="7" fillId="3" borderId="2" xfId="0" applyNumberFormat="1" applyFont="1" applyFill="1" applyBorder="1">
      <alignment vertical="center"/>
    </xf>
    <xf numFmtId="2" fontId="9" fillId="5" borderId="2" xfId="0" applyNumberFormat="1" applyFont="1" applyFill="1" applyBorder="1">
      <alignment vertical="center"/>
    </xf>
    <xf numFmtId="2" fontId="9" fillId="0" borderId="0" xfId="0" applyNumberFormat="1" applyFont="1" applyFill="1">
      <alignment vertical="center"/>
    </xf>
    <xf numFmtId="43" fontId="9" fillId="0" borderId="0" xfId="0" applyNumberFormat="1" applyFont="1" applyFill="1">
      <alignment vertical="center"/>
    </xf>
    <xf numFmtId="0" fontId="7" fillId="3" borderId="0" xfId="0" applyFont="1" applyFill="1" applyBorder="1" applyAlignment="1">
      <alignment horizontal="center" vertical="center"/>
    </xf>
    <xf numFmtId="41" fontId="9" fillId="0" borderId="2" xfId="1" applyNumberFormat="1" applyFont="1" applyFill="1" applyBorder="1">
      <alignment vertical="center"/>
    </xf>
    <xf numFmtId="179" fontId="9" fillId="0" borderId="2" xfId="1" applyNumberFormat="1" applyFont="1" applyFill="1" applyBorder="1">
      <alignment vertical="center"/>
    </xf>
    <xf numFmtId="179" fontId="9" fillId="0" borderId="0" xfId="0" applyNumberFormat="1" applyFont="1" applyFill="1">
      <alignment vertical="center"/>
    </xf>
    <xf numFmtId="176" fontId="9" fillId="5" borderId="2" xfId="1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179" fontId="9" fillId="6" borderId="2" xfId="1" applyNumberFormat="1" applyFont="1" applyFill="1" applyBorder="1">
      <alignment vertical="center"/>
    </xf>
    <xf numFmtId="183" fontId="9" fillId="0" borderId="2" xfId="0" applyNumberFormat="1" applyFont="1" applyFill="1" applyBorder="1">
      <alignment vertical="center"/>
    </xf>
    <xf numFmtId="183" fontId="11" fillId="8" borderId="2" xfId="0" applyNumberFormat="1" applyFont="1" applyFill="1" applyBorder="1">
      <alignment vertical="center"/>
    </xf>
    <xf numFmtId="185" fontId="0" fillId="2" borderId="2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181" fontId="6" fillId="8" borderId="2" xfId="0" applyNumberFormat="1" applyFont="1" applyFill="1" applyBorder="1" applyAlignment="1">
      <alignment horizontal="center" vertical="center"/>
    </xf>
    <xf numFmtId="41" fontId="5" fillId="8" borderId="2" xfId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8" xfId="0" applyNumberFormat="1" applyFont="1" applyFill="1" applyBorder="1">
      <alignment vertical="center"/>
    </xf>
    <xf numFmtId="41" fontId="5" fillId="4" borderId="2" xfId="1" applyFont="1" applyFill="1" applyBorder="1">
      <alignment vertical="center"/>
    </xf>
    <xf numFmtId="1" fontId="0" fillId="0" borderId="2" xfId="0" applyNumberFormat="1" applyBorder="1" applyAlignment="1">
      <alignment horizontal="center" vertical="center"/>
    </xf>
    <xf numFmtId="185" fontId="0" fillId="8" borderId="2" xfId="0" applyNumberForma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81" fontId="0" fillId="0" borderId="0" xfId="0" applyNumberFormat="1" applyAlignment="1">
      <alignment horizontal="left" vertical="center"/>
    </xf>
    <xf numFmtId="0" fontId="0" fillId="0" borderId="2" xfId="0" applyBorder="1">
      <alignment vertical="center"/>
    </xf>
    <xf numFmtId="186" fontId="0" fillId="9" borderId="2" xfId="0" applyNumberFormat="1" applyFill="1" applyBorder="1" applyAlignment="1">
      <alignment horizontal="center" vertical="center"/>
    </xf>
    <xf numFmtId="186" fontId="0" fillId="6" borderId="2" xfId="0" applyNumberFormat="1" applyFill="1" applyBorder="1" applyAlignment="1">
      <alignment horizontal="center" vertical="center"/>
    </xf>
    <xf numFmtId="186" fontId="0" fillId="12" borderId="2" xfId="0" applyNumberFormat="1" applyFill="1" applyBorder="1" applyAlignment="1">
      <alignment horizontal="center" vertical="center"/>
    </xf>
    <xf numFmtId="186" fontId="0" fillId="20" borderId="2" xfId="0" applyNumberFormat="1" applyFill="1" applyBorder="1" applyAlignment="1">
      <alignment horizontal="center" vertical="center"/>
    </xf>
    <xf numFmtId="186" fontId="0" fillId="21" borderId="2" xfId="0" applyNumberFormat="1" applyFill="1" applyBorder="1" applyAlignment="1">
      <alignment horizontal="center" vertical="center"/>
    </xf>
    <xf numFmtId="185" fontId="0" fillId="14" borderId="2" xfId="0" applyNumberFormat="1" applyFill="1" applyBorder="1" applyAlignment="1">
      <alignment horizontal="center" vertical="center"/>
    </xf>
    <xf numFmtId="184" fontId="0" fillId="14" borderId="2" xfId="0" applyNumberFormat="1" applyFill="1" applyBorder="1" applyAlignment="1">
      <alignment horizontal="center" vertical="center"/>
    </xf>
    <xf numFmtId="184" fontId="0" fillId="8" borderId="2" xfId="0" applyNumberFormat="1" applyFill="1" applyBorder="1" applyAlignment="1">
      <alignment horizontal="center" vertical="center"/>
    </xf>
    <xf numFmtId="184" fontId="0" fillId="0" borderId="2" xfId="0" applyNumberFormat="1" applyBorder="1" applyAlignment="1">
      <alignment horizontal="center" vertical="center"/>
    </xf>
    <xf numFmtId="182" fontId="5" fillId="0" borderId="2" xfId="0" applyNumberFormat="1" applyFont="1" applyFill="1" applyBorder="1">
      <alignment vertical="center"/>
    </xf>
    <xf numFmtId="41" fontId="13" fillId="4" borderId="2" xfId="1" applyNumberFormat="1" applyFont="1" applyFill="1" applyBorder="1">
      <alignment vertical="center"/>
    </xf>
    <xf numFmtId="0" fontId="14" fillId="2" borderId="0" xfId="0" applyFont="1" applyFill="1">
      <alignment vertical="center"/>
    </xf>
    <xf numFmtId="177" fontId="15" fillId="16" borderId="2" xfId="0" applyNumberFormat="1" applyFont="1" applyFill="1" applyBorder="1" applyAlignment="1">
      <alignment vertical="center"/>
    </xf>
    <xf numFmtId="177" fontId="15" fillId="5" borderId="2" xfId="0" applyNumberFormat="1" applyFont="1" applyFill="1" applyBorder="1" applyAlignment="1">
      <alignment vertical="center"/>
    </xf>
    <xf numFmtId="2" fontId="0" fillId="6" borderId="2" xfId="0" applyNumberFormat="1" applyFill="1" applyBorder="1" applyAlignment="1">
      <alignment horizontal="center" vertical="center"/>
    </xf>
    <xf numFmtId="2" fontId="0" fillId="12" borderId="2" xfId="0" applyNumberFormat="1" applyFill="1" applyBorder="1" applyAlignment="1">
      <alignment horizontal="center" vertical="center"/>
    </xf>
    <xf numFmtId="2" fontId="0" fillId="20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12" fillId="22" borderId="2" xfId="0" applyNumberFormat="1" applyFont="1" applyFill="1" applyBorder="1" applyAlignment="1">
      <alignment horizontal="center" vertical="center"/>
    </xf>
    <xf numFmtId="185" fontId="12" fillId="22" borderId="2" xfId="0" applyNumberFormat="1" applyFont="1" applyFill="1" applyBorder="1" applyAlignment="1">
      <alignment horizontal="center" vertical="center"/>
    </xf>
    <xf numFmtId="180" fontId="12" fillId="22" borderId="2" xfId="0" applyNumberFormat="1" applyFont="1" applyFill="1" applyBorder="1" applyAlignment="1">
      <alignment horizontal="center" vertical="center"/>
    </xf>
    <xf numFmtId="1" fontId="12" fillId="22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2" fontId="12" fillId="22" borderId="2" xfId="0" applyNumberFormat="1" applyFont="1" applyFill="1" applyBorder="1" applyAlignment="1">
      <alignment horizontal="center" vertical="center"/>
    </xf>
    <xf numFmtId="181" fontId="6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18" borderId="2" xfId="0" applyFont="1" applyFill="1" applyBorder="1" applyAlignment="1">
      <alignment horizontal="left" vertical="center"/>
    </xf>
    <xf numFmtId="0" fontId="6" fillId="19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185" fontId="6" fillId="18" borderId="2" xfId="0" applyNumberFormat="1" applyFont="1" applyFill="1" applyBorder="1" applyAlignment="1">
      <alignment horizontal="left" vertical="center"/>
    </xf>
    <xf numFmtId="0" fontId="6" fillId="19" borderId="8" xfId="0" applyFont="1" applyFill="1" applyBorder="1" applyAlignment="1">
      <alignment horizontal="left" vertical="center"/>
    </xf>
    <xf numFmtId="0" fontId="6" fillId="19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15" fillId="16" borderId="5" xfId="0" applyNumberFormat="1" applyFont="1" applyFill="1" applyBorder="1" applyAlignment="1">
      <alignment horizontal="center" vertical="center"/>
    </xf>
    <xf numFmtId="177" fontId="15" fillId="16" borderId="0" xfId="0" applyNumberFormat="1" applyFont="1" applyFill="1" applyBorder="1" applyAlignment="1">
      <alignment horizontal="center" vertical="center"/>
    </xf>
    <xf numFmtId="177" fontId="16" fillId="16" borderId="2" xfId="0" applyNumberFormat="1" applyFont="1" applyFill="1" applyBorder="1" applyAlignment="1">
      <alignment horizontal="center" vertical="center"/>
    </xf>
    <xf numFmtId="177" fontId="16" fillId="5" borderId="2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3"/>
  <sheetViews>
    <sheetView tabSelected="1" zoomScale="85" zoomScaleNormal="85" workbookViewId="0">
      <selection activeCell="J27" sqref="J27"/>
    </sheetView>
  </sheetViews>
  <sheetFormatPr defaultRowHeight="16.5" x14ac:dyDescent="0.3"/>
  <cols>
    <col min="1" max="1" width="3.625" style="71" customWidth="1"/>
    <col min="2" max="2" width="20.75" style="1" customWidth="1"/>
    <col min="3" max="3" width="8.375" style="1" bestFit="1" customWidth="1"/>
    <col min="4" max="4" width="11.875" style="1" bestFit="1" customWidth="1"/>
    <col min="5" max="5" width="16.125" style="1" customWidth="1"/>
    <col min="6" max="6" width="9.875" style="1" bestFit="1" customWidth="1"/>
    <col min="7" max="8" width="12.125" style="2" customWidth="1"/>
    <col min="9" max="9" width="8.375" style="2" bestFit="1" customWidth="1"/>
    <col min="10" max="10" width="11.875" style="1" bestFit="1" customWidth="1"/>
    <col min="11" max="12" width="9.875" style="1" bestFit="1" customWidth="1"/>
    <col min="13" max="13" width="12.625" style="2" bestFit="1" customWidth="1"/>
    <col min="14" max="14" width="12.125" style="2" customWidth="1"/>
    <col min="15" max="15" width="3.625" style="71" customWidth="1"/>
    <col min="16" max="16" width="11.5" style="71" customWidth="1"/>
    <col min="17" max="17" width="14.5" style="71" customWidth="1"/>
    <col min="18" max="18" width="15.25" style="71" bestFit="1" customWidth="1"/>
    <col min="19" max="19" width="13.25" style="71" customWidth="1"/>
    <col min="20" max="20" width="12.125" style="71" customWidth="1"/>
    <col min="21" max="21" width="12.125" style="71" bestFit="1" customWidth="1"/>
    <col min="22" max="23" width="9" style="71"/>
    <col min="24" max="24" width="15.125" style="71" customWidth="1"/>
    <col min="25" max="25" width="13.375" style="15" customWidth="1"/>
    <col min="26" max="27" width="12.625" style="71" customWidth="1"/>
    <col min="28" max="16384" width="9" style="71"/>
  </cols>
  <sheetData>
    <row r="1" spans="2:27" x14ac:dyDescent="0.3">
      <c r="B1" s="24" t="s">
        <v>132</v>
      </c>
      <c r="I1" s="143" t="s">
        <v>133</v>
      </c>
      <c r="M1" s="115"/>
    </row>
    <row r="2" spans="2:27" ht="33" x14ac:dyDescent="0.3">
      <c r="B2" s="110" t="s">
        <v>17</v>
      </c>
      <c r="C2" s="110" t="s">
        <v>5</v>
      </c>
      <c r="D2" s="140" t="s">
        <v>129</v>
      </c>
      <c r="E2" s="110" t="s">
        <v>34</v>
      </c>
      <c r="F2" s="110" t="s">
        <v>18</v>
      </c>
      <c r="G2" s="6" t="s">
        <v>22</v>
      </c>
      <c r="H2" s="6" t="s">
        <v>20</v>
      </c>
      <c r="I2" s="102" t="s">
        <v>5</v>
      </c>
      <c r="J2" s="139" t="s">
        <v>129</v>
      </c>
      <c r="K2" s="139" t="s">
        <v>128</v>
      </c>
      <c r="L2" s="102" t="s">
        <v>18</v>
      </c>
      <c r="M2" s="103" t="s">
        <v>22</v>
      </c>
      <c r="N2" s="103" t="s">
        <v>20</v>
      </c>
    </row>
    <row r="3" spans="2:27" x14ac:dyDescent="0.3">
      <c r="B3" s="150" t="s">
        <v>2</v>
      </c>
      <c r="C3" s="3" t="s">
        <v>19</v>
      </c>
      <c r="D3" s="3">
        <v>0</v>
      </c>
      <c r="E3" s="22">
        <f>$Y$8</f>
        <v>68342.400000000009</v>
      </c>
      <c r="F3" s="108">
        <f>SUM(D3:E3)</f>
        <v>68342.400000000009</v>
      </c>
      <c r="G3" s="116"/>
      <c r="H3" s="121">
        <f>F3/$T$13</f>
        <v>0.56656442226385695</v>
      </c>
      <c r="I3" s="3" t="s">
        <v>19</v>
      </c>
      <c r="J3" s="3">
        <v>0</v>
      </c>
      <c r="K3" s="22">
        <f>$Z$8</f>
        <v>32104.800000000003</v>
      </c>
      <c r="L3" s="108">
        <f>SUM(J3:K3)</f>
        <v>32104.800000000003</v>
      </c>
      <c r="M3" s="116"/>
      <c r="N3" s="121">
        <f>L3/$U$13</f>
        <v>0.27386864800771155</v>
      </c>
      <c r="P3" s="46" t="s">
        <v>10</v>
      </c>
    </row>
    <row r="4" spans="2:27" x14ac:dyDescent="0.3">
      <c r="B4" s="150"/>
      <c r="C4" s="4">
        <v>100000</v>
      </c>
      <c r="D4" s="22">
        <f>$Y$16</f>
        <v>7078.030303030303</v>
      </c>
      <c r="E4" s="22">
        <f>$Y$8</f>
        <v>68342.400000000009</v>
      </c>
      <c r="F4" s="108">
        <f t="shared" ref="F4:F18" si="0">SUM(D4:E4)</f>
        <v>75420.430303030313</v>
      </c>
      <c r="G4" s="117">
        <f>F4/$Q$29</f>
        <v>1.400617113040973</v>
      </c>
      <c r="H4" s="116"/>
      <c r="I4" s="4">
        <v>100000</v>
      </c>
      <c r="J4" s="22">
        <f>$Y$16</f>
        <v>7078.030303030303</v>
      </c>
      <c r="K4" s="22">
        <f t="shared" ref="K4:K6" si="1">$Z$8</f>
        <v>32104.800000000003</v>
      </c>
      <c r="L4" s="108">
        <f t="shared" ref="L4:L18" si="2">SUM(J4:K4)</f>
        <v>39182.830303030307</v>
      </c>
      <c r="M4" s="117">
        <f>L4/$R$29</f>
        <v>1.0506470290939645</v>
      </c>
      <c r="N4" s="116"/>
      <c r="P4" s="151" t="s">
        <v>11</v>
      </c>
      <c r="Q4" s="153" t="s">
        <v>12</v>
      </c>
      <c r="R4" s="153" t="s">
        <v>13</v>
      </c>
      <c r="S4" s="151" t="s">
        <v>14</v>
      </c>
      <c r="T4" s="151" t="s">
        <v>80</v>
      </c>
      <c r="U4" s="151" t="s">
        <v>81</v>
      </c>
      <c r="X4" s="148" t="s">
        <v>16</v>
      </c>
      <c r="Y4" s="148"/>
    </row>
    <row r="5" spans="2:27" x14ac:dyDescent="0.3">
      <c r="B5" s="150"/>
      <c r="C5" s="4">
        <v>264000</v>
      </c>
      <c r="D5" s="22">
        <f>$Y$17</f>
        <v>18686</v>
      </c>
      <c r="E5" s="22">
        <f>$Y$8</f>
        <v>68342.400000000009</v>
      </c>
      <c r="F5" s="108">
        <f t="shared" si="0"/>
        <v>87028.400000000009</v>
      </c>
      <c r="G5" s="117">
        <f>F5/$Q$29</f>
        <v>1.6161863021839253</v>
      </c>
      <c r="H5" s="116"/>
      <c r="I5" s="4">
        <v>264000</v>
      </c>
      <c r="J5" s="22">
        <f>$Y$17</f>
        <v>18686</v>
      </c>
      <c r="K5" s="22">
        <f t="shared" si="1"/>
        <v>32104.800000000003</v>
      </c>
      <c r="L5" s="108">
        <f t="shared" si="2"/>
        <v>50790.8</v>
      </c>
      <c r="M5" s="117">
        <f>L5/$R$29</f>
        <v>1.361902718936022</v>
      </c>
      <c r="N5" s="116"/>
      <c r="P5" s="152"/>
      <c r="Q5" s="152"/>
      <c r="R5" s="152"/>
      <c r="S5" s="152"/>
      <c r="T5" s="152"/>
      <c r="U5" s="152"/>
      <c r="X5" s="149" t="s">
        <v>9</v>
      </c>
      <c r="Y5" s="149"/>
    </row>
    <row r="6" spans="2:27" x14ac:dyDescent="0.3">
      <c r="B6" s="150"/>
      <c r="C6" s="4">
        <v>792000</v>
      </c>
      <c r="D6" s="22">
        <f>$Y$18</f>
        <v>53212</v>
      </c>
      <c r="E6" s="22">
        <f>$Y$8</f>
        <v>68342.400000000009</v>
      </c>
      <c r="F6" s="108">
        <f t="shared" si="0"/>
        <v>121554.40000000001</v>
      </c>
      <c r="G6" s="117">
        <f>F6/$Q$29</f>
        <v>2.2573614618927351</v>
      </c>
      <c r="H6" s="116"/>
      <c r="I6" s="4">
        <v>792000</v>
      </c>
      <c r="J6" s="22">
        <f>$Y$18</f>
        <v>53212</v>
      </c>
      <c r="K6" s="22">
        <f t="shared" si="1"/>
        <v>32104.800000000003</v>
      </c>
      <c r="L6" s="108">
        <f t="shared" si="2"/>
        <v>85316.800000000003</v>
      </c>
      <c r="M6" s="117">
        <f>L6/$R$29</f>
        <v>2.2876816646109295</v>
      </c>
      <c r="N6" s="116"/>
      <c r="P6" s="26">
        <v>1</v>
      </c>
      <c r="Q6" s="47">
        <v>290</v>
      </c>
      <c r="R6" s="107">
        <v>290</v>
      </c>
      <c r="S6" s="47">
        <v>64</v>
      </c>
      <c r="T6" s="47">
        <f>Q6*S6</f>
        <v>18560</v>
      </c>
      <c r="U6" s="47">
        <f>R6*S6</f>
        <v>18560</v>
      </c>
      <c r="X6" s="5" t="s">
        <v>0</v>
      </c>
      <c r="Y6" s="16" t="s">
        <v>8</v>
      </c>
      <c r="Z6" s="16" t="s">
        <v>8</v>
      </c>
    </row>
    <row r="7" spans="2:27" x14ac:dyDescent="0.3">
      <c r="B7" s="150" t="s">
        <v>3</v>
      </c>
      <c r="C7" s="3" t="s">
        <v>19</v>
      </c>
      <c r="D7" s="3">
        <v>0</v>
      </c>
      <c r="E7" s="22">
        <f>$Y$9</f>
        <v>136684.80000000002</v>
      </c>
      <c r="F7" s="108">
        <f t="shared" si="0"/>
        <v>136684.80000000002</v>
      </c>
      <c r="G7" s="116"/>
      <c r="H7" s="118">
        <f>F7/$T$13</f>
        <v>1.1331288445277139</v>
      </c>
      <c r="I7" s="3" t="s">
        <v>19</v>
      </c>
      <c r="J7" s="3">
        <v>0</v>
      </c>
      <c r="K7" s="22">
        <f>$Z$9</f>
        <v>64209.600000000006</v>
      </c>
      <c r="L7" s="108">
        <f t="shared" si="2"/>
        <v>64209.600000000006</v>
      </c>
      <c r="M7" s="116"/>
      <c r="N7" s="118">
        <f>L7/$U$13</f>
        <v>0.54773729601542309</v>
      </c>
      <c r="P7" s="26">
        <v>2</v>
      </c>
      <c r="Q7" s="47">
        <v>430</v>
      </c>
      <c r="R7" s="107">
        <v>430</v>
      </c>
      <c r="S7" s="47">
        <v>32</v>
      </c>
      <c r="T7" s="47">
        <f t="shared" ref="T7:T12" si="3">Q7*S7</f>
        <v>13760</v>
      </c>
      <c r="U7" s="47">
        <f t="shared" ref="U7:U12" si="4">R7*S7</f>
        <v>13760</v>
      </c>
      <c r="X7" s="3" t="s">
        <v>1</v>
      </c>
      <c r="Y7" s="122">
        <f>'시뮬레이션-액트별 등급 확률개선'!G58</f>
        <v>9763.2000000000007</v>
      </c>
      <c r="Z7" s="109">
        <f>'시뮬레이션-액트별 등급 확률개선'!H58</f>
        <v>4586.4000000000005</v>
      </c>
      <c r="AA7" s="144" t="s">
        <v>135</v>
      </c>
    </row>
    <row r="8" spans="2:27" x14ac:dyDescent="0.3">
      <c r="B8" s="150"/>
      <c r="C8" s="4">
        <v>100000</v>
      </c>
      <c r="D8" s="22">
        <f t="shared" ref="D8" si="5">$Y$16</f>
        <v>7078.030303030303</v>
      </c>
      <c r="E8" s="22">
        <f>$Y$9</f>
        <v>136684.80000000002</v>
      </c>
      <c r="F8" s="108">
        <f t="shared" si="0"/>
        <v>143762.83030303032</v>
      </c>
      <c r="G8" s="118">
        <f t="shared" ref="G8:G18" si="6">F8/53848</f>
        <v>2.6697895985557554</v>
      </c>
      <c r="H8" s="116"/>
      <c r="I8" s="4">
        <v>100000</v>
      </c>
      <c r="J8" s="22">
        <f>$Y$16</f>
        <v>7078.030303030303</v>
      </c>
      <c r="K8" s="22">
        <f t="shared" ref="K8:K10" si="7">$Z$9</f>
        <v>64209.600000000006</v>
      </c>
      <c r="L8" s="108">
        <f t="shared" si="2"/>
        <v>71287.63030303031</v>
      </c>
      <c r="M8" s="118">
        <f>L8/$R$29</f>
        <v>1.9115040034061863</v>
      </c>
      <c r="N8" s="116"/>
      <c r="P8" s="26">
        <v>3</v>
      </c>
      <c r="Q8" s="47">
        <v>790</v>
      </c>
      <c r="R8" s="107">
        <v>790</v>
      </c>
      <c r="S8" s="47">
        <v>16</v>
      </c>
      <c r="T8" s="47">
        <f t="shared" si="3"/>
        <v>12640</v>
      </c>
      <c r="U8" s="47">
        <f t="shared" si="4"/>
        <v>12640</v>
      </c>
      <c r="X8" s="3" t="s">
        <v>2</v>
      </c>
      <c r="Y8" s="122">
        <f>Y7*7</f>
        <v>68342.400000000009</v>
      </c>
      <c r="Z8" s="109">
        <f>Z7*7</f>
        <v>32104.800000000003</v>
      </c>
    </row>
    <row r="9" spans="2:27" x14ac:dyDescent="0.3">
      <c r="B9" s="150"/>
      <c r="C9" s="4">
        <v>264000</v>
      </c>
      <c r="D9" s="22">
        <f t="shared" ref="D9" si="8">$Y$17</f>
        <v>18686</v>
      </c>
      <c r="E9" s="22">
        <f>$Y$9</f>
        <v>136684.80000000002</v>
      </c>
      <c r="F9" s="108">
        <f t="shared" si="0"/>
        <v>155370.80000000002</v>
      </c>
      <c r="G9" s="118">
        <f t="shared" si="6"/>
        <v>2.8853587876987077</v>
      </c>
      <c r="H9" s="116"/>
      <c r="I9" s="4">
        <v>264000</v>
      </c>
      <c r="J9" s="22">
        <f>$Y$17</f>
        <v>18686</v>
      </c>
      <c r="K9" s="22">
        <f t="shared" si="7"/>
        <v>64209.600000000006</v>
      </c>
      <c r="L9" s="108">
        <f t="shared" si="2"/>
        <v>82895.600000000006</v>
      </c>
      <c r="M9" s="118">
        <f>L9/$R$29</f>
        <v>2.2227596932482436</v>
      </c>
      <c r="N9" s="116"/>
      <c r="P9" s="26">
        <v>4</v>
      </c>
      <c r="Q9" s="47">
        <v>1710</v>
      </c>
      <c r="R9" s="107">
        <v>1690</v>
      </c>
      <c r="S9" s="47">
        <v>8</v>
      </c>
      <c r="T9" s="47">
        <f t="shared" si="3"/>
        <v>13680</v>
      </c>
      <c r="U9" s="47">
        <f t="shared" si="4"/>
        <v>13520</v>
      </c>
      <c r="X9" s="3" t="s">
        <v>3</v>
      </c>
      <c r="Y9" s="122">
        <f>Y7*14</f>
        <v>136684.80000000002</v>
      </c>
      <c r="Z9" s="109">
        <f>Z7*14</f>
        <v>64209.600000000006</v>
      </c>
    </row>
    <row r="10" spans="2:27" x14ac:dyDescent="0.3">
      <c r="B10" s="150"/>
      <c r="C10" s="4">
        <v>792000</v>
      </c>
      <c r="D10" s="22">
        <f t="shared" ref="D10" si="9">$Y$18</f>
        <v>53212</v>
      </c>
      <c r="E10" s="22">
        <f>$Y$9</f>
        <v>136684.80000000002</v>
      </c>
      <c r="F10" s="108">
        <f t="shared" si="0"/>
        <v>189896.80000000002</v>
      </c>
      <c r="G10" s="118">
        <f t="shared" si="6"/>
        <v>3.5265339474075179</v>
      </c>
      <c r="H10" s="116"/>
      <c r="I10" s="4">
        <v>792000</v>
      </c>
      <c r="J10" s="22">
        <f>$Y$18</f>
        <v>53212</v>
      </c>
      <c r="K10" s="22">
        <f t="shared" si="7"/>
        <v>64209.600000000006</v>
      </c>
      <c r="L10" s="108">
        <f t="shared" si="2"/>
        <v>117421.6</v>
      </c>
      <c r="M10" s="118">
        <f>L10/$R$29</f>
        <v>3.1485386389231511</v>
      </c>
      <c r="N10" s="116"/>
      <c r="P10" s="26">
        <v>5</v>
      </c>
      <c r="Q10" s="47">
        <v>4069</v>
      </c>
      <c r="R10" s="107">
        <v>3949</v>
      </c>
      <c r="S10" s="47">
        <v>4</v>
      </c>
      <c r="T10" s="47">
        <f t="shared" si="3"/>
        <v>16276</v>
      </c>
      <c r="U10" s="47">
        <f t="shared" si="4"/>
        <v>15796</v>
      </c>
      <c r="X10" s="3" t="s">
        <v>6</v>
      </c>
      <c r="Y10" s="122">
        <f>Y7*21</f>
        <v>205027.20000000001</v>
      </c>
      <c r="Z10" s="109">
        <f>Z7*21</f>
        <v>96314.400000000009</v>
      </c>
    </row>
    <row r="11" spans="2:27" x14ac:dyDescent="0.3">
      <c r="B11" s="150" t="s">
        <v>6</v>
      </c>
      <c r="C11" s="3" t="s">
        <v>19</v>
      </c>
      <c r="D11" s="3">
        <v>0</v>
      </c>
      <c r="E11" s="22">
        <f>$Y$10</f>
        <v>205027.20000000001</v>
      </c>
      <c r="F11" s="108">
        <f t="shared" si="0"/>
        <v>205027.20000000001</v>
      </c>
      <c r="G11" s="116"/>
      <c r="H11" s="119">
        <f>F11/$T$13</f>
        <v>1.6996932667915707</v>
      </c>
      <c r="I11" s="3" t="s">
        <v>19</v>
      </c>
      <c r="J11" s="3">
        <v>0</v>
      </c>
      <c r="K11" s="22">
        <f>$Z$10</f>
        <v>96314.400000000009</v>
      </c>
      <c r="L11" s="108">
        <f t="shared" si="2"/>
        <v>96314.400000000009</v>
      </c>
      <c r="M11" s="116"/>
      <c r="N11" s="119">
        <f>L11/$U$13</f>
        <v>0.82160594402313469</v>
      </c>
      <c r="P11" s="26">
        <v>6</v>
      </c>
      <c r="Q11" s="47">
        <v>10106</v>
      </c>
      <c r="R11" s="107">
        <v>9606</v>
      </c>
      <c r="S11" s="47">
        <v>2</v>
      </c>
      <c r="T11" s="47">
        <f t="shared" si="3"/>
        <v>20212</v>
      </c>
      <c r="U11" s="47">
        <f t="shared" si="4"/>
        <v>19212</v>
      </c>
      <c r="X11" s="3" t="s">
        <v>7</v>
      </c>
      <c r="Y11" s="122">
        <f>Y7*28</f>
        <v>273369.60000000003</v>
      </c>
      <c r="Z11" s="109">
        <f>Z7*28</f>
        <v>128419.20000000001</v>
      </c>
    </row>
    <row r="12" spans="2:27" x14ac:dyDescent="0.3">
      <c r="B12" s="150"/>
      <c r="C12" s="4">
        <v>100000</v>
      </c>
      <c r="D12" s="22">
        <f t="shared" ref="D12" si="10">$Y$16</f>
        <v>7078.030303030303</v>
      </c>
      <c r="E12" s="22">
        <f>$Y$10</f>
        <v>205027.20000000001</v>
      </c>
      <c r="F12" s="108">
        <f t="shared" si="0"/>
        <v>212105.23030303032</v>
      </c>
      <c r="G12" s="119">
        <f t="shared" si="6"/>
        <v>3.9389620840705377</v>
      </c>
      <c r="H12" s="116"/>
      <c r="I12" s="4">
        <v>100000</v>
      </c>
      <c r="J12" s="22">
        <f>$Y$16</f>
        <v>7078.030303030303</v>
      </c>
      <c r="K12" s="22">
        <f t="shared" ref="K12:K14" si="11">$Z$10</f>
        <v>96314.400000000009</v>
      </c>
      <c r="L12" s="108">
        <f t="shared" si="2"/>
        <v>103392.43030303031</v>
      </c>
      <c r="M12" s="119">
        <f>L12/$R$29</f>
        <v>2.7723609777184079</v>
      </c>
      <c r="N12" s="116"/>
      <c r="P12" s="26">
        <v>7</v>
      </c>
      <c r="Q12" s="47">
        <v>25498</v>
      </c>
      <c r="R12" s="107">
        <v>23739</v>
      </c>
      <c r="S12" s="47">
        <v>1</v>
      </c>
      <c r="T12" s="47">
        <f t="shared" si="3"/>
        <v>25498</v>
      </c>
      <c r="U12" s="47">
        <f t="shared" si="4"/>
        <v>23739</v>
      </c>
      <c r="X12" s="3" t="s">
        <v>4</v>
      </c>
      <c r="Y12" s="122">
        <f>Y7*30</f>
        <v>292896</v>
      </c>
      <c r="Z12" s="109">
        <f>Z7*30</f>
        <v>137592.00000000003</v>
      </c>
    </row>
    <row r="13" spans="2:27" x14ac:dyDescent="0.3">
      <c r="B13" s="150"/>
      <c r="C13" s="4">
        <v>264000</v>
      </c>
      <c r="D13" s="22">
        <f t="shared" ref="D13" si="12">$Y$17</f>
        <v>18686</v>
      </c>
      <c r="E13" s="22">
        <f>$Y$10</f>
        <v>205027.20000000001</v>
      </c>
      <c r="F13" s="108">
        <f t="shared" si="0"/>
        <v>223713.2</v>
      </c>
      <c r="G13" s="119">
        <f t="shared" si="6"/>
        <v>4.1545312732134905</v>
      </c>
      <c r="H13" s="116"/>
      <c r="I13" s="4">
        <v>264000</v>
      </c>
      <c r="J13" s="22">
        <f>$Y$17</f>
        <v>18686</v>
      </c>
      <c r="K13" s="22">
        <f t="shared" si="11"/>
        <v>96314.400000000009</v>
      </c>
      <c r="L13" s="108">
        <f t="shared" si="2"/>
        <v>115000.40000000001</v>
      </c>
      <c r="M13" s="119">
        <f>L13/$R$29</f>
        <v>3.0836166675604657</v>
      </c>
      <c r="N13" s="116"/>
      <c r="R13" s="141" t="s">
        <v>134</v>
      </c>
      <c r="T13" s="21">
        <v>120626</v>
      </c>
      <c r="U13" s="104">
        <f>SUM(U6:U12)</f>
        <v>117227</v>
      </c>
      <c r="X13" s="1"/>
      <c r="Y13" s="23"/>
    </row>
    <row r="14" spans="2:27" x14ac:dyDescent="0.3">
      <c r="B14" s="150"/>
      <c r="C14" s="4">
        <v>792000</v>
      </c>
      <c r="D14" s="22">
        <f t="shared" ref="D14" si="13">$Y$18</f>
        <v>53212</v>
      </c>
      <c r="E14" s="22">
        <f>$Y$10</f>
        <v>205027.20000000001</v>
      </c>
      <c r="F14" s="108">
        <f t="shared" si="0"/>
        <v>258239.2</v>
      </c>
      <c r="G14" s="119">
        <f t="shared" si="6"/>
        <v>4.7957064329222998</v>
      </c>
      <c r="H14" s="116"/>
      <c r="I14" s="4">
        <v>792000</v>
      </c>
      <c r="J14" s="22">
        <f>$Y$18</f>
        <v>53212</v>
      </c>
      <c r="K14" s="22">
        <f t="shared" si="11"/>
        <v>96314.400000000009</v>
      </c>
      <c r="L14" s="108">
        <f t="shared" si="2"/>
        <v>149526.40000000002</v>
      </c>
      <c r="M14" s="119">
        <f>L14/$R$29</f>
        <v>4.0093956132353732</v>
      </c>
      <c r="N14" s="116"/>
      <c r="X14" s="149" t="s">
        <v>73</v>
      </c>
      <c r="Y14" s="149"/>
    </row>
    <row r="15" spans="2:27" x14ac:dyDescent="0.3">
      <c r="B15" s="150" t="s">
        <v>4</v>
      </c>
      <c r="C15" s="3" t="s">
        <v>19</v>
      </c>
      <c r="D15" s="3">
        <v>0</v>
      </c>
      <c r="E15" s="22">
        <f>$Y$12</f>
        <v>292896</v>
      </c>
      <c r="F15" s="108">
        <f t="shared" si="0"/>
        <v>292896</v>
      </c>
      <c r="G15" s="116"/>
      <c r="H15" s="120">
        <f>F15/$T$13</f>
        <v>2.4281332382736722</v>
      </c>
      <c r="I15" s="3" t="s">
        <v>19</v>
      </c>
      <c r="J15" s="3">
        <v>0</v>
      </c>
      <c r="K15" s="22">
        <f>$Z$12</f>
        <v>137592.00000000003</v>
      </c>
      <c r="L15" s="108">
        <f t="shared" si="2"/>
        <v>137592.00000000003</v>
      </c>
      <c r="M15" s="116"/>
      <c r="N15" s="120">
        <f>L15/$U$13</f>
        <v>1.1737227771759069</v>
      </c>
      <c r="P15" s="46" t="s">
        <v>32</v>
      </c>
      <c r="X15" s="5" t="s">
        <v>51</v>
      </c>
      <c r="Y15" s="16" t="s">
        <v>8</v>
      </c>
      <c r="Z15" s="16" t="s">
        <v>8</v>
      </c>
    </row>
    <row r="16" spans="2:27" x14ac:dyDescent="0.3">
      <c r="B16" s="150"/>
      <c r="C16" s="4">
        <v>100000</v>
      </c>
      <c r="D16" s="22">
        <f t="shared" ref="D16" si="14">$Y$16</f>
        <v>7078.030303030303</v>
      </c>
      <c r="E16" s="22">
        <f>$Y$12</f>
        <v>292896</v>
      </c>
      <c r="F16" s="108">
        <f t="shared" si="0"/>
        <v>299974.03030303027</v>
      </c>
      <c r="G16" s="120">
        <f t="shared" si="6"/>
        <v>5.5707552797324</v>
      </c>
      <c r="H16" s="116"/>
      <c r="I16" s="4">
        <v>100000</v>
      </c>
      <c r="J16" s="22">
        <f>$Y$16</f>
        <v>7078.030303030303</v>
      </c>
      <c r="K16" s="22">
        <f t="shared" ref="K16:K18" si="15">$Z$12</f>
        <v>137592.00000000003</v>
      </c>
      <c r="L16" s="108">
        <f t="shared" si="2"/>
        <v>144670.03030303033</v>
      </c>
      <c r="M16" s="120">
        <f>L16/$R$29</f>
        <v>3.879177087548408</v>
      </c>
      <c r="N16" s="116"/>
      <c r="P16" s="151" t="s">
        <v>11</v>
      </c>
      <c r="Q16" s="153" t="s">
        <v>12</v>
      </c>
      <c r="R16" s="153" t="s">
        <v>12</v>
      </c>
      <c r="S16" s="151" t="s">
        <v>14</v>
      </c>
      <c r="T16" s="151" t="s">
        <v>15</v>
      </c>
      <c r="U16" s="151" t="s">
        <v>15</v>
      </c>
      <c r="X16" s="65">
        <v>100000</v>
      </c>
      <c r="Y16" s="122">
        <f>Y17/2.64</f>
        <v>7078.030303030303</v>
      </c>
      <c r="Z16" s="109">
        <f>Z17/2.64</f>
        <v>6996.969696969697</v>
      </c>
    </row>
    <row r="17" spans="2:27" x14ac:dyDescent="0.3">
      <c r="B17" s="150"/>
      <c r="C17" s="4">
        <v>264000</v>
      </c>
      <c r="D17" s="22">
        <f t="shared" ref="D17" si="16">$Y$17</f>
        <v>18686</v>
      </c>
      <c r="E17" s="22">
        <f>$Y$12</f>
        <v>292896</v>
      </c>
      <c r="F17" s="108">
        <f t="shared" si="0"/>
        <v>311582</v>
      </c>
      <c r="G17" s="120">
        <f t="shared" si="6"/>
        <v>5.7863244688753532</v>
      </c>
      <c r="H17" s="116"/>
      <c r="I17" s="4">
        <v>264000</v>
      </c>
      <c r="J17" s="22">
        <f>$Y$17</f>
        <v>18686</v>
      </c>
      <c r="K17" s="22">
        <f t="shared" si="15"/>
        <v>137592.00000000003</v>
      </c>
      <c r="L17" s="108">
        <f t="shared" si="2"/>
        <v>156278.00000000003</v>
      </c>
      <c r="M17" s="120">
        <f>L17/$R$29</f>
        <v>4.1904327773904662</v>
      </c>
      <c r="N17" s="116"/>
      <c r="P17" s="152"/>
      <c r="Q17" s="152"/>
      <c r="R17" s="152"/>
      <c r="S17" s="152"/>
      <c r="T17" s="152"/>
      <c r="U17" s="152"/>
      <c r="X17" s="65">
        <v>264000</v>
      </c>
      <c r="Y17" s="122">
        <f>V38</f>
        <v>18686</v>
      </c>
      <c r="Z17" s="109">
        <f>W38</f>
        <v>18472</v>
      </c>
    </row>
    <row r="18" spans="2:27" x14ac:dyDescent="0.3">
      <c r="B18" s="150"/>
      <c r="C18" s="4">
        <v>792000</v>
      </c>
      <c r="D18" s="22">
        <f t="shared" ref="D18" si="17">$Y$18</f>
        <v>53212</v>
      </c>
      <c r="E18" s="22">
        <f>$Y$12</f>
        <v>292896</v>
      </c>
      <c r="F18" s="108">
        <f t="shared" si="0"/>
        <v>346108</v>
      </c>
      <c r="G18" s="120">
        <f t="shared" si="6"/>
        <v>6.4274996285841626</v>
      </c>
      <c r="H18" s="116"/>
      <c r="I18" s="4">
        <v>792000</v>
      </c>
      <c r="J18" s="22">
        <f>$Y$18</f>
        <v>53212</v>
      </c>
      <c r="K18" s="22">
        <f t="shared" si="15"/>
        <v>137592.00000000003</v>
      </c>
      <c r="L18" s="108">
        <f t="shared" si="2"/>
        <v>190804.00000000003</v>
      </c>
      <c r="M18" s="120">
        <f>L18/$R$29</f>
        <v>5.1162117230653736</v>
      </c>
      <c r="N18" s="116"/>
      <c r="P18" s="26">
        <v>3</v>
      </c>
      <c r="Q18" s="47">
        <v>670</v>
      </c>
      <c r="R18" s="107">
        <f>R8</f>
        <v>790</v>
      </c>
      <c r="S18" s="47">
        <v>16</v>
      </c>
      <c r="T18" s="47">
        <f>Q18*S18</f>
        <v>10720</v>
      </c>
      <c r="U18" s="47">
        <f>R18*S18</f>
        <v>12640</v>
      </c>
      <c r="X18" s="65">
        <v>792000</v>
      </c>
      <c r="Y18" s="122">
        <f>U38+V38*2</f>
        <v>53212</v>
      </c>
      <c r="Z18" s="109">
        <f>W38+X38*2</f>
        <v>62564</v>
      </c>
    </row>
    <row r="19" spans="2:27" x14ac:dyDescent="0.3">
      <c r="B19" s="10"/>
      <c r="C19" s="7"/>
      <c r="D19" s="8"/>
      <c r="E19" s="8"/>
      <c r="F19" s="8"/>
      <c r="G19" s="9"/>
      <c r="H19" s="11" t="s">
        <v>21</v>
      </c>
      <c r="I19" s="7"/>
      <c r="J19" s="8"/>
      <c r="K19" s="8"/>
      <c r="L19" s="8"/>
      <c r="M19" s="9"/>
      <c r="N19" s="11" t="s">
        <v>21</v>
      </c>
      <c r="P19" s="26">
        <v>4</v>
      </c>
      <c r="Q19" s="47">
        <v>1230</v>
      </c>
      <c r="R19" s="107">
        <f t="shared" ref="R19:R22" si="18">R9</f>
        <v>1690</v>
      </c>
      <c r="S19" s="47">
        <v>8</v>
      </c>
      <c r="T19" s="47">
        <f>Q19*S19</f>
        <v>9840</v>
      </c>
      <c r="U19" s="47">
        <f>R19*S19</f>
        <v>13520</v>
      </c>
      <c r="X19" s="66"/>
      <c r="Y19" s="66"/>
    </row>
    <row r="20" spans="2:27" x14ac:dyDescent="0.3">
      <c r="B20" s="10"/>
      <c r="C20" s="7"/>
      <c r="D20" s="8"/>
      <c r="E20" s="8"/>
      <c r="F20" s="8"/>
      <c r="G20" s="9"/>
      <c r="H20" s="11" t="s">
        <v>48</v>
      </c>
      <c r="I20" s="7"/>
      <c r="J20" s="8"/>
      <c r="K20" s="8"/>
      <c r="L20" s="8"/>
      <c r="M20" s="9"/>
      <c r="N20" s="11" t="s">
        <v>48</v>
      </c>
      <c r="P20" s="26">
        <v>5</v>
      </c>
      <c r="Q20" s="47">
        <v>2489</v>
      </c>
      <c r="R20" s="107">
        <f t="shared" si="18"/>
        <v>3949</v>
      </c>
      <c r="S20" s="47">
        <v>4</v>
      </c>
      <c r="T20" s="47">
        <f>Q20*S20</f>
        <v>9956</v>
      </c>
      <c r="U20" s="47">
        <f>R20*S20</f>
        <v>15796</v>
      </c>
      <c r="X20" s="67"/>
      <c r="Y20" s="67"/>
    </row>
    <row r="21" spans="2:27" x14ac:dyDescent="0.3">
      <c r="B21" s="101" t="s">
        <v>75</v>
      </c>
      <c r="C21" s="8"/>
      <c r="D21" s="8"/>
      <c r="E21" s="8"/>
      <c r="F21" s="8"/>
      <c r="G21" s="9"/>
      <c r="H21" s="9"/>
      <c r="I21" s="143" t="s">
        <v>133</v>
      </c>
      <c r="J21" s="8"/>
      <c r="K21" s="8"/>
      <c r="L21" s="8"/>
      <c r="M21" s="9"/>
      <c r="N21" s="9"/>
      <c r="P21" s="26">
        <v>6</v>
      </c>
      <c r="Q21" s="47">
        <v>5228</v>
      </c>
      <c r="R21" s="107">
        <f t="shared" si="18"/>
        <v>9606</v>
      </c>
      <c r="S21" s="47">
        <v>2</v>
      </c>
      <c r="T21" s="47">
        <f>Q21*S21</f>
        <v>10456</v>
      </c>
      <c r="U21" s="47">
        <f>R21*S21</f>
        <v>19212</v>
      </c>
      <c r="X21" s="155" t="s">
        <v>74</v>
      </c>
      <c r="Y21" s="155"/>
    </row>
    <row r="22" spans="2:27" ht="33" x14ac:dyDescent="0.3">
      <c r="B22" s="110" t="s">
        <v>17</v>
      </c>
      <c r="C22" s="110" t="s">
        <v>5</v>
      </c>
      <c r="D22" s="140" t="s">
        <v>130</v>
      </c>
      <c r="E22" s="110" t="s">
        <v>34</v>
      </c>
      <c r="F22" s="110" t="s">
        <v>18</v>
      </c>
      <c r="G22" s="6" t="s">
        <v>29</v>
      </c>
      <c r="H22" s="6" t="s">
        <v>20</v>
      </c>
      <c r="I22" s="102" t="s">
        <v>5</v>
      </c>
      <c r="J22" s="139" t="s">
        <v>127</v>
      </c>
      <c r="K22" s="139" t="s">
        <v>128</v>
      </c>
      <c r="L22" s="102" t="s">
        <v>18</v>
      </c>
      <c r="M22" s="103" t="s">
        <v>29</v>
      </c>
      <c r="N22" s="103" t="s">
        <v>20</v>
      </c>
      <c r="P22" s="26">
        <v>7</v>
      </c>
      <c r="Q22" s="47">
        <v>11285</v>
      </c>
      <c r="R22" s="107">
        <f t="shared" si="18"/>
        <v>23739</v>
      </c>
      <c r="S22" s="47">
        <v>1</v>
      </c>
      <c r="T22" s="47">
        <f>Q22*S22</f>
        <v>11285</v>
      </c>
      <c r="U22" s="47">
        <f>R22*S22</f>
        <v>23739</v>
      </c>
      <c r="X22" s="68" t="s">
        <v>51</v>
      </c>
      <c r="Y22" s="68" t="s">
        <v>8</v>
      </c>
      <c r="Z22" s="3" t="s">
        <v>72</v>
      </c>
      <c r="AA22" s="68" t="s">
        <v>8</v>
      </c>
    </row>
    <row r="23" spans="2:27" x14ac:dyDescent="0.3">
      <c r="B23" s="154" t="s">
        <v>79</v>
      </c>
      <c r="C23" s="3" t="s">
        <v>19</v>
      </c>
      <c r="D23" s="64">
        <v>0</v>
      </c>
      <c r="E23" s="22">
        <f>$Y$8</f>
        <v>68342.400000000009</v>
      </c>
      <c r="F23" s="108">
        <f>SUM(D23:E23)</f>
        <v>68342.400000000009</v>
      </c>
      <c r="G23" s="116"/>
      <c r="H23" s="121">
        <f t="shared" ref="H23:H38" si="19">F23/$T$13</f>
        <v>0.56656442226385695</v>
      </c>
      <c r="I23" s="3" t="s">
        <v>19</v>
      </c>
      <c r="J23" s="64">
        <v>0</v>
      </c>
      <c r="K23" s="22">
        <f>K3</f>
        <v>32104.800000000003</v>
      </c>
      <c r="L23" s="108">
        <f>SUM(J23:K23)</f>
        <v>32104.800000000003</v>
      </c>
      <c r="M23" s="134">
        <f>L23/($U$23+(16*108))</f>
        <v>0.37057540255093213</v>
      </c>
      <c r="N23" s="121">
        <f t="shared" ref="N23:N25" si="20">L23/$U$13</f>
        <v>0.27386864800771155</v>
      </c>
      <c r="R23" s="141" t="s">
        <v>134</v>
      </c>
      <c r="T23" s="21">
        <f>SUM(T18:T22)</f>
        <v>52257</v>
      </c>
      <c r="U23" s="104">
        <f>SUM(U18:U22)</f>
        <v>84907</v>
      </c>
      <c r="X23" s="100">
        <v>100000</v>
      </c>
      <c r="Y23" s="123">
        <f>$Y$7*Z23/300</f>
        <v>88756.363636363647</v>
      </c>
      <c r="Z23" s="125">
        <f>X23/$X$30*$Y$30</f>
        <v>2727.2727272727275</v>
      </c>
      <c r="AA23" s="124">
        <f>$Z23*$Z$7/300</f>
        <v>41694.545454545463</v>
      </c>
    </row>
    <row r="24" spans="2:27" x14ac:dyDescent="0.3">
      <c r="B24" s="150"/>
      <c r="C24" s="4">
        <v>100000</v>
      </c>
      <c r="D24" s="64">
        <f>Y$23</f>
        <v>88756.363636363647</v>
      </c>
      <c r="E24" s="22">
        <f>$Y$8</f>
        <v>68342.400000000009</v>
      </c>
      <c r="F24" s="108">
        <f>SUM(D24:E24)</f>
        <v>157098.76363636367</v>
      </c>
      <c r="G24" s="117">
        <f>F24/$T$23</f>
        <v>3.0062721479679979</v>
      </c>
      <c r="H24" s="134">
        <f t="shared" si="19"/>
        <v>1.3023623732558791</v>
      </c>
      <c r="I24" s="4">
        <v>100000</v>
      </c>
      <c r="J24" s="64">
        <f>$AA$23</f>
        <v>41694.545454545463</v>
      </c>
      <c r="K24" s="22">
        <f>K4</f>
        <v>32104.800000000003</v>
      </c>
      <c r="L24" s="108">
        <f t="shared" ref="L24:L38" si="21">SUM(J24:K24)</f>
        <v>73799.345454545459</v>
      </c>
      <c r="M24" s="121">
        <f>L24/($U$23+(16*108))</f>
        <v>0.85184215911058414</v>
      </c>
      <c r="N24" s="134">
        <f t="shared" si="20"/>
        <v>0.62954221684889533</v>
      </c>
      <c r="X24" s="100">
        <v>264000</v>
      </c>
      <c r="Y24" s="123">
        <f>$Y$7*Z24/300</f>
        <v>234316.79999999999</v>
      </c>
      <c r="Z24" s="125">
        <f>X24/$X$30*$Y$30</f>
        <v>7200</v>
      </c>
      <c r="AA24" s="124">
        <f>$Z24*$Z$7/300</f>
        <v>110073.60000000001</v>
      </c>
    </row>
    <row r="25" spans="2:27" ht="16.5" customHeight="1" x14ac:dyDescent="0.3">
      <c r="B25" s="150"/>
      <c r="C25" s="135">
        <v>264000</v>
      </c>
      <c r="D25" s="136">
        <f>Y$24</f>
        <v>234316.79999999999</v>
      </c>
      <c r="E25" s="137">
        <f>$Y$8</f>
        <v>68342.400000000009</v>
      </c>
      <c r="F25" s="138">
        <f t="shared" ref="F25:F38" si="22">SUM(D25:E25)</f>
        <v>302659.20000000001</v>
      </c>
      <c r="G25" s="142">
        <f>F25/$T$23</f>
        <v>5.7917446466502094</v>
      </c>
      <c r="H25" s="142">
        <f t="shared" si="19"/>
        <v>2.5090710128827949</v>
      </c>
      <c r="I25" s="135">
        <v>264000</v>
      </c>
      <c r="J25" s="136">
        <f>$AA$24</f>
        <v>110073.60000000001</v>
      </c>
      <c r="K25" s="137">
        <f t="shared" ref="K25:K38" si="23">K5</f>
        <v>32104.800000000003</v>
      </c>
      <c r="L25" s="138">
        <f t="shared" si="21"/>
        <v>142178.40000000002</v>
      </c>
      <c r="M25" s="142">
        <f>L25/($U$23+(16*108))</f>
        <v>1.6411196398684138</v>
      </c>
      <c r="N25" s="142">
        <f t="shared" si="20"/>
        <v>1.2128468697484369</v>
      </c>
      <c r="P25" s="112" t="s">
        <v>23</v>
      </c>
      <c r="Q25" s="14" t="s">
        <v>33</v>
      </c>
      <c r="R25" s="14" t="s">
        <v>33</v>
      </c>
      <c r="X25" s="100">
        <v>792000</v>
      </c>
      <c r="Y25" s="123">
        <f>$Y$7*Z25/300</f>
        <v>702950.40000000014</v>
      </c>
      <c r="Z25" s="125">
        <f t="shared" ref="Z25" si="24">X25/$X$30*$Y$30</f>
        <v>21600</v>
      </c>
      <c r="AA25" s="124">
        <f>$Z25*$Z$7/300</f>
        <v>330220.80000000005</v>
      </c>
    </row>
    <row r="26" spans="2:27" x14ac:dyDescent="0.3">
      <c r="B26" s="150"/>
      <c r="C26" s="135">
        <v>792000</v>
      </c>
      <c r="D26" s="136">
        <f>Y$25</f>
        <v>702950.40000000014</v>
      </c>
      <c r="E26" s="137">
        <f>$Y$8</f>
        <v>68342.400000000009</v>
      </c>
      <c r="F26" s="138">
        <f t="shared" si="22"/>
        <v>771292.80000000016</v>
      </c>
      <c r="G26" s="142">
        <f>F26/$T$23</f>
        <v>14.759607325334407</v>
      </c>
      <c r="H26" s="142">
        <f t="shared" si="19"/>
        <v>6.3940841941206719</v>
      </c>
      <c r="I26" s="135">
        <v>792000</v>
      </c>
      <c r="J26" s="136">
        <f>$AA$25</f>
        <v>330220.80000000005</v>
      </c>
      <c r="K26" s="137">
        <f t="shared" si="23"/>
        <v>32104.800000000003</v>
      </c>
      <c r="L26" s="138">
        <f t="shared" si="21"/>
        <v>362325.60000000003</v>
      </c>
      <c r="M26" s="142">
        <f>L26/($U$23+(16*108))</f>
        <v>4.1822081145033767</v>
      </c>
      <c r="N26" s="142">
        <f>L26/$U$13</f>
        <v>3.0908033132298876</v>
      </c>
      <c r="P26" s="19" t="s">
        <v>25</v>
      </c>
      <c r="Q26" s="20">
        <v>8138</v>
      </c>
      <c r="R26" s="20">
        <f>R10</f>
        <v>3949</v>
      </c>
      <c r="T26" s="12"/>
    </row>
    <row r="27" spans="2:27" x14ac:dyDescent="0.3">
      <c r="B27" s="154" t="s">
        <v>78</v>
      </c>
      <c r="C27" s="3" t="s">
        <v>124</v>
      </c>
      <c r="D27" s="64">
        <v>0</v>
      </c>
      <c r="E27" s="22">
        <f>$Y$9</f>
        <v>136684.80000000002</v>
      </c>
      <c r="F27" s="108">
        <f t="shared" si="22"/>
        <v>136684.80000000002</v>
      </c>
      <c r="G27" s="116"/>
      <c r="H27" s="131">
        <f t="shared" si="19"/>
        <v>1.1331288445277139</v>
      </c>
      <c r="I27" s="3" t="s">
        <v>19</v>
      </c>
      <c r="J27" s="64">
        <v>0</v>
      </c>
      <c r="K27" s="22">
        <f t="shared" si="23"/>
        <v>64209.600000000006</v>
      </c>
      <c r="L27" s="108">
        <f t="shared" si="21"/>
        <v>64209.600000000006</v>
      </c>
      <c r="M27" s="134">
        <f>L27/($U$23+(16*108))</f>
        <v>0.74115080510186426</v>
      </c>
      <c r="N27" s="131">
        <f t="shared" ref="N27:N38" si="25">L27/$U$13</f>
        <v>0.54773729601542309</v>
      </c>
      <c r="P27" s="19" t="s">
        <v>26</v>
      </c>
      <c r="Q27" s="20">
        <v>20212</v>
      </c>
      <c r="R27" s="20">
        <f t="shared" ref="R27:R28" si="26">R11</f>
        <v>9606</v>
      </c>
    </row>
    <row r="28" spans="2:27" x14ac:dyDescent="0.3">
      <c r="B28" s="150"/>
      <c r="C28" s="4">
        <v>100000</v>
      </c>
      <c r="D28" s="64">
        <f t="shared" ref="D28" si="27">Y$23</f>
        <v>88756.363636363647</v>
      </c>
      <c r="E28" s="22">
        <f>$Y$9</f>
        <v>136684.80000000002</v>
      </c>
      <c r="F28" s="108">
        <f t="shared" si="22"/>
        <v>225441.16363636366</v>
      </c>
      <c r="G28" s="118">
        <f>F28/$T$23</f>
        <v>4.3140854552761096</v>
      </c>
      <c r="H28" s="134">
        <f t="shared" si="19"/>
        <v>1.868926795519736</v>
      </c>
      <c r="I28" s="4">
        <v>100000</v>
      </c>
      <c r="J28" s="64">
        <f>$AA$23</f>
        <v>41694.545454545463</v>
      </c>
      <c r="K28" s="22">
        <f t="shared" si="23"/>
        <v>64209.600000000006</v>
      </c>
      <c r="L28" s="108">
        <f t="shared" si="21"/>
        <v>105904.14545454548</v>
      </c>
      <c r="M28" s="131">
        <f t="shared" ref="M28:M29" si="28">L28/($U$23+(16*108))</f>
        <v>1.2224175616615165</v>
      </c>
      <c r="N28" s="134">
        <f t="shared" si="25"/>
        <v>0.90341086485660704</v>
      </c>
      <c r="P28" s="19" t="s">
        <v>27</v>
      </c>
      <c r="Q28" s="20">
        <v>25498</v>
      </c>
      <c r="R28" s="20">
        <f t="shared" si="26"/>
        <v>23739</v>
      </c>
      <c r="X28" s="156" t="s">
        <v>71</v>
      </c>
      <c r="Y28" s="157"/>
    </row>
    <row r="29" spans="2:27" x14ac:dyDescent="0.3">
      <c r="B29" s="150"/>
      <c r="C29" s="4">
        <v>264000</v>
      </c>
      <c r="D29" s="64">
        <f t="shared" ref="D29" si="29">Y$24</f>
        <v>234316.79999999999</v>
      </c>
      <c r="E29" s="22">
        <f>$Y$9</f>
        <v>136684.80000000002</v>
      </c>
      <c r="F29" s="108">
        <f t="shared" si="22"/>
        <v>371001.59999999998</v>
      </c>
      <c r="G29" s="118">
        <f>F29/$T$23</f>
        <v>7.0995579539583211</v>
      </c>
      <c r="H29" s="134">
        <f t="shared" si="19"/>
        <v>3.0756354351466513</v>
      </c>
      <c r="I29" s="4">
        <v>264000</v>
      </c>
      <c r="J29" s="64">
        <f>$AA$24</f>
        <v>110073.60000000001</v>
      </c>
      <c r="K29" s="22">
        <f t="shared" si="23"/>
        <v>64209.600000000006</v>
      </c>
      <c r="L29" s="108">
        <f t="shared" si="21"/>
        <v>174283.2</v>
      </c>
      <c r="M29" s="131">
        <f t="shared" si="28"/>
        <v>2.0116950424193458</v>
      </c>
      <c r="N29" s="134">
        <f t="shared" si="25"/>
        <v>1.4867155177561484</v>
      </c>
      <c r="P29" s="19" t="s">
        <v>28</v>
      </c>
      <c r="Q29" s="21">
        <v>53848</v>
      </c>
      <c r="R29" s="104">
        <f>SUM(R26:R28)</f>
        <v>37294</v>
      </c>
      <c r="X29" s="3" t="s">
        <v>51</v>
      </c>
      <c r="Y29" s="22" t="s">
        <v>72</v>
      </c>
    </row>
    <row r="30" spans="2:27" x14ac:dyDescent="0.3">
      <c r="B30" s="150"/>
      <c r="C30" s="135">
        <v>792000</v>
      </c>
      <c r="D30" s="136">
        <f t="shared" ref="D30" si="30">Y$25</f>
        <v>702950.40000000014</v>
      </c>
      <c r="E30" s="137">
        <f>$Y$9</f>
        <v>136684.80000000002</v>
      </c>
      <c r="F30" s="138">
        <f t="shared" si="22"/>
        <v>839635.20000000019</v>
      </c>
      <c r="G30" s="142">
        <f>F30/$T$23</f>
        <v>16.06742063264252</v>
      </c>
      <c r="H30" s="142">
        <f t="shared" si="19"/>
        <v>6.9606486163845291</v>
      </c>
      <c r="I30" s="138">
        <v>792000</v>
      </c>
      <c r="J30" s="138">
        <f>$AA$25</f>
        <v>330220.80000000005</v>
      </c>
      <c r="K30" s="138">
        <f t="shared" si="23"/>
        <v>64209.600000000006</v>
      </c>
      <c r="L30" s="138">
        <f t="shared" si="21"/>
        <v>394430.4</v>
      </c>
      <c r="M30" s="142">
        <f t="shared" ref="M30:M38" si="31">L30/($U$23+(16*108))</f>
        <v>4.5527835170543085</v>
      </c>
      <c r="N30" s="142">
        <f t="shared" si="25"/>
        <v>3.3646719612375993</v>
      </c>
      <c r="R30" s="141" t="s">
        <v>134</v>
      </c>
      <c r="X30" s="3">
        <v>11000</v>
      </c>
      <c r="Y30" s="22">
        <v>300</v>
      </c>
    </row>
    <row r="31" spans="2:27" x14ac:dyDescent="0.3">
      <c r="B31" s="154" t="s">
        <v>77</v>
      </c>
      <c r="C31" s="3" t="s">
        <v>19</v>
      </c>
      <c r="D31" s="64">
        <v>0</v>
      </c>
      <c r="E31" s="22">
        <f>$Y$10</f>
        <v>205027.20000000001</v>
      </c>
      <c r="F31" s="108">
        <f t="shared" si="22"/>
        <v>205027.20000000001</v>
      </c>
      <c r="G31" s="116"/>
      <c r="H31" s="132">
        <f t="shared" si="19"/>
        <v>1.6996932667915707</v>
      </c>
      <c r="I31" s="3" t="s">
        <v>19</v>
      </c>
      <c r="J31" s="64">
        <v>0</v>
      </c>
      <c r="K31" s="22">
        <f t="shared" si="23"/>
        <v>96314.400000000009</v>
      </c>
      <c r="L31" s="108">
        <f t="shared" si="21"/>
        <v>96314.400000000009</v>
      </c>
      <c r="M31" s="134">
        <f t="shared" si="31"/>
        <v>1.1117262076527963</v>
      </c>
      <c r="N31" s="132">
        <f t="shared" si="25"/>
        <v>0.82160594402313469</v>
      </c>
      <c r="P31" s="17" t="s">
        <v>35</v>
      </c>
      <c r="Q31" s="17"/>
      <c r="R31" s="17"/>
      <c r="T31" s="17"/>
      <c r="U31" s="17"/>
    </row>
    <row r="32" spans="2:27" ht="16.5" customHeight="1" x14ac:dyDescent="0.3">
      <c r="B32" s="150"/>
      <c r="C32" s="4">
        <v>100000</v>
      </c>
      <c r="D32" s="64">
        <f t="shared" ref="D32" si="32">Y$23</f>
        <v>88756.363636363647</v>
      </c>
      <c r="E32" s="22">
        <f>$Y$10</f>
        <v>205027.20000000001</v>
      </c>
      <c r="F32" s="108">
        <f t="shared" si="22"/>
        <v>293783.56363636366</v>
      </c>
      <c r="G32" s="119">
        <f>F32/$T$23</f>
        <v>5.6218987625842214</v>
      </c>
      <c r="H32" s="134">
        <f t="shared" si="19"/>
        <v>2.4354912177835928</v>
      </c>
      <c r="I32" s="4">
        <v>100000</v>
      </c>
      <c r="J32" s="64">
        <f>$AA$23</f>
        <v>41694.545454545463</v>
      </c>
      <c r="K32" s="22">
        <f t="shared" si="23"/>
        <v>96314.400000000009</v>
      </c>
      <c r="L32" s="108">
        <f t="shared" si="21"/>
        <v>138008.94545454546</v>
      </c>
      <c r="M32" s="132">
        <f t="shared" si="31"/>
        <v>1.5929929642124483</v>
      </c>
      <c r="N32" s="134">
        <f t="shared" si="25"/>
        <v>1.1772795128643185</v>
      </c>
      <c r="P32" s="112" t="s">
        <v>36</v>
      </c>
      <c r="Q32" s="112" t="s">
        <v>37</v>
      </c>
      <c r="R32" s="112" t="s">
        <v>38</v>
      </c>
      <c r="S32" s="111" t="s">
        <v>39</v>
      </c>
      <c r="T32" s="112" t="s">
        <v>40</v>
      </c>
      <c r="U32" s="113" t="s">
        <v>41</v>
      </c>
      <c r="V32" s="113" t="s">
        <v>42</v>
      </c>
      <c r="W32" s="113" t="s">
        <v>41</v>
      </c>
      <c r="X32" s="113" t="s">
        <v>42</v>
      </c>
    </row>
    <row r="33" spans="2:24" x14ac:dyDescent="0.3">
      <c r="B33" s="150"/>
      <c r="C33" s="4">
        <v>264000</v>
      </c>
      <c r="D33" s="64">
        <f t="shared" ref="D33" si="33">Y$24</f>
        <v>234316.79999999999</v>
      </c>
      <c r="E33" s="22">
        <f>$Y$10</f>
        <v>205027.20000000001</v>
      </c>
      <c r="F33" s="108">
        <f t="shared" si="22"/>
        <v>439344</v>
      </c>
      <c r="G33" s="119">
        <f>F33/$T$23</f>
        <v>8.4073712612664337</v>
      </c>
      <c r="H33" s="134">
        <f t="shared" si="19"/>
        <v>3.6421998574105086</v>
      </c>
      <c r="I33" s="4">
        <v>264000</v>
      </c>
      <c r="J33" s="64">
        <f>$AA$24</f>
        <v>110073.60000000001</v>
      </c>
      <c r="K33" s="22">
        <f t="shared" si="23"/>
        <v>96314.400000000009</v>
      </c>
      <c r="L33" s="108">
        <f t="shared" si="21"/>
        <v>206388</v>
      </c>
      <c r="M33" s="132">
        <f t="shared" si="31"/>
        <v>2.3822704449702776</v>
      </c>
      <c r="N33" s="134">
        <f t="shared" si="25"/>
        <v>1.7605841657638599</v>
      </c>
      <c r="P33" s="18" t="s">
        <v>43</v>
      </c>
      <c r="Q33" s="126">
        <v>74.515100000000004</v>
      </c>
      <c r="R33" s="105">
        <f>ROUND(Q33,0)</f>
        <v>75</v>
      </c>
      <c r="S33" s="19">
        <v>0</v>
      </c>
      <c r="T33" s="106">
        <f>R33-S33</f>
        <v>75</v>
      </c>
      <c r="U33" s="20">
        <f>T33*87</f>
        <v>6525</v>
      </c>
      <c r="V33" s="20">
        <f>R33*87</f>
        <v>6525</v>
      </c>
      <c r="W33" s="20">
        <f>$T33*96</f>
        <v>7200</v>
      </c>
      <c r="X33" s="20">
        <f>W33</f>
        <v>7200</v>
      </c>
    </row>
    <row r="34" spans="2:24" x14ac:dyDescent="0.3">
      <c r="B34" s="150"/>
      <c r="C34" s="4">
        <v>792000</v>
      </c>
      <c r="D34" s="64">
        <f t="shared" ref="D34" si="34">Y$25</f>
        <v>702950.40000000014</v>
      </c>
      <c r="E34" s="22">
        <f>$Y$10</f>
        <v>205027.20000000001</v>
      </c>
      <c r="F34" s="108">
        <f t="shared" si="22"/>
        <v>907977.60000000009</v>
      </c>
      <c r="G34" s="119">
        <f>F34/$T$23</f>
        <v>17.375233939950629</v>
      </c>
      <c r="H34" s="134">
        <f t="shared" si="19"/>
        <v>7.5272130386483846</v>
      </c>
      <c r="I34" s="4">
        <v>792000</v>
      </c>
      <c r="J34" s="64">
        <f>$AA$25</f>
        <v>330220.80000000005</v>
      </c>
      <c r="K34" s="22">
        <f t="shared" si="23"/>
        <v>96314.400000000009</v>
      </c>
      <c r="L34" s="108">
        <f t="shared" si="21"/>
        <v>426535.20000000007</v>
      </c>
      <c r="M34" s="132">
        <f t="shared" si="31"/>
        <v>4.9233589196052412</v>
      </c>
      <c r="N34" s="134">
        <f t="shared" si="25"/>
        <v>3.638540609245311</v>
      </c>
      <c r="P34" s="18" t="s">
        <v>44</v>
      </c>
      <c r="Q34" s="126">
        <v>10.909000000000001</v>
      </c>
      <c r="R34" s="105">
        <f>ROUND(Q34,0)</f>
        <v>11</v>
      </c>
      <c r="S34" s="19">
        <v>0</v>
      </c>
      <c r="T34" s="106">
        <f>R34-S34</f>
        <v>11</v>
      </c>
      <c r="U34" s="20">
        <f>T34*213</f>
        <v>2343</v>
      </c>
      <c r="V34" s="20">
        <f>R34*213</f>
        <v>2343</v>
      </c>
      <c r="W34" s="20">
        <f>T34*248</f>
        <v>2728</v>
      </c>
      <c r="X34" s="20">
        <f>W34</f>
        <v>2728</v>
      </c>
    </row>
    <row r="35" spans="2:24" x14ac:dyDescent="0.3">
      <c r="B35" s="154" t="s">
        <v>76</v>
      </c>
      <c r="C35" s="3" t="s">
        <v>19</v>
      </c>
      <c r="D35" s="64">
        <v>0</v>
      </c>
      <c r="E35" s="22">
        <f>$Y$12</f>
        <v>292896</v>
      </c>
      <c r="F35" s="108">
        <f t="shared" si="22"/>
        <v>292896</v>
      </c>
      <c r="G35" s="116"/>
      <c r="H35" s="133">
        <f t="shared" si="19"/>
        <v>2.4281332382736722</v>
      </c>
      <c r="I35" s="3" t="s">
        <v>19</v>
      </c>
      <c r="J35" s="64">
        <v>0</v>
      </c>
      <c r="K35" s="22">
        <f t="shared" si="23"/>
        <v>137592.00000000003</v>
      </c>
      <c r="L35" s="108">
        <f t="shared" si="21"/>
        <v>137592.00000000003</v>
      </c>
      <c r="M35" s="134">
        <f t="shared" si="31"/>
        <v>1.5881802966468521</v>
      </c>
      <c r="N35" s="133">
        <f t="shared" si="25"/>
        <v>1.1737227771759069</v>
      </c>
      <c r="P35" s="18" t="s">
        <v>45</v>
      </c>
      <c r="Q35" s="126">
        <v>13.6363</v>
      </c>
      <c r="R35" s="105">
        <f>ROUND(Q35,0)</f>
        <v>14</v>
      </c>
      <c r="S35" s="19">
        <v>2</v>
      </c>
      <c r="T35" s="106">
        <f>R35-S35</f>
        <v>12</v>
      </c>
      <c r="U35" s="20">
        <f>T35*581</f>
        <v>6972</v>
      </c>
      <c r="V35" s="20">
        <f>R35*581</f>
        <v>8134</v>
      </c>
      <c r="W35" s="20">
        <f>T35*712</f>
        <v>8544</v>
      </c>
      <c r="X35" s="20">
        <f>R35*712</f>
        <v>9968</v>
      </c>
    </row>
    <row r="36" spans="2:24" x14ac:dyDescent="0.3">
      <c r="B36" s="150"/>
      <c r="C36" s="4">
        <v>100000</v>
      </c>
      <c r="D36" s="64">
        <f t="shared" ref="D36" si="35">Y$23</f>
        <v>88756.363636363647</v>
      </c>
      <c r="E36" s="22">
        <f>$Y$12</f>
        <v>292896</v>
      </c>
      <c r="F36" s="108">
        <f t="shared" si="22"/>
        <v>381652.36363636365</v>
      </c>
      <c r="G36" s="120">
        <f>F36/$T$23</f>
        <v>7.3033730148375078</v>
      </c>
      <c r="H36" s="134">
        <f t="shared" si="19"/>
        <v>3.1639311892656945</v>
      </c>
      <c r="I36" s="4">
        <v>100000</v>
      </c>
      <c r="J36" s="64">
        <f>$AA$23</f>
        <v>41694.545454545463</v>
      </c>
      <c r="K36" s="22">
        <f t="shared" si="23"/>
        <v>137592.00000000003</v>
      </c>
      <c r="L36" s="108">
        <f t="shared" si="21"/>
        <v>179286.5454545455</v>
      </c>
      <c r="M36" s="133">
        <f t="shared" si="31"/>
        <v>2.0694470532065043</v>
      </c>
      <c r="N36" s="134">
        <f t="shared" si="25"/>
        <v>1.5293963460170907</v>
      </c>
      <c r="P36" s="18" t="s">
        <v>46</v>
      </c>
      <c r="Q36" s="126">
        <v>0.90900000000000003</v>
      </c>
      <c r="R36" s="105">
        <f>ROUND(Q36,0)</f>
        <v>1</v>
      </c>
      <c r="S36" s="19">
        <v>1</v>
      </c>
      <c r="T36" s="106">
        <f>R36-S36</f>
        <v>0</v>
      </c>
      <c r="U36" s="20">
        <f>T36*87</f>
        <v>0</v>
      </c>
      <c r="V36" s="20">
        <f>R36*1684</f>
        <v>1684</v>
      </c>
      <c r="W36" s="20">
        <v>0</v>
      </c>
      <c r="X36" s="20">
        <f>R36*2150</f>
        <v>2150</v>
      </c>
    </row>
    <row r="37" spans="2:24" x14ac:dyDescent="0.3">
      <c r="B37" s="150"/>
      <c r="C37" s="4">
        <v>264000</v>
      </c>
      <c r="D37" s="64">
        <f t="shared" ref="D37" si="36">Y$24</f>
        <v>234316.79999999999</v>
      </c>
      <c r="E37" s="22">
        <f>$Y$12</f>
        <v>292896</v>
      </c>
      <c r="F37" s="108">
        <f t="shared" si="22"/>
        <v>527212.80000000005</v>
      </c>
      <c r="G37" s="120">
        <f>F37/$T$23</f>
        <v>10.08884551351972</v>
      </c>
      <c r="H37" s="134">
        <f t="shared" si="19"/>
        <v>4.3706398288926103</v>
      </c>
      <c r="I37" s="4">
        <v>264000</v>
      </c>
      <c r="J37" s="64">
        <f>$AA$24</f>
        <v>110073.60000000001</v>
      </c>
      <c r="K37" s="22">
        <f t="shared" si="23"/>
        <v>137592.00000000003</v>
      </c>
      <c r="L37" s="108">
        <f t="shared" si="21"/>
        <v>247665.60000000003</v>
      </c>
      <c r="M37" s="133">
        <f t="shared" si="31"/>
        <v>2.8587245339643337</v>
      </c>
      <c r="N37" s="134">
        <f t="shared" si="25"/>
        <v>2.1127009989166323</v>
      </c>
      <c r="P37" s="18" t="s">
        <v>47</v>
      </c>
      <c r="Q37" s="126">
        <v>2.9999999999999997E-4</v>
      </c>
      <c r="R37" s="105">
        <f>ROUND(Q37,0)</f>
        <v>0</v>
      </c>
      <c r="S37" s="19">
        <v>0</v>
      </c>
      <c r="T37" s="106">
        <f>R37-S37</f>
        <v>0</v>
      </c>
      <c r="U37" s="20">
        <f>T37*AC37</f>
        <v>0</v>
      </c>
      <c r="V37" s="20">
        <f>R37*AC37</f>
        <v>0</v>
      </c>
      <c r="W37" s="20">
        <v>0</v>
      </c>
      <c r="X37" s="20">
        <v>0</v>
      </c>
    </row>
    <row r="38" spans="2:24" x14ac:dyDescent="0.3">
      <c r="B38" s="150"/>
      <c r="C38" s="4">
        <v>792000</v>
      </c>
      <c r="D38" s="64">
        <f t="shared" ref="D38" si="37">Y$25</f>
        <v>702950.40000000014</v>
      </c>
      <c r="E38" s="22">
        <f>$Y$12</f>
        <v>292896</v>
      </c>
      <c r="F38" s="108">
        <f t="shared" si="22"/>
        <v>995846.40000000014</v>
      </c>
      <c r="G38" s="120">
        <f>F38/$T$23</f>
        <v>19.056708192203917</v>
      </c>
      <c r="H38" s="134">
        <f t="shared" si="19"/>
        <v>8.2556530101304872</v>
      </c>
      <c r="I38" s="4">
        <v>792000</v>
      </c>
      <c r="J38" s="64">
        <f>$AA$25</f>
        <v>330220.80000000005</v>
      </c>
      <c r="K38" s="22">
        <f t="shared" si="23"/>
        <v>137592.00000000003</v>
      </c>
      <c r="L38" s="108">
        <f t="shared" si="21"/>
        <v>467812.80000000005</v>
      </c>
      <c r="M38" s="133">
        <f t="shared" si="31"/>
        <v>5.3998130085992964</v>
      </c>
      <c r="N38" s="134">
        <f t="shared" si="25"/>
        <v>3.9906574423980827</v>
      </c>
      <c r="P38" s="17"/>
      <c r="Q38" s="141"/>
      <c r="U38" s="21">
        <f>SUM(U33:U37)</f>
        <v>15840</v>
      </c>
      <c r="V38" s="21">
        <f>SUM(V33:V37)</f>
        <v>18686</v>
      </c>
      <c r="W38" s="104">
        <f>SUM(W33:W37)</f>
        <v>18472</v>
      </c>
      <c r="X38" s="104">
        <f>SUM(X33:X37)</f>
        <v>22046</v>
      </c>
    </row>
    <row r="39" spans="2:24" x14ac:dyDescent="0.3">
      <c r="H39" s="13" t="s">
        <v>30</v>
      </c>
      <c r="I39" s="13"/>
      <c r="N39" s="13" t="s">
        <v>30</v>
      </c>
    </row>
    <row r="40" spans="2:24" x14ac:dyDescent="0.3">
      <c r="H40" s="13" t="s">
        <v>31</v>
      </c>
      <c r="I40" s="13"/>
      <c r="N40" s="13" t="s">
        <v>31</v>
      </c>
    </row>
    <row r="41" spans="2:24" x14ac:dyDescent="0.3">
      <c r="H41" s="13" t="s">
        <v>125</v>
      </c>
      <c r="I41" s="13"/>
      <c r="N41" s="13" t="s">
        <v>125</v>
      </c>
    </row>
    <row r="42" spans="2:24" x14ac:dyDescent="0.3">
      <c r="H42" s="13" t="s">
        <v>126</v>
      </c>
    </row>
    <row r="43" spans="2:24" x14ac:dyDescent="0.3">
      <c r="H43" s="13" t="s">
        <v>169</v>
      </c>
    </row>
  </sheetData>
  <mergeCells count="25">
    <mergeCell ref="X21:Y21"/>
    <mergeCell ref="B23:B26"/>
    <mergeCell ref="B27:B30"/>
    <mergeCell ref="X28:Y28"/>
    <mergeCell ref="B31:B34"/>
    <mergeCell ref="B35:B38"/>
    <mergeCell ref="B15:B18"/>
    <mergeCell ref="P16:P17"/>
    <mergeCell ref="Q16:Q17"/>
    <mergeCell ref="R16:R17"/>
    <mergeCell ref="S16:S17"/>
    <mergeCell ref="T16:T17"/>
    <mergeCell ref="U16:U17"/>
    <mergeCell ref="T4:T5"/>
    <mergeCell ref="U4:U5"/>
    <mergeCell ref="X4:Y4"/>
    <mergeCell ref="X5:Y5"/>
    <mergeCell ref="B7:B10"/>
    <mergeCell ref="B11:B14"/>
    <mergeCell ref="X14:Y14"/>
    <mergeCell ref="B3:B6"/>
    <mergeCell ref="P4:P5"/>
    <mergeCell ref="Q4:Q5"/>
    <mergeCell ref="R4:R5"/>
    <mergeCell ref="S4:S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0"/>
  <sheetViews>
    <sheetView workbookViewId="0">
      <selection activeCell="N27" sqref="N27"/>
    </sheetView>
  </sheetViews>
  <sheetFormatPr defaultColWidth="3.625" defaultRowHeight="13.5" x14ac:dyDescent="0.3"/>
  <cols>
    <col min="1" max="1" width="3.625" style="46"/>
    <col min="2" max="2" width="8" style="46" customWidth="1"/>
    <col min="3" max="3" width="5.875" style="46" customWidth="1"/>
    <col min="4" max="5" width="6.625" style="46" customWidth="1"/>
    <col min="6" max="6" width="8.75" style="46" customWidth="1"/>
    <col min="7" max="8" width="17.375" style="46" customWidth="1"/>
    <col min="9" max="9" width="13.125" style="46" hidden="1" customWidth="1"/>
    <col min="10" max="10" width="3.625" style="46"/>
    <col min="11" max="11" width="4.75" style="46" customWidth="1"/>
    <col min="12" max="12" width="7.875" style="46" customWidth="1"/>
    <col min="13" max="13" width="6.625" style="46" customWidth="1"/>
    <col min="14" max="14" width="7" style="46" customWidth="1"/>
    <col min="15" max="15" width="6.625" style="46" customWidth="1"/>
    <col min="16" max="16" width="13.625" style="46" customWidth="1"/>
    <col min="17" max="17" width="3.625" style="46"/>
    <col min="18" max="18" width="12.125" style="46" customWidth="1"/>
    <col min="19" max="19" width="14" style="46" customWidth="1"/>
    <col min="20" max="21" width="15.375" style="46" customWidth="1"/>
    <col min="22" max="23" width="13.5" style="46" customWidth="1"/>
    <col min="24" max="24" width="12.75" style="46" customWidth="1"/>
    <col min="25" max="25" width="13" style="46" customWidth="1"/>
    <col min="26" max="16384" width="3.625" style="46"/>
  </cols>
  <sheetData>
    <row r="2" spans="2:23" ht="13.5" customHeight="1" x14ac:dyDescent="0.3">
      <c r="B2" s="153" t="s">
        <v>91</v>
      </c>
      <c r="G2" s="158" t="s">
        <v>92</v>
      </c>
      <c r="H2" s="158" t="s">
        <v>121</v>
      </c>
      <c r="N2" s="153" t="s">
        <v>93</v>
      </c>
      <c r="O2" s="153"/>
      <c r="P2" s="160" t="s">
        <v>122</v>
      </c>
      <c r="R2" s="153" t="s">
        <v>94</v>
      </c>
      <c r="S2" s="151"/>
      <c r="T2" s="153" t="s">
        <v>123</v>
      </c>
      <c r="U2" s="151"/>
    </row>
    <row r="3" spans="2:23" x14ac:dyDescent="0.3">
      <c r="B3" s="152"/>
      <c r="G3" s="159"/>
      <c r="H3" s="159"/>
      <c r="N3" s="153"/>
      <c r="O3" s="153"/>
      <c r="P3" s="161"/>
      <c r="R3" s="152"/>
      <c r="S3" s="152"/>
      <c r="T3" s="152"/>
      <c r="U3" s="152"/>
    </row>
    <row r="4" spans="2:23" s="128" customFormat="1" ht="20.25" x14ac:dyDescent="0.3">
      <c r="B4" s="127">
        <v>300</v>
      </c>
      <c r="G4" s="129">
        <f>G58*30</f>
        <v>292896</v>
      </c>
      <c r="H4" s="130">
        <f>H58*30</f>
        <v>137592.00000000003</v>
      </c>
      <c r="N4" s="166">
        <f>SUM(G8:G57)+G58*(30-$C$57)</f>
        <v>270272.75939999998</v>
      </c>
      <c r="O4" s="167"/>
      <c r="P4" s="130">
        <f>SUM(H8:H57)+H58*(30-$C$57)</f>
        <v>127122.75720000002</v>
      </c>
      <c r="R4" s="168">
        <f>V15+V24*7</f>
        <v>650288</v>
      </c>
      <c r="S4" s="168"/>
      <c r="T4" s="169">
        <f>W15+W24*7</f>
        <v>623096</v>
      </c>
      <c r="U4" s="169"/>
    </row>
    <row r="5" spans="2:23" x14ac:dyDescent="0.3">
      <c r="B5" s="25" t="s">
        <v>95</v>
      </c>
      <c r="C5" s="25"/>
      <c r="D5" s="25"/>
      <c r="K5" s="25" t="s">
        <v>131</v>
      </c>
      <c r="R5" s="46" t="s">
        <v>96</v>
      </c>
    </row>
    <row r="6" spans="2:23" ht="13.5" customHeight="1" x14ac:dyDescent="0.3">
      <c r="B6" s="162" t="s">
        <v>97</v>
      </c>
      <c r="C6" s="162" t="s">
        <v>98</v>
      </c>
      <c r="D6" s="163" t="s">
        <v>99</v>
      </c>
      <c r="E6" s="163" t="s">
        <v>100</v>
      </c>
      <c r="F6" s="163" t="s">
        <v>101</v>
      </c>
      <c r="G6" s="163" t="s">
        <v>118</v>
      </c>
      <c r="H6" s="163" t="s">
        <v>120</v>
      </c>
      <c r="K6" s="164" t="s">
        <v>102</v>
      </c>
      <c r="L6" s="165" t="s">
        <v>103</v>
      </c>
      <c r="M6" s="151"/>
      <c r="N6" s="151"/>
      <c r="O6" s="151"/>
      <c r="P6" s="160" t="s">
        <v>104</v>
      </c>
      <c r="R6" s="151" t="s">
        <v>105</v>
      </c>
      <c r="S6" s="153" t="s">
        <v>106</v>
      </c>
      <c r="T6" s="153" t="s">
        <v>107</v>
      </c>
      <c r="U6" s="151" t="s">
        <v>108</v>
      </c>
      <c r="V6" s="151" t="s">
        <v>109</v>
      </c>
      <c r="W6" s="151" t="s">
        <v>110</v>
      </c>
    </row>
    <row r="7" spans="2:23" x14ac:dyDescent="0.3">
      <c r="B7" s="162"/>
      <c r="C7" s="162"/>
      <c r="D7" s="162"/>
      <c r="E7" s="162"/>
      <c r="F7" s="162"/>
      <c r="G7" s="162"/>
      <c r="H7" s="162"/>
      <c r="K7" s="161"/>
      <c r="L7" s="112">
        <v>1</v>
      </c>
      <c r="M7" s="112">
        <v>2</v>
      </c>
      <c r="N7" s="112">
        <v>3</v>
      </c>
      <c r="O7" s="112">
        <v>4</v>
      </c>
      <c r="P7" s="161"/>
      <c r="R7" s="152"/>
      <c r="S7" s="152"/>
      <c r="T7" s="152"/>
      <c r="U7" s="152"/>
      <c r="V7" s="152"/>
      <c r="W7" s="152"/>
    </row>
    <row r="8" spans="2:23" x14ac:dyDescent="0.3">
      <c r="B8" s="37">
        <v>1</v>
      </c>
      <c r="C8" s="54">
        <f>(INT(SUM($E$8:E8)/100)+1)</f>
        <v>1</v>
      </c>
      <c r="D8" s="29">
        <v>1</v>
      </c>
      <c r="E8" s="30">
        <f>ROUNDUP(I8,1)</f>
        <v>0.5</v>
      </c>
      <c r="F8" s="31">
        <v>1.8</v>
      </c>
      <c r="G8" s="30">
        <f t="shared" ref="G8:G39" si="0">VLOOKUP(D8,$K$8:$P$15,6,0)*E8*F8</f>
        <v>21.090599999999998</v>
      </c>
      <c r="H8" s="44">
        <f t="shared" ref="H8:H39" si="1">VLOOKUP(D8,$K$20:$P$27,6,0)*E8*F8</f>
        <v>9.7523999999999997</v>
      </c>
      <c r="I8" s="46">
        <v>0.43801652892561982</v>
      </c>
      <c r="K8" s="26">
        <v>1</v>
      </c>
      <c r="L8" s="28">
        <v>89.8</v>
      </c>
      <c r="M8" s="28">
        <v>0.2</v>
      </c>
      <c r="N8" s="28"/>
      <c r="O8" s="28"/>
      <c r="P8" s="33">
        <f t="shared" ref="P8:P15" si="2">(L8*N$32+M8*N$33+N8*N$34+O8*N$35)/100</f>
        <v>23.433999999999997</v>
      </c>
      <c r="R8" s="26">
        <v>1</v>
      </c>
      <c r="S8" s="47">
        <f>$L$32</f>
        <v>290</v>
      </c>
      <c r="T8" s="47">
        <f>$L$43</f>
        <v>290</v>
      </c>
      <c r="U8" s="47">
        <v>64</v>
      </c>
      <c r="V8" s="47">
        <f>S8*U8</f>
        <v>18560</v>
      </c>
      <c r="W8" s="47">
        <f>T8*U8</f>
        <v>18560</v>
      </c>
    </row>
    <row r="9" spans="2:23" x14ac:dyDescent="0.3">
      <c r="B9" s="37">
        <v>2</v>
      </c>
      <c r="C9" s="54">
        <f>(INT(SUM($E$8:E9)/100)+1)</f>
        <v>1</v>
      </c>
      <c r="D9" s="29">
        <v>1</v>
      </c>
      <c r="E9" s="30">
        <f t="shared" ref="E9:E56" si="3">ROUNDUP(I9,0)</f>
        <v>1</v>
      </c>
      <c r="F9" s="31">
        <v>1.8</v>
      </c>
      <c r="G9" s="30">
        <f t="shared" si="0"/>
        <v>42.181199999999997</v>
      </c>
      <c r="H9" s="44">
        <f t="shared" si="1"/>
        <v>19.504799999999999</v>
      </c>
      <c r="I9" s="46">
        <v>0.53719008264462809</v>
      </c>
      <c r="K9" s="26">
        <v>2</v>
      </c>
      <c r="L9" s="28">
        <v>88</v>
      </c>
      <c r="M9" s="28">
        <v>2</v>
      </c>
      <c r="N9" s="28"/>
      <c r="O9" s="28"/>
      <c r="P9" s="33">
        <f t="shared" si="2"/>
        <v>23.74</v>
      </c>
      <c r="R9" s="26">
        <v>2</v>
      </c>
      <c r="S9" s="47">
        <f>$L$33</f>
        <v>430</v>
      </c>
      <c r="T9" s="47">
        <f>$L$44</f>
        <v>430</v>
      </c>
      <c r="U9" s="47">
        <v>32</v>
      </c>
      <c r="V9" s="47">
        <f t="shared" ref="V9:V14" si="4">S9*U9</f>
        <v>13760</v>
      </c>
      <c r="W9" s="47">
        <f t="shared" ref="W9:W14" si="5">T9*U9</f>
        <v>13760</v>
      </c>
    </row>
    <row r="10" spans="2:23" x14ac:dyDescent="0.3">
      <c r="B10" s="37">
        <v>3</v>
      </c>
      <c r="C10" s="54">
        <f>(INT(SUM($E$8:E10)/100)+1)</f>
        <v>1</v>
      </c>
      <c r="D10" s="29">
        <v>1</v>
      </c>
      <c r="E10" s="30">
        <f t="shared" si="3"/>
        <v>1</v>
      </c>
      <c r="F10" s="31">
        <v>1.8</v>
      </c>
      <c r="G10" s="30">
        <f t="shared" si="0"/>
        <v>42.181199999999997</v>
      </c>
      <c r="H10" s="44">
        <f t="shared" si="1"/>
        <v>19.504799999999999</v>
      </c>
      <c r="I10" s="46">
        <v>0.71900826446280997</v>
      </c>
      <c r="K10" s="26">
        <v>3</v>
      </c>
      <c r="L10" s="28">
        <v>85</v>
      </c>
      <c r="M10" s="28">
        <v>5</v>
      </c>
      <c r="N10" s="28"/>
      <c r="O10" s="28"/>
      <c r="P10" s="33">
        <f t="shared" si="2"/>
        <v>24.25</v>
      </c>
      <c r="R10" s="26">
        <v>3</v>
      </c>
      <c r="S10" s="47">
        <f>$L$34</f>
        <v>790</v>
      </c>
      <c r="T10" s="47">
        <f>$L$45</f>
        <v>790</v>
      </c>
      <c r="U10" s="47">
        <v>16</v>
      </c>
      <c r="V10" s="47">
        <f t="shared" si="4"/>
        <v>12640</v>
      </c>
      <c r="W10" s="47">
        <f t="shared" si="5"/>
        <v>12640</v>
      </c>
    </row>
    <row r="11" spans="2:23" x14ac:dyDescent="0.3">
      <c r="B11" s="37">
        <v>4</v>
      </c>
      <c r="C11" s="54">
        <f>(INT(SUM($E$8:E11)/100)+1)</f>
        <v>1</v>
      </c>
      <c r="D11" s="29">
        <v>1</v>
      </c>
      <c r="E11" s="30">
        <f t="shared" si="3"/>
        <v>1</v>
      </c>
      <c r="F11" s="31">
        <v>1.8</v>
      </c>
      <c r="G11" s="30">
        <f t="shared" si="0"/>
        <v>42.181199999999997</v>
      </c>
      <c r="H11" s="44">
        <f t="shared" si="1"/>
        <v>19.504799999999999</v>
      </c>
      <c r="I11" s="46">
        <v>0.99173553719008267</v>
      </c>
      <c r="K11" s="26">
        <v>4</v>
      </c>
      <c r="L11" s="28">
        <v>77.8</v>
      </c>
      <c r="M11" s="28">
        <v>12</v>
      </c>
      <c r="N11" s="28">
        <v>0.2</v>
      </c>
      <c r="O11" s="28"/>
      <c r="P11" s="33">
        <f t="shared" si="2"/>
        <v>25.562000000000001</v>
      </c>
      <c r="R11" s="26">
        <v>4</v>
      </c>
      <c r="S11" s="47">
        <f>$L$35</f>
        <v>1710</v>
      </c>
      <c r="T11" s="47">
        <f>$L$46</f>
        <v>1690</v>
      </c>
      <c r="U11" s="47">
        <v>8</v>
      </c>
      <c r="V11" s="47">
        <f t="shared" si="4"/>
        <v>13680</v>
      </c>
      <c r="W11" s="47">
        <f t="shared" si="5"/>
        <v>13520</v>
      </c>
    </row>
    <row r="12" spans="2:23" x14ac:dyDescent="0.3">
      <c r="B12" s="37">
        <v>5</v>
      </c>
      <c r="C12" s="54">
        <f>(INT(SUM($E$8:E12)/100)+1)</f>
        <v>1</v>
      </c>
      <c r="D12" s="29">
        <v>1</v>
      </c>
      <c r="E12" s="30">
        <f t="shared" si="3"/>
        <v>2</v>
      </c>
      <c r="F12" s="31">
        <v>1.8</v>
      </c>
      <c r="G12" s="30">
        <f t="shared" si="0"/>
        <v>84.362399999999994</v>
      </c>
      <c r="H12" s="44">
        <f t="shared" si="1"/>
        <v>39.009599999999999</v>
      </c>
      <c r="I12" s="46">
        <v>1.3553719008264462</v>
      </c>
      <c r="K12" s="26">
        <v>5</v>
      </c>
      <c r="L12" s="28">
        <v>54</v>
      </c>
      <c r="M12" s="28">
        <v>34</v>
      </c>
      <c r="N12" s="28">
        <v>2</v>
      </c>
      <c r="O12" s="28"/>
      <c r="P12" s="33">
        <f t="shared" si="2"/>
        <v>30.4</v>
      </c>
      <c r="R12" s="26">
        <v>5</v>
      </c>
      <c r="S12" s="47">
        <f>$L$36</f>
        <v>4069</v>
      </c>
      <c r="T12" s="47">
        <f>$L$47</f>
        <v>3949</v>
      </c>
      <c r="U12" s="47">
        <v>4</v>
      </c>
      <c r="V12" s="47">
        <f t="shared" si="4"/>
        <v>16276</v>
      </c>
      <c r="W12" s="47">
        <f t="shared" si="5"/>
        <v>15796</v>
      </c>
    </row>
    <row r="13" spans="2:23" x14ac:dyDescent="0.3">
      <c r="B13" s="37">
        <v>6</v>
      </c>
      <c r="C13" s="54">
        <f>(INT(SUM($E$8:E13)/100)+1)</f>
        <v>1</v>
      </c>
      <c r="D13" s="29">
        <v>1</v>
      </c>
      <c r="E13" s="30">
        <f t="shared" si="3"/>
        <v>2</v>
      </c>
      <c r="F13" s="31">
        <v>1.8</v>
      </c>
      <c r="G13" s="30">
        <f t="shared" si="0"/>
        <v>84.362399999999994</v>
      </c>
      <c r="H13" s="44">
        <f t="shared" si="1"/>
        <v>39.009599999999999</v>
      </c>
      <c r="I13" s="46">
        <v>1.8223140495867769</v>
      </c>
      <c r="K13" s="26">
        <v>6</v>
      </c>
      <c r="L13" s="28">
        <v>25</v>
      </c>
      <c r="M13" s="28">
        <v>58</v>
      </c>
      <c r="N13" s="28">
        <v>7</v>
      </c>
      <c r="O13" s="28"/>
      <c r="P13" s="33">
        <f t="shared" si="2"/>
        <v>37.53</v>
      </c>
      <c r="R13" s="26">
        <v>6</v>
      </c>
      <c r="S13" s="47">
        <f>$L$37</f>
        <v>10106</v>
      </c>
      <c r="T13" s="47">
        <f>$L$48</f>
        <v>9606</v>
      </c>
      <c r="U13" s="47">
        <v>2</v>
      </c>
      <c r="V13" s="47">
        <f t="shared" si="4"/>
        <v>20212</v>
      </c>
      <c r="W13" s="47">
        <f t="shared" si="5"/>
        <v>19212</v>
      </c>
    </row>
    <row r="14" spans="2:23" x14ac:dyDescent="0.3">
      <c r="B14" s="37">
        <v>7</v>
      </c>
      <c r="C14" s="54">
        <f>(INT(SUM($E$8:E14)/100)+1)</f>
        <v>1</v>
      </c>
      <c r="D14" s="29">
        <v>1</v>
      </c>
      <c r="E14" s="30">
        <f t="shared" si="3"/>
        <v>3</v>
      </c>
      <c r="F14" s="31">
        <v>1.8</v>
      </c>
      <c r="G14" s="30">
        <f t="shared" si="0"/>
        <v>126.54359999999998</v>
      </c>
      <c r="H14" s="44">
        <f t="shared" si="1"/>
        <v>58.514399999999995</v>
      </c>
      <c r="I14" s="46">
        <v>2.3966942148760331</v>
      </c>
      <c r="K14" s="26">
        <v>7</v>
      </c>
      <c r="L14" s="28"/>
      <c r="M14" s="28">
        <v>70.2</v>
      </c>
      <c r="N14" s="28">
        <v>19</v>
      </c>
      <c r="O14" s="28">
        <v>0.8</v>
      </c>
      <c r="P14" s="33">
        <f t="shared" si="2"/>
        <v>48.42</v>
      </c>
      <c r="R14" s="26">
        <v>7</v>
      </c>
      <c r="S14" s="47">
        <f>$L$38</f>
        <v>25498</v>
      </c>
      <c r="T14" s="47">
        <f>$L$49</f>
        <v>23739</v>
      </c>
      <c r="U14" s="47">
        <v>1</v>
      </c>
      <c r="V14" s="47">
        <f t="shared" si="4"/>
        <v>25498</v>
      </c>
      <c r="W14" s="47">
        <f t="shared" si="5"/>
        <v>23739</v>
      </c>
    </row>
    <row r="15" spans="2:23" ht="13.5" customHeight="1" x14ac:dyDescent="0.3">
      <c r="B15" s="37">
        <v>8</v>
      </c>
      <c r="C15" s="54">
        <f>(INT(SUM($E$8:E15)/100)+1)</f>
        <v>1</v>
      </c>
      <c r="D15" s="34">
        <v>2</v>
      </c>
      <c r="E15" s="35">
        <f t="shared" si="3"/>
        <v>3</v>
      </c>
      <c r="F15" s="36">
        <v>1.8</v>
      </c>
      <c r="G15" s="32">
        <f t="shared" si="0"/>
        <v>128.196</v>
      </c>
      <c r="H15" s="39">
        <f t="shared" si="1"/>
        <v>59.291999999999994</v>
      </c>
      <c r="I15" s="46">
        <v>2.3587301587301588</v>
      </c>
      <c r="K15" s="26">
        <v>8</v>
      </c>
      <c r="L15" s="28"/>
      <c r="M15" s="28">
        <v>61.2</v>
      </c>
      <c r="N15" s="28">
        <v>27.2</v>
      </c>
      <c r="O15" s="28">
        <v>2</v>
      </c>
      <c r="P15" s="33">
        <f t="shared" si="2"/>
        <v>54.24</v>
      </c>
      <c r="R15" s="48"/>
      <c r="S15" s="49"/>
      <c r="T15" s="49"/>
      <c r="U15" s="49"/>
      <c r="V15" s="50">
        <f>SUM(V8:V14)</f>
        <v>120626</v>
      </c>
      <c r="W15" s="53">
        <f>SUM(W8:W14)</f>
        <v>117227</v>
      </c>
    </row>
    <row r="16" spans="2:23" x14ac:dyDescent="0.3">
      <c r="B16" s="37">
        <v>9</v>
      </c>
      <c r="C16" s="54">
        <f>(INT(SUM($E$8:E16)/100)+1)</f>
        <v>1</v>
      </c>
      <c r="D16" s="34">
        <v>2</v>
      </c>
      <c r="E16" s="35">
        <f t="shared" si="3"/>
        <v>3</v>
      </c>
      <c r="F16" s="36">
        <v>1.8</v>
      </c>
      <c r="G16" s="32">
        <f t="shared" si="0"/>
        <v>128.196</v>
      </c>
      <c r="H16" s="39">
        <f t="shared" si="1"/>
        <v>59.291999999999994</v>
      </c>
      <c r="I16" s="46">
        <v>2.9650793650793652</v>
      </c>
    </row>
    <row r="17" spans="2:23" x14ac:dyDescent="0.3">
      <c r="B17" s="37">
        <v>10</v>
      </c>
      <c r="C17" s="54">
        <f>(INT(SUM($E$8:E17)/100)+1)</f>
        <v>1</v>
      </c>
      <c r="D17" s="34">
        <v>2</v>
      </c>
      <c r="E17" s="35">
        <f t="shared" si="3"/>
        <v>4</v>
      </c>
      <c r="F17" s="36">
        <v>1.8</v>
      </c>
      <c r="G17" s="32">
        <f t="shared" si="0"/>
        <v>170.928</v>
      </c>
      <c r="H17" s="39">
        <f t="shared" si="1"/>
        <v>79.056000000000012</v>
      </c>
      <c r="I17" s="46">
        <v>3.657142857142857</v>
      </c>
      <c r="K17" s="25" t="s">
        <v>111</v>
      </c>
      <c r="R17" s="46" t="s">
        <v>112</v>
      </c>
    </row>
    <row r="18" spans="2:23" ht="13.5" customHeight="1" x14ac:dyDescent="0.3">
      <c r="B18" s="37">
        <v>11</v>
      </c>
      <c r="C18" s="54">
        <f>(INT(SUM($E$8:E18)/100)+1)</f>
        <v>1</v>
      </c>
      <c r="D18" s="34">
        <v>2</v>
      </c>
      <c r="E18" s="35">
        <f t="shared" si="3"/>
        <v>5</v>
      </c>
      <c r="F18" s="36">
        <v>1.8</v>
      </c>
      <c r="G18" s="32">
        <f t="shared" si="0"/>
        <v>213.66</v>
      </c>
      <c r="H18" s="39">
        <f t="shared" si="1"/>
        <v>98.820000000000007</v>
      </c>
      <c r="I18" s="46">
        <v>4.4349206349206352</v>
      </c>
      <c r="K18" s="164" t="s">
        <v>102</v>
      </c>
      <c r="L18" s="165" t="s">
        <v>103</v>
      </c>
      <c r="M18" s="151"/>
      <c r="N18" s="151"/>
      <c r="O18" s="151"/>
      <c r="P18" s="160" t="s">
        <v>119</v>
      </c>
      <c r="R18" s="151" t="s">
        <v>105</v>
      </c>
      <c r="S18" s="153" t="s">
        <v>106</v>
      </c>
      <c r="T18" s="153" t="s">
        <v>106</v>
      </c>
      <c r="U18" s="151" t="s">
        <v>108</v>
      </c>
      <c r="V18" s="151" t="s">
        <v>109</v>
      </c>
      <c r="W18" s="151" t="s">
        <v>110</v>
      </c>
    </row>
    <row r="19" spans="2:23" ht="13.5" customHeight="1" x14ac:dyDescent="0.3">
      <c r="B19" s="37">
        <v>12</v>
      </c>
      <c r="C19" s="54">
        <f>(INT(SUM($E$8:E19)/100)+1)</f>
        <v>1</v>
      </c>
      <c r="D19" s="34">
        <v>2</v>
      </c>
      <c r="E19" s="35">
        <f t="shared" si="3"/>
        <v>6</v>
      </c>
      <c r="F19" s="36">
        <v>1.8</v>
      </c>
      <c r="G19" s="32">
        <f t="shared" si="0"/>
        <v>256.392</v>
      </c>
      <c r="H19" s="39">
        <f t="shared" si="1"/>
        <v>118.58399999999999</v>
      </c>
      <c r="I19" s="46">
        <v>5.3047619047619046</v>
      </c>
      <c r="K19" s="161"/>
      <c r="L19" s="112">
        <v>1</v>
      </c>
      <c r="M19" s="112">
        <v>2</v>
      </c>
      <c r="N19" s="112">
        <v>3</v>
      </c>
      <c r="O19" s="112">
        <v>4</v>
      </c>
      <c r="P19" s="161"/>
      <c r="R19" s="152"/>
      <c r="S19" s="152"/>
      <c r="T19" s="152"/>
      <c r="U19" s="152"/>
      <c r="V19" s="152"/>
      <c r="W19" s="152"/>
    </row>
    <row r="20" spans="2:23" x14ac:dyDescent="0.3">
      <c r="B20" s="37">
        <v>13</v>
      </c>
      <c r="C20" s="54">
        <f>(INT(SUM($E$8:E20)/100)+1)</f>
        <v>1</v>
      </c>
      <c r="D20" s="34">
        <v>2</v>
      </c>
      <c r="E20" s="35">
        <f t="shared" si="3"/>
        <v>7</v>
      </c>
      <c r="F20" s="36">
        <v>1.8</v>
      </c>
      <c r="G20" s="32">
        <f t="shared" si="0"/>
        <v>299.12399999999997</v>
      </c>
      <c r="H20" s="39">
        <f t="shared" si="1"/>
        <v>138.34800000000001</v>
      </c>
      <c r="I20" s="46">
        <v>6.2634920634920634</v>
      </c>
      <c r="K20" s="26">
        <v>1</v>
      </c>
      <c r="L20" s="28">
        <f>90-N20-M20</f>
        <v>89.8</v>
      </c>
      <c r="M20" s="28">
        <v>0.2</v>
      </c>
      <c r="N20" s="28"/>
      <c r="O20" s="28"/>
      <c r="P20" s="40">
        <f t="shared" ref="P20:P27" si="6">($L20*$N$43+$M20*$N$44+$N20*$N$45+$O20*$N$46)/100</f>
        <v>10.835999999999999</v>
      </c>
      <c r="R20" s="26">
        <v>4</v>
      </c>
      <c r="S20" s="47">
        <f>$L$35</f>
        <v>1710</v>
      </c>
      <c r="T20" s="47">
        <f>$L$46</f>
        <v>1690</v>
      </c>
      <c r="U20" s="47">
        <v>8</v>
      </c>
      <c r="V20" s="47">
        <f>S20*U20</f>
        <v>13680</v>
      </c>
      <c r="W20" s="47">
        <f>T20*U20</f>
        <v>13520</v>
      </c>
    </row>
    <row r="21" spans="2:23" x14ac:dyDescent="0.3">
      <c r="B21" s="37">
        <v>14</v>
      </c>
      <c r="C21" s="54">
        <f>(INT(SUM($E$8:E21)/100)+1)</f>
        <v>1</v>
      </c>
      <c r="D21" s="34">
        <v>2</v>
      </c>
      <c r="E21" s="35">
        <f t="shared" si="3"/>
        <v>8</v>
      </c>
      <c r="F21" s="36">
        <v>1.8</v>
      </c>
      <c r="G21" s="32">
        <f t="shared" si="0"/>
        <v>341.85599999999999</v>
      </c>
      <c r="H21" s="39">
        <f t="shared" si="1"/>
        <v>158.11200000000002</v>
      </c>
      <c r="I21" s="46">
        <v>7.3174603174603172</v>
      </c>
      <c r="K21" s="26">
        <v>2</v>
      </c>
      <c r="L21" s="28">
        <f t="shared" ref="L21:L27" si="7">90-N21-M21</f>
        <v>89</v>
      </c>
      <c r="M21" s="28">
        <v>1</v>
      </c>
      <c r="N21" s="28"/>
      <c r="O21" s="28"/>
      <c r="P21" s="40">
        <f t="shared" si="6"/>
        <v>10.98</v>
      </c>
      <c r="R21" s="26">
        <v>5</v>
      </c>
      <c r="S21" s="47">
        <f>$L$36</f>
        <v>4069</v>
      </c>
      <c r="T21" s="47">
        <f>$L$47</f>
        <v>3949</v>
      </c>
      <c r="U21" s="47">
        <v>4</v>
      </c>
      <c r="V21" s="47">
        <f>S21*U21</f>
        <v>16276</v>
      </c>
      <c r="W21" s="47">
        <f>T21*U21</f>
        <v>15796</v>
      </c>
    </row>
    <row r="22" spans="2:23" x14ac:dyDescent="0.3">
      <c r="B22" s="37">
        <v>15</v>
      </c>
      <c r="C22" s="54">
        <f>(INT(SUM($E$8:E22)/100)+1)</f>
        <v>1</v>
      </c>
      <c r="D22" s="34">
        <v>2</v>
      </c>
      <c r="E22" s="35">
        <f t="shared" si="3"/>
        <v>9</v>
      </c>
      <c r="F22" s="36">
        <v>1.8</v>
      </c>
      <c r="G22" s="32">
        <f t="shared" si="0"/>
        <v>384.58800000000002</v>
      </c>
      <c r="H22" s="39">
        <f t="shared" si="1"/>
        <v>177.876</v>
      </c>
      <c r="I22" s="46">
        <v>8.4666666666666668</v>
      </c>
      <c r="K22" s="26">
        <v>3</v>
      </c>
      <c r="L22" s="28">
        <f t="shared" si="7"/>
        <v>86</v>
      </c>
      <c r="M22" s="28">
        <v>4</v>
      </c>
      <c r="N22" s="28"/>
      <c r="O22" s="28"/>
      <c r="P22" s="40">
        <f t="shared" si="6"/>
        <v>11.52</v>
      </c>
      <c r="R22" s="26">
        <v>6</v>
      </c>
      <c r="S22" s="47">
        <f>$L$37</f>
        <v>10106</v>
      </c>
      <c r="T22" s="47">
        <f>$L$48</f>
        <v>9606</v>
      </c>
      <c r="U22" s="47">
        <v>2</v>
      </c>
      <c r="V22" s="47">
        <f>S22*U22</f>
        <v>20212</v>
      </c>
      <c r="W22" s="47">
        <f>T22*U22</f>
        <v>19212</v>
      </c>
    </row>
    <row r="23" spans="2:23" ht="13.5" customHeight="1" x14ac:dyDescent="0.3">
      <c r="B23" s="37">
        <v>16</v>
      </c>
      <c r="C23" s="54">
        <f>(INT(SUM($E$8:E23)/100)+1)</f>
        <v>1</v>
      </c>
      <c r="D23" s="34">
        <v>2</v>
      </c>
      <c r="E23" s="35">
        <f t="shared" si="3"/>
        <v>10</v>
      </c>
      <c r="F23" s="36">
        <v>1.8</v>
      </c>
      <c r="G23" s="32">
        <f t="shared" si="0"/>
        <v>427.32</v>
      </c>
      <c r="H23" s="39">
        <f t="shared" si="1"/>
        <v>197.64000000000001</v>
      </c>
      <c r="I23" s="46">
        <v>9.7079365079365072</v>
      </c>
      <c r="K23" s="26">
        <v>4</v>
      </c>
      <c r="L23" s="28">
        <f t="shared" si="7"/>
        <v>80.8</v>
      </c>
      <c r="M23" s="28">
        <v>9</v>
      </c>
      <c r="N23" s="28">
        <v>0.2</v>
      </c>
      <c r="O23" s="28"/>
      <c r="P23" s="40">
        <f t="shared" si="6"/>
        <v>12.591999999999999</v>
      </c>
      <c r="R23" s="26">
        <v>7</v>
      </c>
      <c r="S23" s="47">
        <f>$L$38</f>
        <v>25498</v>
      </c>
      <c r="T23" s="47">
        <f>$L$49</f>
        <v>23739</v>
      </c>
      <c r="U23" s="47">
        <v>1</v>
      </c>
      <c r="V23" s="47">
        <f>S23*U23</f>
        <v>25498</v>
      </c>
      <c r="W23" s="47">
        <f>T23*U23</f>
        <v>23739</v>
      </c>
    </row>
    <row r="24" spans="2:23" x14ac:dyDescent="0.3">
      <c r="B24" s="37">
        <v>17</v>
      </c>
      <c r="C24" s="54">
        <f>(INT(SUM($E$8:E24)/100)+1)</f>
        <v>1</v>
      </c>
      <c r="D24" s="34">
        <v>2</v>
      </c>
      <c r="E24" s="35">
        <f t="shared" si="3"/>
        <v>12</v>
      </c>
      <c r="F24" s="36">
        <v>1.8</v>
      </c>
      <c r="G24" s="32">
        <f t="shared" si="0"/>
        <v>512.78399999999999</v>
      </c>
      <c r="H24" s="39">
        <f t="shared" si="1"/>
        <v>237.16799999999998</v>
      </c>
      <c r="I24" s="46">
        <v>11.047619047619047</v>
      </c>
      <c r="K24" s="26">
        <v>5</v>
      </c>
      <c r="L24" s="28">
        <f t="shared" si="7"/>
        <v>73</v>
      </c>
      <c r="M24" s="28">
        <v>16</v>
      </c>
      <c r="N24" s="28">
        <v>1</v>
      </c>
      <c r="O24" s="28"/>
      <c r="P24" s="40">
        <f t="shared" si="6"/>
        <v>14.54</v>
      </c>
      <c r="R24" s="48"/>
      <c r="S24" s="49"/>
      <c r="V24" s="50">
        <f>SUM(V20:V23)</f>
        <v>75666</v>
      </c>
      <c r="W24" s="53">
        <f>SUM(W20:W23)</f>
        <v>72267</v>
      </c>
    </row>
    <row r="25" spans="2:23" x14ac:dyDescent="0.3">
      <c r="B25" s="37">
        <v>18</v>
      </c>
      <c r="C25" s="54">
        <f>(INT(SUM($E$8:E25)/100)+1)</f>
        <v>1</v>
      </c>
      <c r="D25" s="29">
        <v>3</v>
      </c>
      <c r="E25" s="30">
        <f t="shared" si="3"/>
        <v>11</v>
      </c>
      <c r="F25" s="31">
        <v>1.8</v>
      </c>
      <c r="G25" s="30">
        <f t="shared" si="0"/>
        <v>480.15000000000003</v>
      </c>
      <c r="H25" s="44">
        <f t="shared" si="1"/>
        <v>228.096</v>
      </c>
      <c r="I25" s="46">
        <v>10.745901639344263</v>
      </c>
      <c r="K25" s="26">
        <v>6</v>
      </c>
      <c r="L25" s="28">
        <f t="shared" si="7"/>
        <v>61</v>
      </c>
      <c r="M25" s="28">
        <v>26</v>
      </c>
      <c r="N25" s="28">
        <v>3</v>
      </c>
      <c r="O25" s="28"/>
      <c r="P25" s="40">
        <f t="shared" si="6"/>
        <v>18.059999999999999</v>
      </c>
    </row>
    <row r="26" spans="2:23" x14ac:dyDescent="0.3">
      <c r="B26" s="38">
        <v>19</v>
      </c>
      <c r="C26" s="55">
        <f>(INT(SUM($E$8:E26)/100)+1)</f>
        <v>2</v>
      </c>
      <c r="D26" s="29">
        <v>3</v>
      </c>
      <c r="E26" s="30">
        <f t="shared" si="3"/>
        <v>13</v>
      </c>
      <c r="F26" s="31">
        <v>1.8</v>
      </c>
      <c r="G26" s="30">
        <f t="shared" si="0"/>
        <v>567.45000000000005</v>
      </c>
      <c r="H26" s="44">
        <f t="shared" si="1"/>
        <v>269.56799999999998</v>
      </c>
      <c r="I26" s="46">
        <v>12.071038251366121</v>
      </c>
      <c r="K26" s="26">
        <v>7</v>
      </c>
      <c r="L26" s="28">
        <f t="shared" si="7"/>
        <v>48</v>
      </c>
      <c r="M26" s="28">
        <v>36</v>
      </c>
      <c r="N26" s="28">
        <v>6</v>
      </c>
      <c r="O26" s="28"/>
      <c r="P26" s="40">
        <f t="shared" si="6"/>
        <v>22.44</v>
      </c>
      <c r="R26" s="46" t="s">
        <v>138</v>
      </c>
    </row>
    <row r="27" spans="2:23" ht="13.5" customHeight="1" x14ac:dyDescent="0.3">
      <c r="B27" s="38">
        <v>20</v>
      </c>
      <c r="C27" s="55">
        <f>(INT(SUM($E$8:E27)/100)+1)</f>
        <v>2</v>
      </c>
      <c r="D27" s="34">
        <v>4</v>
      </c>
      <c r="E27" s="35">
        <f t="shared" si="3"/>
        <v>12</v>
      </c>
      <c r="F27" s="36">
        <v>1.8</v>
      </c>
      <c r="G27" s="32">
        <f t="shared" si="0"/>
        <v>552.13920000000007</v>
      </c>
      <c r="H27" s="39">
        <f t="shared" si="1"/>
        <v>271.98719999999997</v>
      </c>
      <c r="I27" s="46">
        <v>11.607058823529412</v>
      </c>
      <c r="K27" s="26">
        <v>8</v>
      </c>
      <c r="L27" s="28">
        <f t="shared" si="7"/>
        <v>50</v>
      </c>
      <c r="M27" s="28">
        <v>29</v>
      </c>
      <c r="N27" s="28">
        <v>11</v>
      </c>
      <c r="O27" s="28"/>
      <c r="P27" s="40">
        <f t="shared" si="6"/>
        <v>25.48</v>
      </c>
      <c r="R27" s="114" t="s">
        <v>139</v>
      </c>
      <c r="S27" s="114" t="s">
        <v>140</v>
      </c>
      <c r="T27" s="114" t="s">
        <v>141</v>
      </c>
      <c r="U27" s="114" t="s">
        <v>142</v>
      </c>
    </row>
    <row r="28" spans="2:23" x14ac:dyDescent="0.3">
      <c r="B28" s="38">
        <v>21</v>
      </c>
      <c r="C28" s="55">
        <f>(INT(SUM($E$8:E28)/100)+1)</f>
        <v>2</v>
      </c>
      <c r="D28" s="34">
        <v>4</v>
      </c>
      <c r="E28" s="35">
        <f t="shared" si="3"/>
        <v>13</v>
      </c>
      <c r="F28" s="36">
        <v>1.8</v>
      </c>
      <c r="G28" s="32">
        <f t="shared" si="0"/>
        <v>598.15080000000012</v>
      </c>
      <c r="H28" s="39">
        <f t="shared" si="1"/>
        <v>294.65279999999996</v>
      </c>
      <c r="I28" s="46">
        <v>12.896470588235294</v>
      </c>
      <c r="L28" s="144" t="s">
        <v>136</v>
      </c>
      <c r="R28" s="26" t="s">
        <v>143</v>
      </c>
      <c r="S28" s="26" t="s">
        <v>144</v>
      </c>
      <c r="T28" s="26">
        <v>20</v>
      </c>
      <c r="U28" s="56">
        <f>T8*U9+T9*U10+T10*U11+T11*U12+T12*U13+T13</f>
        <v>46744</v>
      </c>
    </row>
    <row r="29" spans="2:23" ht="13.5" customHeight="1" x14ac:dyDescent="0.3">
      <c r="B29" s="38">
        <v>22</v>
      </c>
      <c r="C29" s="55">
        <f>(INT(SUM($E$8:E29)/100)+1)</f>
        <v>2</v>
      </c>
      <c r="D29" s="34">
        <v>4</v>
      </c>
      <c r="E29" s="35">
        <f t="shared" si="3"/>
        <v>15</v>
      </c>
      <c r="F29" s="36">
        <v>1.8</v>
      </c>
      <c r="G29" s="32">
        <f t="shared" si="0"/>
        <v>690.17399999999998</v>
      </c>
      <c r="H29" s="39">
        <f t="shared" si="1"/>
        <v>339.98399999999998</v>
      </c>
      <c r="I29" s="46">
        <v>14.261176470588236</v>
      </c>
      <c r="K29" s="25" t="s">
        <v>113</v>
      </c>
      <c r="R29" s="57" t="s">
        <v>145</v>
      </c>
      <c r="S29" s="57" t="s">
        <v>146</v>
      </c>
      <c r="T29" s="57">
        <v>20</v>
      </c>
      <c r="U29" s="58">
        <f>T10*U12+T11*U13+T12</f>
        <v>10489</v>
      </c>
    </row>
    <row r="30" spans="2:23" ht="13.5" customHeight="1" x14ac:dyDescent="0.3">
      <c r="B30" s="38">
        <v>23</v>
      </c>
      <c r="C30" s="55">
        <f>(INT(SUM($E$8:E30)/100)+1)</f>
        <v>2</v>
      </c>
      <c r="D30" s="34">
        <v>4</v>
      </c>
      <c r="E30" s="35">
        <f t="shared" si="3"/>
        <v>16</v>
      </c>
      <c r="F30" s="36">
        <v>1.8</v>
      </c>
      <c r="G30" s="32">
        <f t="shared" si="0"/>
        <v>736.18560000000002</v>
      </c>
      <c r="H30" s="39">
        <f t="shared" si="1"/>
        <v>362.64959999999996</v>
      </c>
      <c r="I30" s="46">
        <v>15.703529411764706</v>
      </c>
      <c r="K30" s="163" t="s">
        <v>103</v>
      </c>
      <c r="L30" s="163" t="s">
        <v>114</v>
      </c>
      <c r="M30" s="162" t="s">
        <v>115</v>
      </c>
      <c r="N30" s="162" t="s">
        <v>116</v>
      </c>
      <c r="O30" s="163" t="s">
        <v>117</v>
      </c>
      <c r="R30" s="57" t="s">
        <v>147</v>
      </c>
      <c r="S30" s="57" t="s">
        <v>148</v>
      </c>
      <c r="T30" s="57">
        <v>20</v>
      </c>
      <c r="U30" s="58">
        <f>S10*U11+S11*U12+S12*U13+S13</f>
        <v>31404</v>
      </c>
    </row>
    <row r="31" spans="2:23" x14ac:dyDescent="0.3">
      <c r="B31" s="38">
        <v>24</v>
      </c>
      <c r="C31" s="55">
        <f>(INT(SUM($E$8:E31)/100)+1)</f>
        <v>2</v>
      </c>
      <c r="D31" s="34">
        <v>4</v>
      </c>
      <c r="E31" s="35">
        <f t="shared" si="3"/>
        <v>18</v>
      </c>
      <c r="F31" s="36">
        <v>1.8</v>
      </c>
      <c r="G31" s="32">
        <f t="shared" si="0"/>
        <v>828.20880000000011</v>
      </c>
      <c r="H31" s="39">
        <f t="shared" si="1"/>
        <v>407.98079999999999</v>
      </c>
      <c r="I31" s="46">
        <v>17.221176470588237</v>
      </c>
      <c r="K31" s="162"/>
      <c r="L31" s="162"/>
      <c r="M31" s="162"/>
      <c r="N31" s="162"/>
      <c r="O31" s="162"/>
      <c r="R31" s="57" t="s">
        <v>149</v>
      </c>
      <c r="S31" s="57" t="s">
        <v>146</v>
      </c>
      <c r="T31" s="57">
        <v>20</v>
      </c>
      <c r="U31" s="58">
        <f>U29</f>
        <v>10489</v>
      </c>
    </row>
    <row r="32" spans="2:23" x14ac:dyDescent="0.3">
      <c r="B32" s="38">
        <v>25</v>
      </c>
      <c r="C32" s="55">
        <f>(INT(SUM($E$8:E32)/100)+1)</f>
        <v>2</v>
      </c>
      <c r="D32" s="34">
        <v>4</v>
      </c>
      <c r="E32" s="35">
        <f t="shared" si="3"/>
        <v>19</v>
      </c>
      <c r="F32" s="36">
        <v>1.8</v>
      </c>
      <c r="G32" s="32">
        <f t="shared" si="0"/>
        <v>874.22040000000004</v>
      </c>
      <c r="H32" s="39">
        <f t="shared" si="1"/>
        <v>430.64639999999997</v>
      </c>
      <c r="I32" s="46">
        <v>18.816470588235294</v>
      </c>
      <c r="K32" s="26">
        <v>1</v>
      </c>
      <c r="L32" s="50">
        <v>290</v>
      </c>
      <c r="M32" s="47"/>
      <c r="N32" s="62">
        <v>26</v>
      </c>
      <c r="O32" s="63">
        <v>11</v>
      </c>
      <c r="R32" s="57" t="s">
        <v>150</v>
      </c>
      <c r="S32" s="57" t="s">
        <v>151</v>
      </c>
      <c r="T32" s="57">
        <v>20</v>
      </c>
      <c r="U32" s="58">
        <f>U29</f>
        <v>10489</v>
      </c>
    </row>
    <row r="33" spans="2:21" x14ac:dyDescent="0.3">
      <c r="B33" s="37">
        <v>26</v>
      </c>
      <c r="C33" s="54">
        <f>(INT(SUM($E$8:E33)/100)+1)</f>
        <v>3</v>
      </c>
      <c r="D33" s="29">
        <v>5</v>
      </c>
      <c r="E33" s="30">
        <f t="shared" si="3"/>
        <v>18</v>
      </c>
      <c r="F33" s="31">
        <v>1.8</v>
      </c>
      <c r="G33" s="30">
        <f t="shared" si="0"/>
        <v>984.95999999999992</v>
      </c>
      <c r="H33" s="44">
        <f t="shared" si="1"/>
        <v>471.09599999999995</v>
      </c>
      <c r="I33" s="46">
        <v>17.629554655870447</v>
      </c>
      <c r="K33" s="26">
        <v>2</v>
      </c>
      <c r="L33" s="50">
        <v>430</v>
      </c>
      <c r="M33" s="51">
        <f>L33/L32</f>
        <v>1.4827586206896552</v>
      </c>
      <c r="N33" s="62">
        <v>43</v>
      </c>
      <c r="O33" s="63">
        <v>10</v>
      </c>
      <c r="R33" s="57" t="s">
        <v>152</v>
      </c>
      <c r="S33" s="57" t="s">
        <v>151</v>
      </c>
      <c r="T33" s="57">
        <v>20</v>
      </c>
      <c r="U33" s="58">
        <f>U29</f>
        <v>10489</v>
      </c>
    </row>
    <row r="34" spans="2:21" x14ac:dyDescent="0.3">
      <c r="B34" s="37">
        <v>27</v>
      </c>
      <c r="C34" s="54">
        <f>(INT(SUM($E$8:E34)/100)+1)</f>
        <v>3</v>
      </c>
      <c r="D34" s="29">
        <v>5</v>
      </c>
      <c r="E34" s="30">
        <f t="shared" si="3"/>
        <v>20</v>
      </c>
      <c r="F34" s="31">
        <v>1.8</v>
      </c>
      <c r="G34" s="30">
        <f t="shared" si="0"/>
        <v>1094.4000000000001</v>
      </c>
      <c r="H34" s="44">
        <f t="shared" si="1"/>
        <v>523.43999999999994</v>
      </c>
      <c r="I34" s="46">
        <v>19.137651821862349</v>
      </c>
      <c r="K34" s="26">
        <v>3</v>
      </c>
      <c r="L34" s="50">
        <v>790</v>
      </c>
      <c r="M34" s="51">
        <f t="shared" ref="M34:M37" si="8">L34/L33</f>
        <v>1.8372093023255813</v>
      </c>
      <c r="N34" s="62">
        <v>87</v>
      </c>
      <c r="O34" s="63">
        <v>9</v>
      </c>
      <c r="R34" s="26" t="s">
        <v>153</v>
      </c>
      <c r="S34" s="26" t="s">
        <v>154</v>
      </c>
      <c r="T34" s="26">
        <v>20</v>
      </c>
      <c r="U34" s="56">
        <f>T10*U13+T11</f>
        <v>3270</v>
      </c>
    </row>
    <row r="35" spans="2:21" x14ac:dyDescent="0.3">
      <c r="B35" s="37">
        <v>28</v>
      </c>
      <c r="C35" s="54">
        <f>(INT(SUM($E$8:E35)/100)+1)</f>
        <v>3</v>
      </c>
      <c r="D35" s="34">
        <v>6</v>
      </c>
      <c r="E35" s="35">
        <f t="shared" si="3"/>
        <v>18</v>
      </c>
      <c r="F35" s="36">
        <v>1.8</v>
      </c>
      <c r="G35" s="32">
        <f t="shared" si="0"/>
        <v>1215.972</v>
      </c>
      <c r="H35" s="39">
        <f t="shared" si="1"/>
        <v>585.14400000000001</v>
      </c>
      <c r="I35" s="46">
        <v>17.858638743455497</v>
      </c>
      <c r="K35" s="26">
        <v>4</v>
      </c>
      <c r="L35" s="50">
        <v>1710</v>
      </c>
      <c r="M35" s="51">
        <f t="shared" si="8"/>
        <v>2.1645569620253164</v>
      </c>
      <c r="N35" s="62">
        <v>213</v>
      </c>
      <c r="O35" s="63">
        <v>8</v>
      </c>
      <c r="R35" s="26" t="s">
        <v>155</v>
      </c>
      <c r="S35" s="26" t="s">
        <v>154</v>
      </c>
      <c r="T35" s="26">
        <v>20</v>
      </c>
      <c r="U35" s="56">
        <f>U34</f>
        <v>3270</v>
      </c>
    </row>
    <row r="36" spans="2:21" x14ac:dyDescent="0.3">
      <c r="B36" s="37">
        <v>29</v>
      </c>
      <c r="C36" s="54">
        <f>(INT(SUM($E$8:E36)/100)+1)</f>
        <v>3</v>
      </c>
      <c r="D36" s="34">
        <v>6</v>
      </c>
      <c r="E36" s="35">
        <f t="shared" si="3"/>
        <v>20</v>
      </c>
      <c r="F36" s="36">
        <v>1.8</v>
      </c>
      <c r="G36" s="32">
        <f t="shared" si="0"/>
        <v>1351.0800000000002</v>
      </c>
      <c r="H36" s="39">
        <f t="shared" si="1"/>
        <v>650.16</v>
      </c>
      <c r="I36" s="46">
        <v>19.279232111692846</v>
      </c>
      <c r="K36" s="26">
        <v>5</v>
      </c>
      <c r="L36" s="50">
        <v>4069</v>
      </c>
      <c r="M36" s="51">
        <f t="shared" si="8"/>
        <v>2.3795321637426903</v>
      </c>
      <c r="N36" s="62">
        <v>581</v>
      </c>
      <c r="O36" s="63">
        <v>7</v>
      </c>
      <c r="R36" s="59" t="s">
        <v>156</v>
      </c>
      <c r="S36" s="59"/>
      <c r="T36" s="59"/>
      <c r="U36" s="60">
        <f>SUM(U28:U35)</f>
        <v>126644</v>
      </c>
    </row>
    <row r="37" spans="2:21" x14ac:dyDescent="0.3">
      <c r="B37" s="37">
        <v>30</v>
      </c>
      <c r="C37" s="54">
        <f>(INT(SUM($E$8:E37)/100)+1)</f>
        <v>3</v>
      </c>
      <c r="D37" s="34">
        <v>6</v>
      </c>
      <c r="E37" s="35">
        <f t="shared" si="3"/>
        <v>21</v>
      </c>
      <c r="F37" s="36">
        <v>1.8</v>
      </c>
      <c r="G37" s="32">
        <f t="shared" si="0"/>
        <v>1418.634</v>
      </c>
      <c r="H37" s="39">
        <f t="shared" si="1"/>
        <v>682.66800000000001</v>
      </c>
      <c r="I37" s="46">
        <v>20.759162303664922</v>
      </c>
      <c r="K37" s="26">
        <v>6</v>
      </c>
      <c r="L37" s="50">
        <v>10106</v>
      </c>
      <c r="M37" s="51">
        <f t="shared" si="8"/>
        <v>2.4836569181617105</v>
      </c>
      <c r="N37" s="62">
        <v>1684</v>
      </c>
      <c r="O37" s="63">
        <v>6</v>
      </c>
    </row>
    <row r="38" spans="2:21" x14ac:dyDescent="0.3">
      <c r="B38" s="38">
        <v>31</v>
      </c>
      <c r="C38" s="55">
        <f>(INT(SUM($E$8:E38)/100)+1)</f>
        <v>4</v>
      </c>
      <c r="D38" s="34">
        <v>6</v>
      </c>
      <c r="E38" s="35">
        <f t="shared" si="3"/>
        <v>23</v>
      </c>
      <c r="F38" s="36">
        <v>1.8</v>
      </c>
      <c r="G38" s="32">
        <f t="shared" si="0"/>
        <v>1553.7420000000002</v>
      </c>
      <c r="H38" s="39">
        <f t="shared" si="1"/>
        <v>747.68399999999997</v>
      </c>
      <c r="I38" s="46">
        <v>22.298429319371728</v>
      </c>
      <c r="K38" s="26">
        <v>7</v>
      </c>
      <c r="L38" s="50">
        <v>25498</v>
      </c>
      <c r="M38" s="51">
        <f>L38/L37</f>
        <v>2.5230556105283988</v>
      </c>
      <c r="N38" s="62">
        <v>5099</v>
      </c>
      <c r="O38" s="63">
        <v>5</v>
      </c>
      <c r="R38" s="46" t="s">
        <v>157</v>
      </c>
    </row>
    <row r="39" spans="2:21" ht="13.5" customHeight="1" x14ac:dyDescent="0.3">
      <c r="B39" s="38">
        <v>32</v>
      </c>
      <c r="C39" s="55">
        <f>(INT(SUM($E$8:E39)/100)+1)</f>
        <v>4</v>
      </c>
      <c r="D39" s="34">
        <v>6</v>
      </c>
      <c r="E39" s="35">
        <f t="shared" si="3"/>
        <v>24</v>
      </c>
      <c r="F39" s="36">
        <v>1.8</v>
      </c>
      <c r="G39" s="32">
        <f t="shared" si="0"/>
        <v>1621.296</v>
      </c>
      <c r="H39" s="39">
        <f t="shared" si="1"/>
        <v>780.19199999999989</v>
      </c>
      <c r="I39" s="46">
        <v>23.898778359511343</v>
      </c>
      <c r="R39" s="114" t="s">
        <v>139</v>
      </c>
      <c r="S39" s="114" t="s">
        <v>140</v>
      </c>
      <c r="T39" s="114" t="s">
        <v>141</v>
      </c>
      <c r="U39" s="114" t="s">
        <v>142</v>
      </c>
    </row>
    <row r="40" spans="2:21" x14ac:dyDescent="0.3">
      <c r="B40" s="38">
        <v>33</v>
      </c>
      <c r="C40" s="55">
        <f>(INT(SUM($E$8:E40)/100)+1)</f>
        <v>4</v>
      </c>
      <c r="D40" s="34">
        <v>6</v>
      </c>
      <c r="E40" s="35">
        <f t="shared" si="3"/>
        <v>26</v>
      </c>
      <c r="F40" s="36">
        <v>1.8</v>
      </c>
      <c r="G40" s="32">
        <f t="shared" ref="G40:G58" si="9">VLOOKUP(D40,$K$8:$P$15,6,0)*E40*F40</f>
        <v>1756.404</v>
      </c>
      <c r="H40" s="39">
        <f t="shared" ref="H40:H58" si="10">VLOOKUP(D40,$K$20:$P$27,6,0)*E40*F40</f>
        <v>845.20799999999997</v>
      </c>
      <c r="I40" s="46">
        <v>25.560209424083769</v>
      </c>
      <c r="K40" s="25" t="s">
        <v>87</v>
      </c>
      <c r="R40" s="26" t="s">
        <v>143</v>
      </c>
      <c r="S40" s="146" t="s">
        <v>158</v>
      </c>
      <c r="T40" s="146">
        <v>20</v>
      </c>
      <c r="U40" s="147">
        <f>$U$28+$T$14</f>
        <v>70483</v>
      </c>
    </row>
    <row r="41" spans="2:21" ht="13.5" customHeight="1" x14ac:dyDescent="0.3">
      <c r="B41" s="38">
        <v>34</v>
      </c>
      <c r="C41" s="55">
        <f>(INT(SUM($E$8:E41)/100)+1)</f>
        <v>4</v>
      </c>
      <c r="D41" s="34">
        <v>6</v>
      </c>
      <c r="E41" s="35">
        <f t="shared" si="3"/>
        <v>28</v>
      </c>
      <c r="F41" s="36">
        <v>1.8</v>
      </c>
      <c r="G41" s="32">
        <f t="shared" si="9"/>
        <v>1891.5120000000004</v>
      </c>
      <c r="H41" s="39">
        <f t="shared" si="10"/>
        <v>910.22399999999993</v>
      </c>
      <c r="I41" s="46">
        <v>27.284467713787084</v>
      </c>
      <c r="K41" s="163" t="s">
        <v>82</v>
      </c>
      <c r="L41" s="163" t="s">
        <v>83</v>
      </c>
      <c r="M41" s="162" t="s">
        <v>84</v>
      </c>
      <c r="N41" s="162" t="s">
        <v>85</v>
      </c>
      <c r="O41" s="163" t="s">
        <v>86</v>
      </c>
      <c r="R41" s="57" t="s">
        <v>159</v>
      </c>
      <c r="S41" s="57" t="s">
        <v>160</v>
      </c>
      <c r="T41" s="57">
        <v>20</v>
      </c>
      <c r="U41" s="58">
        <f>U29+T13*U13+T14</f>
        <v>53440</v>
      </c>
    </row>
    <row r="42" spans="2:21" x14ac:dyDescent="0.3">
      <c r="B42" s="38">
        <v>35</v>
      </c>
      <c r="C42" s="55">
        <f>(INT(SUM($E$8:E42)/100)+1)</f>
        <v>5</v>
      </c>
      <c r="D42" s="34">
        <v>6</v>
      </c>
      <c r="E42" s="35">
        <f t="shared" si="3"/>
        <v>30</v>
      </c>
      <c r="F42" s="36">
        <v>1.8</v>
      </c>
      <c r="G42" s="32">
        <f t="shared" si="9"/>
        <v>2026.6200000000001</v>
      </c>
      <c r="H42" s="39">
        <f t="shared" si="10"/>
        <v>975.2399999999999</v>
      </c>
      <c r="I42" s="46">
        <v>29.069808027923212</v>
      </c>
      <c r="K42" s="162"/>
      <c r="L42" s="162"/>
      <c r="M42" s="162"/>
      <c r="N42" s="162"/>
      <c r="O42" s="162"/>
      <c r="R42" s="57" t="s">
        <v>161</v>
      </c>
      <c r="S42" s="57" t="s">
        <v>162</v>
      </c>
      <c r="T42" s="57">
        <v>20</v>
      </c>
      <c r="U42" s="58">
        <f>U40</f>
        <v>70483</v>
      </c>
    </row>
    <row r="43" spans="2:21" x14ac:dyDescent="0.3">
      <c r="B43" s="38">
        <v>36</v>
      </c>
      <c r="C43" s="55">
        <f>(INT(SUM($E$8:E43)/100)+1)</f>
        <v>5</v>
      </c>
      <c r="D43" s="34">
        <v>6</v>
      </c>
      <c r="E43" s="35">
        <f t="shared" si="3"/>
        <v>31</v>
      </c>
      <c r="F43" s="36">
        <v>1.8</v>
      </c>
      <c r="G43" s="32">
        <f t="shared" si="9"/>
        <v>2094.174</v>
      </c>
      <c r="H43" s="39">
        <f t="shared" si="10"/>
        <v>1007.748</v>
      </c>
      <c r="I43" s="46">
        <v>30.916230366492147</v>
      </c>
      <c r="K43" s="26">
        <v>1</v>
      </c>
      <c r="L43" s="53">
        <v>290</v>
      </c>
      <c r="M43" s="47"/>
      <c r="N43" s="62">
        <f>INT(L43/O43)</f>
        <v>12</v>
      </c>
      <c r="O43" s="61">
        <v>23</v>
      </c>
      <c r="P43" s="52"/>
      <c r="R43" s="57" t="s">
        <v>163</v>
      </c>
      <c r="S43" s="57" t="s">
        <v>160</v>
      </c>
      <c r="T43" s="57">
        <v>20</v>
      </c>
      <c r="U43" s="58">
        <f>U41</f>
        <v>53440</v>
      </c>
    </row>
    <row r="44" spans="2:21" x14ac:dyDescent="0.3">
      <c r="B44" s="38">
        <v>37</v>
      </c>
      <c r="C44" s="55">
        <f>(INT(SUM($E$8:E44)/100)+1)</f>
        <v>5</v>
      </c>
      <c r="D44" s="29">
        <v>7</v>
      </c>
      <c r="E44" s="30">
        <f t="shared" si="3"/>
        <v>29</v>
      </c>
      <c r="F44" s="31">
        <v>1.8</v>
      </c>
      <c r="G44" s="30">
        <f t="shared" si="9"/>
        <v>2527.5240000000003</v>
      </c>
      <c r="H44" s="44">
        <f t="shared" si="10"/>
        <v>1171.3679999999999</v>
      </c>
      <c r="I44" s="46">
        <v>28.285714285714285</v>
      </c>
      <c r="K44" s="26">
        <v>2</v>
      </c>
      <c r="L44" s="53">
        <v>430</v>
      </c>
      <c r="M44" s="51">
        <f>L44/L43</f>
        <v>1.4827586206896552</v>
      </c>
      <c r="N44" s="62">
        <f t="shared" ref="N44:N49" si="11">INT(L44/O44)</f>
        <v>30</v>
      </c>
      <c r="O44" s="61">
        <v>14</v>
      </c>
      <c r="P44" s="52"/>
      <c r="R44" s="57" t="s">
        <v>150</v>
      </c>
      <c r="S44" s="57" t="s">
        <v>160</v>
      </c>
      <c r="T44" s="57">
        <v>20</v>
      </c>
      <c r="U44" s="58">
        <f t="shared" ref="U44:U45" si="12">U42</f>
        <v>70483</v>
      </c>
    </row>
    <row r="45" spans="2:21" x14ac:dyDescent="0.3">
      <c r="B45" s="37">
        <v>38</v>
      </c>
      <c r="C45" s="54">
        <f>(INT(SUM($E$8:E45)/100)+1)</f>
        <v>6</v>
      </c>
      <c r="D45" s="29">
        <v>7</v>
      </c>
      <c r="E45" s="30">
        <f t="shared" si="3"/>
        <v>30</v>
      </c>
      <c r="F45" s="31">
        <v>1.8</v>
      </c>
      <c r="G45" s="30">
        <f t="shared" si="9"/>
        <v>2614.6800000000003</v>
      </c>
      <c r="H45" s="44">
        <f t="shared" si="10"/>
        <v>1211.7600000000002</v>
      </c>
      <c r="I45" s="46">
        <v>29.984962406015036</v>
      </c>
      <c r="K45" s="26">
        <v>3</v>
      </c>
      <c r="L45" s="53">
        <v>790</v>
      </c>
      <c r="M45" s="51">
        <f>L45/L44</f>
        <v>1.8372093023255813</v>
      </c>
      <c r="N45" s="62">
        <f t="shared" si="11"/>
        <v>98</v>
      </c>
      <c r="O45" s="61">
        <v>8</v>
      </c>
      <c r="P45" s="52"/>
      <c r="R45" s="57" t="s">
        <v>152</v>
      </c>
      <c r="S45" s="57" t="s">
        <v>160</v>
      </c>
      <c r="T45" s="57">
        <v>20</v>
      </c>
      <c r="U45" s="58">
        <f t="shared" si="12"/>
        <v>53440</v>
      </c>
    </row>
    <row r="46" spans="2:21" x14ac:dyDescent="0.3">
      <c r="B46" s="37">
        <v>39</v>
      </c>
      <c r="C46" s="54">
        <f>(INT(SUM($E$8:E46)/100)+1)</f>
        <v>6</v>
      </c>
      <c r="D46" s="29">
        <v>7</v>
      </c>
      <c r="E46" s="30">
        <f t="shared" si="3"/>
        <v>32</v>
      </c>
      <c r="F46" s="31">
        <v>1.8</v>
      </c>
      <c r="G46" s="30">
        <f t="shared" si="9"/>
        <v>2788.9920000000002</v>
      </c>
      <c r="H46" s="44">
        <f t="shared" si="10"/>
        <v>1292.5440000000001</v>
      </c>
      <c r="I46" s="46">
        <v>31.739849624060149</v>
      </c>
      <c r="K46" s="26">
        <v>4</v>
      </c>
      <c r="L46" s="53">
        <v>1690</v>
      </c>
      <c r="M46" s="51">
        <f t="shared" ref="M46:M49" si="13">L46/L45</f>
        <v>2.1392405063291138</v>
      </c>
      <c r="N46" s="62">
        <f t="shared" si="11"/>
        <v>211</v>
      </c>
      <c r="O46" s="61">
        <v>8</v>
      </c>
      <c r="P46" s="52"/>
      <c r="R46" s="26" t="s">
        <v>164</v>
      </c>
      <c r="S46" s="26" t="s">
        <v>165</v>
      </c>
      <c r="T46" s="26">
        <v>20</v>
      </c>
      <c r="U46" s="56">
        <f>U34+T12*U12+T13*U13+T14</f>
        <v>62017</v>
      </c>
    </row>
    <row r="47" spans="2:21" x14ac:dyDescent="0.3">
      <c r="B47" s="37">
        <v>40</v>
      </c>
      <c r="C47" s="54">
        <f>(INT(SUM($E$8:E47)/100)+1)</f>
        <v>6</v>
      </c>
      <c r="D47" s="29">
        <v>7</v>
      </c>
      <c r="E47" s="30">
        <f t="shared" si="3"/>
        <v>34</v>
      </c>
      <c r="F47" s="31">
        <v>1.8</v>
      </c>
      <c r="G47" s="30">
        <f t="shared" si="9"/>
        <v>2963.3040000000001</v>
      </c>
      <c r="H47" s="44">
        <f t="shared" si="10"/>
        <v>1373.3280000000002</v>
      </c>
      <c r="I47" s="46">
        <v>33.548872180451127</v>
      </c>
      <c r="K47" s="26">
        <v>5</v>
      </c>
      <c r="L47" s="53">
        <v>3949</v>
      </c>
      <c r="M47" s="51">
        <f t="shared" si="13"/>
        <v>2.3366863905325443</v>
      </c>
      <c r="N47" s="62">
        <f t="shared" si="11"/>
        <v>564</v>
      </c>
      <c r="O47" s="61">
        <v>7</v>
      </c>
      <c r="P47" s="52"/>
      <c r="R47" s="26" t="s">
        <v>166</v>
      </c>
      <c r="S47" s="26" t="s">
        <v>165</v>
      </c>
      <c r="T47" s="26">
        <v>20</v>
      </c>
      <c r="U47" s="56">
        <f>U46</f>
        <v>62017</v>
      </c>
    </row>
    <row r="48" spans="2:21" x14ac:dyDescent="0.3">
      <c r="B48" s="38">
        <v>41</v>
      </c>
      <c r="C48" s="55">
        <f>(INT(SUM($E$8:E48)/100)+1)</f>
        <v>7</v>
      </c>
      <c r="D48" s="29">
        <v>7</v>
      </c>
      <c r="E48" s="30">
        <f t="shared" si="3"/>
        <v>36</v>
      </c>
      <c r="F48" s="31">
        <v>1.8</v>
      </c>
      <c r="G48" s="30">
        <f t="shared" si="9"/>
        <v>3137.6160000000004</v>
      </c>
      <c r="H48" s="44">
        <f t="shared" si="10"/>
        <v>1454.1120000000001</v>
      </c>
      <c r="I48" s="46">
        <v>35.413533834586467</v>
      </c>
      <c r="K48" s="26">
        <v>6</v>
      </c>
      <c r="L48" s="53">
        <v>9606</v>
      </c>
      <c r="M48" s="51">
        <f t="shared" si="13"/>
        <v>2.4325145606482654</v>
      </c>
      <c r="N48" s="62">
        <f t="shared" si="11"/>
        <v>1601</v>
      </c>
      <c r="O48" s="61">
        <v>6</v>
      </c>
      <c r="P48" s="52"/>
      <c r="R48" s="59" t="s">
        <v>167</v>
      </c>
      <c r="S48" s="59"/>
      <c r="T48" s="59"/>
      <c r="U48" s="60">
        <f>SUM(U40:U47)</f>
        <v>495803</v>
      </c>
    </row>
    <row r="49" spans="2:18" x14ac:dyDescent="0.3">
      <c r="B49" s="38">
        <v>42</v>
      </c>
      <c r="C49" s="55">
        <f>(INT(SUM($E$8:E49)/100)+1)</f>
        <v>7</v>
      </c>
      <c r="D49" s="29">
        <v>7</v>
      </c>
      <c r="E49" s="30">
        <f t="shared" si="3"/>
        <v>38</v>
      </c>
      <c r="F49" s="31">
        <v>1.8</v>
      </c>
      <c r="G49" s="30">
        <f t="shared" si="9"/>
        <v>3311.9280000000003</v>
      </c>
      <c r="H49" s="44">
        <f t="shared" si="10"/>
        <v>1534.8960000000002</v>
      </c>
      <c r="I49" s="46">
        <v>37.333834586466168</v>
      </c>
      <c r="K49" s="26">
        <v>7</v>
      </c>
      <c r="L49" s="53">
        <v>23739</v>
      </c>
      <c r="M49" s="51">
        <f t="shared" si="13"/>
        <v>2.4712679575265457</v>
      </c>
      <c r="N49" s="62">
        <f t="shared" si="11"/>
        <v>4747</v>
      </c>
      <c r="O49" s="61">
        <v>5</v>
      </c>
      <c r="P49" s="52"/>
      <c r="R49" s="144" t="s">
        <v>168</v>
      </c>
    </row>
    <row r="50" spans="2:18" x14ac:dyDescent="0.3">
      <c r="B50" s="38">
        <v>43</v>
      </c>
      <c r="C50" s="55">
        <f>(INT(SUM($E$8:E50)/100)+1)</f>
        <v>7</v>
      </c>
      <c r="D50" s="34">
        <v>8</v>
      </c>
      <c r="E50" s="35">
        <f t="shared" si="3"/>
        <v>34</v>
      </c>
      <c r="F50" s="36">
        <v>1.8</v>
      </c>
      <c r="G50" s="32">
        <f t="shared" si="9"/>
        <v>3319.4880000000003</v>
      </c>
      <c r="H50" s="39">
        <f t="shared" si="10"/>
        <v>1559.3760000000002</v>
      </c>
      <c r="I50" s="46">
        <v>33.861398963730572</v>
      </c>
      <c r="L50" s="145" t="s">
        <v>134</v>
      </c>
      <c r="N50" s="144" t="s">
        <v>137</v>
      </c>
    </row>
    <row r="51" spans="2:18" x14ac:dyDescent="0.3">
      <c r="B51" s="37">
        <v>44</v>
      </c>
      <c r="C51" s="54">
        <f>(INT(SUM($E$8:E51)/100)+1)</f>
        <v>8</v>
      </c>
      <c r="D51" s="34">
        <v>8</v>
      </c>
      <c r="E51" s="35">
        <f t="shared" si="3"/>
        <v>36</v>
      </c>
      <c r="F51" s="36">
        <v>1.8</v>
      </c>
      <c r="G51" s="32">
        <f t="shared" si="9"/>
        <v>3514.7520000000004</v>
      </c>
      <c r="H51" s="39">
        <f t="shared" si="10"/>
        <v>1651.104</v>
      </c>
      <c r="I51" s="46">
        <v>35.611398963730572</v>
      </c>
    </row>
    <row r="52" spans="2:18" x14ac:dyDescent="0.3">
      <c r="B52" s="37">
        <v>45</v>
      </c>
      <c r="C52" s="54">
        <f>(INT(SUM($E$8:E52)/100)+1)</f>
        <v>8</v>
      </c>
      <c r="D52" s="34">
        <v>8</v>
      </c>
      <c r="E52" s="35">
        <f t="shared" si="3"/>
        <v>38</v>
      </c>
      <c r="F52" s="36">
        <v>1.8</v>
      </c>
      <c r="G52" s="32">
        <f t="shared" si="9"/>
        <v>3710.0160000000001</v>
      </c>
      <c r="H52" s="39">
        <f t="shared" si="10"/>
        <v>1742.8320000000001</v>
      </c>
      <c r="I52" s="46">
        <v>37.409326424870464</v>
      </c>
    </row>
    <row r="53" spans="2:18" x14ac:dyDescent="0.3">
      <c r="B53" s="38">
        <v>46</v>
      </c>
      <c r="C53" s="55">
        <f>(INT(SUM($E$8:E53)/100)+1)</f>
        <v>9</v>
      </c>
      <c r="D53" s="34">
        <v>8</v>
      </c>
      <c r="E53" s="35">
        <f t="shared" si="3"/>
        <v>40</v>
      </c>
      <c r="F53" s="36">
        <v>1.8</v>
      </c>
      <c r="G53" s="32">
        <f t="shared" si="9"/>
        <v>3905.2799999999997</v>
      </c>
      <c r="H53" s="39">
        <f t="shared" si="10"/>
        <v>1834.5600000000002</v>
      </c>
      <c r="I53" s="46">
        <v>39.256476683937827</v>
      </c>
    </row>
    <row r="54" spans="2:18" x14ac:dyDescent="0.3">
      <c r="B54" s="38">
        <v>47</v>
      </c>
      <c r="C54" s="55">
        <f>(INT(SUM($E$8:E54)/100)+1)</f>
        <v>9</v>
      </c>
      <c r="D54" s="34">
        <v>8</v>
      </c>
      <c r="E54" s="35">
        <f t="shared" si="3"/>
        <v>42</v>
      </c>
      <c r="F54" s="36">
        <v>1.8</v>
      </c>
      <c r="G54" s="32">
        <f t="shared" si="9"/>
        <v>4100.5439999999999</v>
      </c>
      <c r="H54" s="39">
        <f t="shared" si="10"/>
        <v>1926.2880000000002</v>
      </c>
      <c r="I54" s="46">
        <v>41.151554404145081</v>
      </c>
    </row>
    <row r="55" spans="2:18" x14ac:dyDescent="0.3">
      <c r="B55" s="38">
        <v>48</v>
      </c>
      <c r="C55" s="55">
        <f>(INT(SUM($E$8:E55)/100)+1)</f>
        <v>9</v>
      </c>
      <c r="D55" s="34">
        <v>8</v>
      </c>
      <c r="E55" s="35">
        <f t="shared" si="3"/>
        <v>44</v>
      </c>
      <c r="F55" s="36">
        <v>1.8</v>
      </c>
      <c r="G55" s="32">
        <f t="shared" si="9"/>
        <v>4295.808</v>
      </c>
      <c r="H55" s="39">
        <f t="shared" si="10"/>
        <v>2018.0160000000003</v>
      </c>
      <c r="I55" s="46">
        <v>43.097150259067355</v>
      </c>
    </row>
    <row r="56" spans="2:18" x14ac:dyDescent="0.3">
      <c r="B56" s="37">
        <v>49</v>
      </c>
      <c r="C56" s="54">
        <f>(INT(SUM($E$8:E56)/100)+1)</f>
        <v>10</v>
      </c>
      <c r="D56" s="34">
        <v>8</v>
      </c>
      <c r="E56" s="35">
        <f t="shared" si="3"/>
        <v>46</v>
      </c>
      <c r="F56" s="36">
        <v>1.8</v>
      </c>
      <c r="G56" s="32">
        <f t="shared" si="9"/>
        <v>4491.0720000000001</v>
      </c>
      <c r="H56" s="39">
        <f t="shared" si="10"/>
        <v>2109.7440000000001</v>
      </c>
      <c r="I56" s="46">
        <v>45.090673575129536</v>
      </c>
    </row>
    <row r="57" spans="2:18" x14ac:dyDescent="0.3">
      <c r="B57" s="37">
        <v>50</v>
      </c>
      <c r="C57" s="54">
        <f>(INT(SUM($E$8:E57)/100)+1)</f>
        <v>10</v>
      </c>
      <c r="D57" s="34">
        <v>8</v>
      </c>
      <c r="E57" s="35">
        <f>ROUNDUP(I57,0)</f>
        <v>48</v>
      </c>
      <c r="F57" s="36">
        <v>1.8</v>
      </c>
      <c r="G57" s="32">
        <f t="shared" si="9"/>
        <v>4686.3360000000002</v>
      </c>
      <c r="H57" s="39">
        <f t="shared" si="10"/>
        <v>2201.4720000000002</v>
      </c>
      <c r="I57" s="46">
        <v>47.134715025906736</v>
      </c>
    </row>
    <row r="58" spans="2:18" x14ac:dyDescent="0.3">
      <c r="B58" s="41" t="s">
        <v>88</v>
      </c>
      <c r="C58" s="41"/>
      <c r="D58" s="41">
        <v>8</v>
      </c>
      <c r="E58" s="42">
        <f>B4/3</f>
        <v>100</v>
      </c>
      <c r="F58" s="43">
        <v>1.8</v>
      </c>
      <c r="G58" s="45">
        <f t="shared" si="9"/>
        <v>9763.2000000000007</v>
      </c>
      <c r="H58" s="27">
        <f t="shared" si="10"/>
        <v>4586.4000000000005</v>
      </c>
    </row>
    <row r="59" spans="2:18" x14ac:dyDescent="0.3">
      <c r="B59" s="46" t="s">
        <v>89</v>
      </c>
    </row>
    <row r="60" spans="2:18" x14ac:dyDescent="0.3">
      <c r="B60" s="46" t="s">
        <v>90</v>
      </c>
    </row>
  </sheetData>
  <mergeCells count="45">
    <mergeCell ref="K41:K42"/>
    <mergeCell ref="L41:L42"/>
    <mergeCell ref="M41:M42"/>
    <mergeCell ref="N41:N42"/>
    <mergeCell ref="K30:K31"/>
    <mergeCell ref="O41:O42"/>
    <mergeCell ref="R6:R7"/>
    <mergeCell ref="L18:O18"/>
    <mergeCell ref="P18:P19"/>
    <mergeCell ref="R18:R19"/>
    <mergeCell ref="L30:L31"/>
    <mergeCell ref="M30:M31"/>
    <mergeCell ref="N30:N31"/>
    <mergeCell ref="O30:O31"/>
    <mergeCell ref="R2:S3"/>
    <mergeCell ref="T2:U3"/>
    <mergeCell ref="N4:O4"/>
    <mergeCell ref="R4:S4"/>
    <mergeCell ref="T4:U4"/>
    <mergeCell ref="T18:T19"/>
    <mergeCell ref="U18:U19"/>
    <mergeCell ref="V18:V19"/>
    <mergeCell ref="W18:W19"/>
    <mergeCell ref="U6:U7"/>
    <mergeCell ref="V6:V7"/>
    <mergeCell ref="W6:W7"/>
    <mergeCell ref="T6:T7"/>
    <mergeCell ref="S18:S19"/>
    <mergeCell ref="K6:K7"/>
    <mergeCell ref="L6:O6"/>
    <mergeCell ref="P6:P7"/>
    <mergeCell ref="S6:S7"/>
    <mergeCell ref="K18:K19"/>
    <mergeCell ref="B2:B3"/>
    <mergeCell ref="G2:G3"/>
    <mergeCell ref="H2:H3"/>
    <mergeCell ref="P2:P3"/>
    <mergeCell ref="B6:B7"/>
    <mergeCell ref="C6:C7"/>
    <mergeCell ref="D6:D7"/>
    <mergeCell ref="E6:E7"/>
    <mergeCell ref="G6:G7"/>
    <mergeCell ref="N2:O3"/>
    <mergeCell ref="F6:F7"/>
    <mergeCell ref="H6:H7"/>
  </mergeCells>
  <phoneticPr fontId="2" type="noConversion"/>
  <dataValidations count="1">
    <dataValidation type="list" allowBlank="1" showInputMessage="1" showErrorMessage="1" sqref="B4">
      <formula1>"100,200,300,400,463"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"/>
  <sheetViews>
    <sheetView workbookViewId="0">
      <selection activeCell="M21" sqref="M21"/>
    </sheetView>
  </sheetViews>
  <sheetFormatPr defaultRowHeight="12" x14ac:dyDescent="0.3"/>
  <cols>
    <col min="1" max="1" width="9" style="69"/>
    <col min="2" max="4" width="9.125" style="69" bestFit="1" customWidth="1"/>
    <col min="5" max="5" width="9.625" style="69" bestFit="1" customWidth="1"/>
    <col min="6" max="8" width="9.125" style="69" bestFit="1" customWidth="1"/>
    <col min="9" max="9" width="9" style="69"/>
    <col min="10" max="11" width="12" style="69" customWidth="1"/>
    <col min="12" max="12" width="9" style="69"/>
    <col min="13" max="20" width="9.125" style="69" bestFit="1" customWidth="1"/>
    <col min="21" max="16384" width="9" style="69"/>
  </cols>
  <sheetData>
    <row r="2" spans="2:21" x14ac:dyDescent="0.3">
      <c r="B2" s="70" t="s">
        <v>35</v>
      </c>
      <c r="C2" s="70"/>
      <c r="D2" s="70"/>
      <c r="E2" s="72"/>
      <c r="F2" s="70"/>
      <c r="G2" s="70"/>
      <c r="H2" s="72"/>
      <c r="I2" s="72"/>
      <c r="J2" s="70" t="s">
        <v>52</v>
      </c>
      <c r="K2" s="70"/>
      <c r="L2" s="72"/>
      <c r="M2" s="73" t="s">
        <v>53</v>
      </c>
      <c r="N2" s="70"/>
      <c r="O2" s="70"/>
      <c r="P2" s="70"/>
      <c r="Q2" s="72"/>
      <c r="R2" s="72"/>
      <c r="S2" s="72"/>
      <c r="T2" s="72"/>
      <c r="U2" s="72"/>
    </row>
    <row r="3" spans="2:21" ht="24" x14ac:dyDescent="0.3">
      <c r="B3" s="74" t="s">
        <v>36</v>
      </c>
      <c r="C3" s="74" t="s">
        <v>37</v>
      </c>
      <c r="D3" s="74" t="s">
        <v>38</v>
      </c>
      <c r="E3" s="75" t="s">
        <v>39</v>
      </c>
      <c r="F3" s="74" t="s">
        <v>40</v>
      </c>
      <c r="G3" s="76" t="s">
        <v>41</v>
      </c>
      <c r="H3" s="76" t="s">
        <v>42</v>
      </c>
      <c r="I3" s="72"/>
      <c r="J3" s="74" t="s">
        <v>23</v>
      </c>
      <c r="K3" s="14" t="s">
        <v>24</v>
      </c>
      <c r="L3" s="72"/>
      <c r="M3" s="75" t="s">
        <v>23</v>
      </c>
      <c r="N3" s="75" t="s">
        <v>49</v>
      </c>
      <c r="O3" s="74" t="s">
        <v>50</v>
      </c>
      <c r="P3" s="72"/>
      <c r="Q3" s="72"/>
      <c r="R3" s="72"/>
      <c r="S3" s="72"/>
      <c r="T3" s="72"/>
      <c r="U3" s="72"/>
    </row>
    <row r="4" spans="2:21" x14ac:dyDescent="0.3">
      <c r="B4" s="77" t="s">
        <v>43</v>
      </c>
      <c r="C4" s="78">
        <v>81.999700000000004</v>
      </c>
      <c r="D4" s="79">
        <v>82</v>
      </c>
      <c r="E4" s="79">
        <v>0</v>
      </c>
      <c r="F4" s="80">
        <v>82</v>
      </c>
      <c r="G4" s="81">
        <v>7134</v>
      </c>
      <c r="H4" s="81">
        <v>7134</v>
      </c>
      <c r="I4" s="72"/>
      <c r="J4" s="79" t="s">
        <v>25</v>
      </c>
      <c r="K4" s="81">
        <v>8138</v>
      </c>
      <c r="L4" s="72"/>
      <c r="M4" s="82">
        <v>3</v>
      </c>
      <c r="N4" s="81">
        <v>790</v>
      </c>
      <c r="O4" s="83">
        <v>87</v>
      </c>
      <c r="P4" s="72"/>
      <c r="Q4" s="72"/>
      <c r="R4" s="72"/>
      <c r="S4" s="72"/>
      <c r="T4" s="72"/>
      <c r="U4" s="72"/>
    </row>
    <row r="5" spans="2:21" x14ac:dyDescent="0.3">
      <c r="B5" s="77" t="s">
        <v>44</v>
      </c>
      <c r="C5" s="78">
        <v>12</v>
      </c>
      <c r="D5" s="79">
        <v>12</v>
      </c>
      <c r="E5" s="79">
        <v>0</v>
      </c>
      <c r="F5" s="80">
        <v>12</v>
      </c>
      <c r="G5" s="81">
        <v>2556</v>
      </c>
      <c r="H5" s="81">
        <v>2556</v>
      </c>
      <c r="I5" s="72"/>
      <c r="J5" s="79" t="s">
        <v>26</v>
      </c>
      <c r="K5" s="81">
        <v>20212</v>
      </c>
      <c r="L5" s="72"/>
      <c r="M5" s="82">
        <v>4</v>
      </c>
      <c r="N5" s="81">
        <v>1710</v>
      </c>
      <c r="O5" s="83">
        <v>213</v>
      </c>
      <c r="P5" s="72"/>
      <c r="Q5" s="72"/>
      <c r="R5" s="72"/>
      <c r="S5" s="72"/>
      <c r="T5" s="72"/>
      <c r="U5" s="72"/>
    </row>
    <row r="6" spans="2:21" x14ac:dyDescent="0.3">
      <c r="B6" s="77" t="s">
        <v>45</v>
      </c>
      <c r="C6" s="78">
        <v>5</v>
      </c>
      <c r="D6" s="79">
        <v>15</v>
      </c>
      <c r="E6" s="79">
        <v>2</v>
      </c>
      <c r="F6" s="80">
        <v>13</v>
      </c>
      <c r="G6" s="81">
        <v>7553</v>
      </c>
      <c r="H6" s="81">
        <v>8715</v>
      </c>
      <c r="I6" s="72"/>
      <c r="J6" s="79" t="s">
        <v>27</v>
      </c>
      <c r="K6" s="81">
        <v>25498</v>
      </c>
      <c r="L6" s="72"/>
      <c r="M6" s="82">
        <v>5</v>
      </c>
      <c r="N6" s="81">
        <v>4069</v>
      </c>
      <c r="O6" s="83">
        <v>581</v>
      </c>
      <c r="P6" s="72"/>
      <c r="Q6" s="72"/>
      <c r="R6" s="72"/>
      <c r="S6" s="72"/>
      <c r="T6" s="72"/>
      <c r="U6" s="72"/>
    </row>
    <row r="7" spans="2:21" x14ac:dyDescent="0.3">
      <c r="B7" s="77" t="s">
        <v>46</v>
      </c>
      <c r="C7" s="78">
        <v>1</v>
      </c>
      <c r="D7" s="84">
        <v>1</v>
      </c>
      <c r="E7" s="79">
        <v>1</v>
      </c>
      <c r="F7" s="80">
        <v>0</v>
      </c>
      <c r="G7" s="81">
        <v>0</v>
      </c>
      <c r="H7" s="81">
        <v>1684</v>
      </c>
      <c r="I7" s="72"/>
      <c r="J7" s="79" t="s">
        <v>28</v>
      </c>
      <c r="K7" s="85">
        <v>53848</v>
      </c>
      <c r="L7" s="72"/>
      <c r="M7" s="82">
        <v>6</v>
      </c>
      <c r="N7" s="81">
        <v>10106</v>
      </c>
      <c r="O7" s="83">
        <v>1684</v>
      </c>
      <c r="P7" s="72"/>
      <c r="Q7" s="72"/>
      <c r="R7" s="72"/>
      <c r="S7" s="72"/>
      <c r="T7" s="72"/>
      <c r="U7" s="72"/>
    </row>
    <row r="8" spans="2:21" x14ac:dyDescent="0.3">
      <c r="B8" s="77" t="s">
        <v>47</v>
      </c>
      <c r="C8" s="78">
        <v>2.9999999999999997E-4</v>
      </c>
      <c r="D8" s="79">
        <v>0</v>
      </c>
      <c r="E8" s="79">
        <v>0</v>
      </c>
      <c r="F8" s="80">
        <v>0</v>
      </c>
      <c r="G8" s="81">
        <v>0</v>
      </c>
      <c r="H8" s="81">
        <v>0</v>
      </c>
      <c r="I8" s="72"/>
      <c r="J8" s="72"/>
      <c r="K8" s="72"/>
      <c r="L8" s="72"/>
      <c r="M8" s="82">
        <v>7</v>
      </c>
      <c r="N8" s="81">
        <v>25498</v>
      </c>
      <c r="O8" s="83">
        <v>5099</v>
      </c>
      <c r="P8" s="72"/>
      <c r="Q8" s="72"/>
      <c r="R8" s="72"/>
      <c r="S8" s="72"/>
      <c r="T8" s="72"/>
      <c r="U8" s="72"/>
    </row>
    <row r="9" spans="2:21" x14ac:dyDescent="0.3">
      <c r="B9" s="70"/>
      <c r="C9" s="70"/>
      <c r="D9" s="72"/>
      <c r="E9" s="72"/>
      <c r="F9" s="72"/>
      <c r="G9" s="85">
        <v>17243</v>
      </c>
      <c r="H9" s="85">
        <v>20089</v>
      </c>
      <c r="I9" s="72"/>
      <c r="J9" s="86" t="s">
        <v>54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2:21" x14ac:dyDescent="0.3">
      <c r="B10" s="72"/>
      <c r="C10" s="72"/>
      <c r="D10" s="72"/>
      <c r="E10" s="72"/>
      <c r="F10" s="72"/>
      <c r="G10" s="72"/>
      <c r="H10" s="72"/>
      <c r="I10" s="72"/>
      <c r="J10" s="87" t="s">
        <v>55</v>
      </c>
      <c r="K10" s="88">
        <v>2.8221414704564687</v>
      </c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2:21" x14ac:dyDescent="0.3">
      <c r="B11" s="72"/>
      <c r="C11" s="72"/>
      <c r="D11" s="72"/>
      <c r="E11" s="72"/>
      <c r="F11" s="72"/>
      <c r="G11" s="72"/>
      <c r="H11" s="72"/>
      <c r="I11" s="72"/>
      <c r="J11" s="72"/>
      <c r="K11" s="89"/>
      <c r="L11" s="72"/>
      <c r="M11" s="72"/>
      <c r="N11" s="72"/>
      <c r="O11" s="72"/>
      <c r="P11" s="72"/>
      <c r="Q11" s="72"/>
      <c r="R11" s="72"/>
      <c r="S11" s="72"/>
      <c r="T11" s="72"/>
      <c r="U11" s="72"/>
    </row>
    <row r="12" spans="2:21" x14ac:dyDescent="0.3">
      <c r="B12" s="72"/>
      <c r="C12" s="72"/>
      <c r="D12" s="72"/>
      <c r="E12" s="72"/>
      <c r="F12" s="72"/>
      <c r="G12" s="72"/>
      <c r="H12" s="72"/>
      <c r="I12" s="72"/>
      <c r="J12" s="72"/>
      <c r="K12" s="89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2:21" x14ac:dyDescent="0.3">
      <c r="B13" s="70" t="s">
        <v>56</v>
      </c>
      <c r="C13" s="70"/>
      <c r="D13" s="70"/>
      <c r="E13" s="72"/>
      <c r="F13" s="70"/>
      <c r="G13" s="70"/>
      <c r="H13" s="72"/>
      <c r="I13" s="72"/>
      <c r="J13" s="70" t="s">
        <v>57</v>
      </c>
      <c r="K13" s="72"/>
      <c r="L13" s="72"/>
      <c r="M13" s="70" t="s">
        <v>58</v>
      </c>
      <c r="N13" s="70"/>
      <c r="O13" s="90"/>
      <c r="P13" s="90"/>
      <c r="Q13" s="90"/>
      <c r="R13" s="90"/>
      <c r="S13" s="90"/>
      <c r="T13" s="70"/>
      <c r="U13" s="70"/>
    </row>
    <row r="14" spans="2:21" ht="24" x14ac:dyDescent="0.3">
      <c r="B14" s="74" t="s">
        <v>36</v>
      </c>
      <c r="C14" s="74" t="s">
        <v>37</v>
      </c>
      <c r="D14" s="74" t="s">
        <v>38</v>
      </c>
      <c r="E14" s="74" t="s">
        <v>59</v>
      </c>
      <c r="F14" s="74" t="s">
        <v>40</v>
      </c>
      <c r="G14" s="75" t="s">
        <v>60</v>
      </c>
      <c r="H14" s="75" t="s">
        <v>60</v>
      </c>
      <c r="I14" s="72"/>
      <c r="J14" s="91" t="s">
        <v>23</v>
      </c>
      <c r="K14" s="14" t="s">
        <v>24</v>
      </c>
      <c r="L14" s="72"/>
      <c r="M14" s="74" t="s">
        <v>23</v>
      </c>
      <c r="N14" s="74">
        <v>1</v>
      </c>
      <c r="O14" s="74">
        <v>2</v>
      </c>
      <c r="P14" s="74">
        <v>3</v>
      </c>
      <c r="Q14" s="74">
        <v>4</v>
      </c>
      <c r="R14" s="74">
        <v>5</v>
      </c>
      <c r="S14" s="74">
        <v>6</v>
      </c>
      <c r="T14" s="74">
        <v>7</v>
      </c>
      <c r="U14" s="72"/>
    </row>
    <row r="15" spans="2:21" x14ac:dyDescent="0.3">
      <c r="B15" s="77" t="s">
        <v>43</v>
      </c>
      <c r="C15" s="78">
        <v>64.3</v>
      </c>
      <c r="D15" s="79">
        <v>64</v>
      </c>
      <c r="E15" s="79">
        <v>0</v>
      </c>
      <c r="F15" s="79">
        <v>64</v>
      </c>
      <c r="G15" s="81">
        <v>64</v>
      </c>
      <c r="H15" s="81">
        <v>64</v>
      </c>
      <c r="I15" s="72"/>
      <c r="J15" s="79" t="s">
        <v>25</v>
      </c>
      <c r="K15" s="83">
        <v>80.321285140562253</v>
      </c>
      <c r="L15" s="72"/>
      <c r="M15" s="92">
        <v>1</v>
      </c>
      <c r="N15" s="93">
        <v>4.8780487804878057</v>
      </c>
      <c r="O15" s="94"/>
      <c r="P15" s="94"/>
      <c r="Q15" s="94"/>
      <c r="R15" s="94"/>
      <c r="S15" s="94"/>
      <c r="T15" s="94"/>
      <c r="U15" s="72"/>
    </row>
    <row r="16" spans="2:21" x14ac:dyDescent="0.3">
      <c r="B16" s="77" t="s">
        <v>44</v>
      </c>
      <c r="C16" s="78">
        <v>30</v>
      </c>
      <c r="D16" s="79">
        <v>30</v>
      </c>
      <c r="E16" s="79">
        <v>0</v>
      </c>
      <c r="F16" s="79">
        <v>30</v>
      </c>
      <c r="G16" s="81">
        <v>108.60759493670885</v>
      </c>
      <c r="H16" s="81">
        <v>108.60759493670885</v>
      </c>
      <c r="I16" s="72"/>
      <c r="J16" s="79" t="s">
        <v>26</v>
      </c>
      <c r="K16" s="83">
        <v>201.00502512562812</v>
      </c>
      <c r="L16" s="72"/>
      <c r="M16" s="92">
        <v>2</v>
      </c>
      <c r="N16" s="93">
        <v>10.735373054213634</v>
      </c>
      <c r="O16" s="93">
        <v>5.4112554112554108</v>
      </c>
      <c r="P16" s="94"/>
      <c r="Q16" s="94"/>
      <c r="R16" s="94"/>
      <c r="S16" s="94"/>
      <c r="T16" s="94"/>
      <c r="U16" s="72"/>
    </row>
    <row r="17" spans="2:22" x14ac:dyDescent="0.3">
      <c r="B17" s="77" t="s">
        <v>45</v>
      </c>
      <c r="C17" s="78">
        <v>5</v>
      </c>
      <c r="D17" s="79">
        <v>5</v>
      </c>
      <c r="E17" s="79">
        <v>0</v>
      </c>
      <c r="F17" s="79">
        <v>5</v>
      </c>
      <c r="G17" s="81">
        <v>40.822784810126578</v>
      </c>
      <c r="H17" s="81">
        <v>40.822784810126578</v>
      </c>
      <c r="I17" s="72"/>
      <c r="J17" s="79" t="s">
        <v>27</v>
      </c>
      <c r="K17" s="83">
        <v>253.1645569620253</v>
      </c>
      <c r="L17" s="72"/>
      <c r="M17" s="92">
        <v>3</v>
      </c>
      <c r="N17" s="93">
        <v>32.206119162640903</v>
      </c>
      <c r="O17" s="93">
        <v>16.233766233766232</v>
      </c>
      <c r="P17" s="93">
        <v>6.0186578393018362</v>
      </c>
      <c r="Q17" s="94"/>
      <c r="R17" s="94"/>
      <c r="S17" s="94"/>
      <c r="T17" s="94"/>
      <c r="U17" s="72"/>
      <c r="V17" s="72"/>
    </row>
    <row r="18" spans="2:22" x14ac:dyDescent="0.3">
      <c r="B18" s="77" t="s">
        <v>46</v>
      </c>
      <c r="C18" s="78">
        <v>0.6</v>
      </c>
      <c r="D18" s="84">
        <v>11</v>
      </c>
      <c r="E18" s="79">
        <v>2</v>
      </c>
      <c r="F18" s="79">
        <v>9</v>
      </c>
      <c r="G18" s="81">
        <v>165.41772151898732</v>
      </c>
      <c r="H18" s="81">
        <v>202.17721518987341</v>
      </c>
      <c r="I18" s="72"/>
      <c r="J18" s="79" t="s">
        <v>28</v>
      </c>
      <c r="K18" s="85">
        <v>534.49086722821562</v>
      </c>
      <c r="L18" s="72"/>
      <c r="M18" s="92">
        <v>4</v>
      </c>
      <c r="N18" s="93">
        <v>86.206896551724128</v>
      </c>
      <c r="O18" s="93">
        <v>43.290043290043286</v>
      </c>
      <c r="P18" s="93">
        <v>16.051364365971107</v>
      </c>
      <c r="Q18" s="93">
        <v>4.4622936189201248</v>
      </c>
      <c r="R18" s="94"/>
      <c r="S18" s="94"/>
      <c r="T18" s="94"/>
      <c r="U18" s="72"/>
      <c r="V18" s="72"/>
    </row>
    <row r="19" spans="2:22" x14ac:dyDescent="0.3">
      <c r="B19" s="77" t="s">
        <v>47</v>
      </c>
      <c r="C19" s="78">
        <v>0.1</v>
      </c>
      <c r="D19" s="79">
        <v>0</v>
      </c>
      <c r="E19" s="79">
        <v>0</v>
      </c>
      <c r="F19" s="79">
        <v>0</v>
      </c>
      <c r="G19" s="81">
        <v>0</v>
      </c>
      <c r="H19" s="81">
        <v>0</v>
      </c>
      <c r="I19" s="72"/>
      <c r="J19" s="72"/>
      <c r="K19" s="72"/>
      <c r="L19" s="72"/>
      <c r="M19" s="92">
        <v>5</v>
      </c>
      <c r="N19" s="93">
        <v>215.05376344086022</v>
      </c>
      <c r="O19" s="93">
        <v>108.69565217391305</v>
      </c>
      <c r="P19" s="93">
        <v>40.160642570281126</v>
      </c>
      <c r="Q19" s="93">
        <v>11.154489682097045</v>
      </c>
      <c r="R19" s="93">
        <v>4.9578582052553299</v>
      </c>
      <c r="S19" s="94"/>
      <c r="T19" s="94"/>
      <c r="U19" s="72"/>
      <c r="V19" s="72"/>
    </row>
    <row r="20" spans="2:22" x14ac:dyDescent="0.3">
      <c r="B20" s="70" t="s">
        <v>61</v>
      </c>
      <c r="C20" s="70"/>
      <c r="D20" s="72"/>
      <c r="E20" s="72"/>
      <c r="F20" s="72"/>
      <c r="G20" s="85">
        <v>378.84810126582272</v>
      </c>
      <c r="H20" s="85">
        <v>415.60759493670878</v>
      </c>
      <c r="I20" s="72"/>
      <c r="J20" s="86" t="s">
        <v>54</v>
      </c>
      <c r="K20" s="72"/>
      <c r="L20" s="72"/>
      <c r="M20" s="92">
        <v>6</v>
      </c>
      <c r="N20" s="93">
        <v>540.54054054054052</v>
      </c>
      <c r="O20" s="93">
        <v>273.97260273972603</v>
      </c>
      <c r="P20" s="93">
        <v>100.50251256281406</v>
      </c>
      <c r="Q20" s="93">
        <v>27.894002789400279</v>
      </c>
      <c r="R20" s="93">
        <v>12.399256044637323</v>
      </c>
      <c r="S20" s="93">
        <v>3.6717459151826692</v>
      </c>
      <c r="T20" s="94"/>
      <c r="U20" s="72"/>
      <c r="V20" s="72"/>
    </row>
    <row r="21" spans="2:22" x14ac:dyDescent="0.3">
      <c r="B21" s="72"/>
      <c r="C21" s="72"/>
      <c r="D21" s="72"/>
      <c r="E21" s="72"/>
      <c r="F21" s="72"/>
      <c r="G21" s="72"/>
      <c r="H21" s="72"/>
      <c r="I21" s="72"/>
      <c r="J21" s="87" t="s">
        <v>55</v>
      </c>
      <c r="K21" s="95">
        <v>1.3744945180467529</v>
      </c>
      <c r="L21" s="72"/>
      <c r="M21" s="92">
        <v>7</v>
      </c>
      <c r="N21" s="93">
        <v>1428.5714285714284</v>
      </c>
      <c r="O21" s="93">
        <v>689.65517241379303</v>
      </c>
      <c r="P21" s="93">
        <v>253.1645569620253</v>
      </c>
      <c r="Q21" s="93">
        <v>69.930069930069934</v>
      </c>
      <c r="R21" s="93">
        <v>31.007751937984494</v>
      </c>
      <c r="S21" s="93">
        <v>13.774104683195592</v>
      </c>
      <c r="T21" s="93">
        <v>6.119951040391677</v>
      </c>
      <c r="U21" s="72"/>
      <c r="V21" s="72"/>
    </row>
    <row r="22" spans="2:22" x14ac:dyDescent="0.3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6" t="s">
        <v>62</v>
      </c>
      <c r="P22" s="72"/>
      <c r="Q22" s="97">
        <v>3.6202531645569618</v>
      </c>
      <c r="R22" s="97">
        <v>8.1645569620253156</v>
      </c>
      <c r="S22" s="97">
        <v>18.379746835443036</v>
      </c>
      <c r="T22" s="70"/>
      <c r="U22" s="72"/>
      <c r="V22" s="72"/>
    </row>
    <row r="23" spans="2:22" x14ac:dyDescent="0.3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96" t="s">
        <v>63</v>
      </c>
      <c r="N23" s="72"/>
      <c r="O23" s="72"/>
      <c r="P23" s="72"/>
      <c r="Q23" s="72"/>
      <c r="R23" s="72"/>
      <c r="S23" s="72"/>
      <c r="T23" s="72"/>
      <c r="U23" s="72"/>
      <c r="V23" s="72"/>
    </row>
    <row r="24" spans="2:22" x14ac:dyDescent="0.3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96"/>
      <c r="N24" s="72"/>
      <c r="O24" s="72"/>
      <c r="P24" s="72"/>
      <c r="Q24" s="72"/>
      <c r="R24" s="72"/>
      <c r="S24" s="72"/>
      <c r="T24" s="72"/>
      <c r="U24" s="72"/>
      <c r="V24" s="72"/>
    </row>
    <row r="25" spans="2:22" x14ac:dyDescent="0.3">
      <c r="B25" s="96" t="s">
        <v>64</v>
      </c>
      <c r="C25" s="72"/>
      <c r="D25" s="72"/>
      <c r="E25" s="96" t="s">
        <v>65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</row>
    <row r="26" spans="2:22" x14ac:dyDescent="0.3">
      <c r="B26" s="74" t="s">
        <v>66</v>
      </c>
      <c r="C26" s="74" t="s">
        <v>67</v>
      </c>
      <c r="D26" s="72"/>
      <c r="E26" s="74" t="s">
        <v>68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94"/>
    </row>
    <row r="27" spans="2:22" x14ac:dyDescent="0.3">
      <c r="B27" s="81">
        <v>30000</v>
      </c>
      <c r="C27" s="98">
        <v>264000</v>
      </c>
      <c r="D27" s="72"/>
      <c r="E27" s="99">
        <v>5960362.7856040616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</row>
    <row r="29" spans="2:22" x14ac:dyDescent="0.3">
      <c r="B29" s="96" t="s">
        <v>69</v>
      </c>
      <c r="C29" s="72"/>
      <c r="D29" s="72"/>
      <c r="E29" s="96" t="s">
        <v>65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</row>
    <row r="30" spans="2:22" x14ac:dyDescent="0.3">
      <c r="B30" s="74" t="s">
        <v>66</v>
      </c>
      <c r="C30" s="74" t="s">
        <v>67</v>
      </c>
      <c r="D30" s="72"/>
      <c r="E30" s="74" t="s">
        <v>70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</row>
    <row r="31" spans="2:22" x14ac:dyDescent="0.3">
      <c r="B31" s="81">
        <v>30000</v>
      </c>
      <c r="C31" s="98">
        <v>264000</v>
      </c>
      <c r="D31" s="72"/>
      <c r="E31" s="99">
        <v>2902932.422114742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종합</vt:lpstr>
      <vt:lpstr>시뮬레이션-액트별 등급 확률개선</vt:lpstr>
      <vt:lpstr>녹스&amp;히트(현재) 뽑기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taeheon</dc:creator>
  <cp:lastModifiedBy>KangDoHee</cp:lastModifiedBy>
  <dcterms:created xsi:type="dcterms:W3CDTF">2017-02-06T10:11:47Z</dcterms:created>
  <dcterms:modified xsi:type="dcterms:W3CDTF">2017-02-07T10:58:57Z</dcterms:modified>
</cp:coreProperties>
</file>