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H:\JW_Work\13. 유료화\"/>
    </mc:Choice>
  </mc:AlternateContent>
  <bookViews>
    <workbookView xWindow="0" yWindow="0" windowWidth="28800" windowHeight="14775" activeTab="1"/>
  </bookViews>
  <sheets>
    <sheet name="컨텐츠 가격" sheetId="1" r:id="rId1"/>
    <sheet name="장비 Simul" sheetId="3" r:id="rId2"/>
    <sheet name="룬스톤 Simul" sheetId="4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H8" i="3"/>
  <c r="H13" i="3"/>
  <c r="H23" i="1" l="1"/>
  <c r="G8" i="3" l="1"/>
  <c r="N26" i="4" l="1"/>
  <c r="D11" i="4"/>
  <c r="D10" i="4"/>
  <c r="E10" i="4" s="1"/>
  <c r="D9" i="4"/>
  <c r="D8" i="4"/>
  <c r="D7" i="4"/>
  <c r="E7" i="4"/>
  <c r="E8" i="4"/>
  <c r="E11" i="4"/>
  <c r="E3" i="4"/>
  <c r="H3" i="4"/>
  <c r="H15" i="1"/>
  <c r="H14" i="1"/>
  <c r="I13" i="1"/>
  <c r="H13" i="1"/>
  <c r="D22" i="3"/>
  <c r="H22" i="3" s="1"/>
  <c r="L3" i="4"/>
  <c r="K3" i="4"/>
  <c r="L23" i="4"/>
  <c r="L22" i="4"/>
  <c r="M22" i="4" s="1"/>
  <c r="L21" i="4"/>
  <c r="L20" i="4"/>
  <c r="L19" i="4"/>
  <c r="M19" i="4" s="1"/>
  <c r="P20" i="4"/>
  <c r="N14" i="4"/>
  <c r="P9" i="4"/>
  <c r="P8" i="4"/>
  <c r="F26" i="4"/>
  <c r="H20" i="4"/>
  <c r="D23" i="4"/>
  <c r="D22" i="4"/>
  <c r="D21" i="4"/>
  <c r="E21" i="4" s="1"/>
  <c r="D20" i="4"/>
  <c r="D19" i="4"/>
  <c r="E19" i="4" s="1"/>
  <c r="E23" i="4"/>
  <c r="E22" i="4"/>
  <c r="E20" i="4"/>
  <c r="H11" i="4"/>
  <c r="H10" i="4"/>
  <c r="H9" i="4"/>
  <c r="H8" i="4"/>
  <c r="E9" i="4"/>
  <c r="L11" i="4"/>
  <c r="L10" i="4"/>
  <c r="L9" i="4"/>
  <c r="M9" i="4" s="1"/>
  <c r="M12" i="4" s="1"/>
  <c r="L8" i="4"/>
  <c r="L7" i="4"/>
  <c r="M7" i="4" s="1"/>
  <c r="M11" i="4"/>
  <c r="M10" i="4"/>
  <c r="M8" i="4"/>
  <c r="K27" i="4"/>
  <c r="M23" i="4"/>
  <c r="M21" i="4"/>
  <c r="M20" i="4"/>
  <c r="K15" i="4"/>
  <c r="I3" i="4" s="1"/>
  <c r="I14" i="1" s="1"/>
  <c r="C27" i="4"/>
  <c r="F3" i="4" s="1"/>
  <c r="I15" i="1" s="1"/>
  <c r="C15" i="4"/>
  <c r="C52" i="3"/>
  <c r="D48" i="3"/>
  <c r="H48" i="3" s="1"/>
  <c r="D47" i="3"/>
  <c r="H47" i="3" s="1"/>
  <c r="D46" i="3"/>
  <c r="H46" i="3" s="1"/>
  <c r="D45" i="3"/>
  <c r="H45" i="3" s="1"/>
  <c r="K44" i="3"/>
  <c r="K46" i="3" s="1"/>
  <c r="D44" i="3"/>
  <c r="F44" i="3" s="1"/>
  <c r="G44" i="3" s="1"/>
  <c r="G49" i="3" s="1"/>
  <c r="C40" i="3"/>
  <c r="D36" i="3"/>
  <c r="F36" i="3" s="1"/>
  <c r="H35" i="3"/>
  <c r="F35" i="3"/>
  <c r="D35" i="3"/>
  <c r="D34" i="3"/>
  <c r="H34" i="3" s="1"/>
  <c r="K33" i="3"/>
  <c r="D33" i="3"/>
  <c r="H33" i="3" s="1"/>
  <c r="K32" i="3"/>
  <c r="H32" i="3"/>
  <c r="F32" i="3"/>
  <c r="G32" i="3" s="1"/>
  <c r="G37" i="3" s="1"/>
  <c r="D32" i="3"/>
  <c r="C28" i="3"/>
  <c r="D24" i="3"/>
  <c r="H24" i="3" s="1"/>
  <c r="D23" i="3"/>
  <c r="H23" i="3" s="1"/>
  <c r="D21" i="3"/>
  <c r="H21" i="3" s="1"/>
  <c r="K20" i="3"/>
  <c r="K21" i="3" s="1"/>
  <c r="D20" i="3"/>
  <c r="F20" i="3" s="1"/>
  <c r="G20" i="3" s="1"/>
  <c r="C16" i="3"/>
  <c r="D12" i="3"/>
  <c r="H12" i="3" s="1"/>
  <c r="F11" i="3"/>
  <c r="G11" i="3" s="1"/>
  <c r="D11" i="3"/>
  <c r="H11" i="3" s="1"/>
  <c r="D10" i="3"/>
  <c r="H10" i="3" s="1"/>
  <c r="K9" i="3"/>
  <c r="D9" i="3"/>
  <c r="F9" i="3" s="1"/>
  <c r="G9" i="3" s="1"/>
  <c r="K8" i="3"/>
  <c r="D8" i="3"/>
  <c r="K10" i="3" l="1"/>
  <c r="M24" i="4"/>
  <c r="H22" i="4"/>
  <c r="H21" i="4"/>
  <c r="E24" i="4"/>
  <c r="E12" i="4"/>
  <c r="F10" i="3"/>
  <c r="G10" i="3" s="1"/>
  <c r="F24" i="3"/>
  <c r="G24" i="3" s="1"/>
  <c r="H20" i="3"/>
  <c r="F23" i="3"/>
  <c r="G23" i="3" s="1"/>
  <c r="H36" i="3"/>
  <c r="H37" i="3" s="1"/>
  <c r="F39" i="3" s="1"/>
  <c r="H4" i="3" s="1"/>
  <c r="H6" i="1" s="1"/>
  <c r="H44" i="3"/>
  <c r="H49" i="3" s="1"/>
  <c r="F51" i="3" s="1"/>
  <c r="F22" i="3"/>
  <c r="G22" i="3" s="1"/>
  <c r="F12" i="3"/>
  <c r="G12" i="3" s="1"/>
  <c r="F21" i="3"/>
  <c r="G21" i="3" s="1"/>
  <c r="H25" i="3"/>
  <c r="F8" i="3"/>
  <c r="F48" i="3"/>
  <c r="F47" i="3"/>
  <c r="G25" i="3" l="1"/>
  <c r="F27" i="3" s="1"/>
  <c r="E4" i="3" s="1"/>
  <c r="H7" i="1" s="1"/>
  <c r="G13" i="3"/>
  <c r="F15" i="3" s="1"/>
  <c r="B4" i="3" s="1"/>
  <c r="K4" i="3"/>
  <c r="H5" i="1" s="1"/>
  <c r="L4" i="3"/>
  <c r="I5" i="1" s="1"/>
  <c r="I4" i="3"/>
  <c r="I6" i="1" s="1"/>
  <c r="I20" i="1" l="1"/>
  <c r="I21" i="1"/>
  <c r="C4" i="3"/>
  <c r="I8" i="1" s="1"/>
  <c r="F4" i="3"/>
  <c r="I7" i="1" l="1"/>
  <c r="I22" i="1"/>
  <c r="I23" i="1" s="1"/>
  <c r="H24" i="1" s="1"/>
  <c r="H8" i="1"/>
  <c r="F14" i="4" l="1"/>
  <c r="C3" i="4" s="1"/>
  <c r="I16" i="1" s="1"/>
  <c r="B3" i="4" l="1"/>
  <c r="H16" i="1" s="1"/>
</calcChain>
</file>

<file path=xl/sharedStrings.xml><?xml version="1.0" encoding="utf-8"?>
<sst xmlns="http://schemas.openxmlformats.org/spreadsheetml/2006/main" count="292" uniqueCount="142">
  <si>
    <t>ShopGemCharge</t>
  </si>
  <si>
    <t>ShopGoldExchange</t>
  </si>
  <si>
    <t>ShopAdmissionBuy</t>
  </si>
  <si>
    <t>30000 Gold</t>
  </si>
  <si>
    <t>70000 Gold</t>
  </si>
  <si>
    <t>150000 Gold</t>
  </si>
  <si>
    <t>450000 Gold</t>
  </si>
  <si>
    <t>1050000 Gold</t>
  </si>
  <si>
    <t>2400000 Gold</t>
  </si>
  <si>
    <t>열쇠 10 개</t>
  </si>
  <si>
    <t>열쇠 25 개</t>
  </si>
  <si>
    <t>열쇠 65 개</t>
  </si>
  <si>
    <t>열쇠 140 개</t>
  </si>
  <si>
    <t>열쇠 300 개</t>
  </si>
  <si>
    <t>ShopGacha</t>
  </si>
  <si>
    <t>List</t>
    <phoneticPr fontId="4" type="noConversion"/>
  </si>
  <si>
    <t>고급 장비 1회 뽑기</t>
  </si>
  <si>
    <t>고급 룬스톤 1회 뽑기</t>
  </si>
  <si>
    <t>유일 장비</t>
    <phoneticPr fontId="4" type="noConversion"/>
  </si>
  <si>
    <t>영웅 장비</t>
    <phoneticPr fontId="4" type="noConversion"/>
  </si>
  <si>
    <t>전설 장비</t>
    <phoneticPr fontId="4" type="noConversion"/>
  </si>
  <si>
    <t>불멸 장비</t>
    <phoneticPr fontId="4" type="noConversion"/>
  </si>
  <si>
    <t>유일 룬스톤</t>
  </si>
  <si>
    <t>영웅 룬스톤</t>
  </si>
  <si>
    <t>전설 룬스톤</t>
  </si>
  <si>
    <t>불멸 룬스톤</t>
  </si>
  <si>
    <t>희귀 장비</t>
    <phoneticPr fontId="4" type="noConversion"/>
  </si>
  <si>
    <t>희귀 룬스톤</t>
    <phoneticPr fontId="4" type="noConversion"/>
  </si>
  <si>
    <t>Equip Item</t>
    <phoneticPr fontId="4" type="noConversion"/>
  </si>
  <si>
    <t>Rune Stone</t>
    <phoneticPr fontId="4" type="noConversion"/>
  </si>
  <si>
    <t>Promotion Stone</t>
    <phoneticPr fontId="4" type="noConversion"/>
  </si>
  <si>
    <t>당청 등급</t>
    <phoneticPr fontId="4" type="noConversion"/>
  </si>
  <si>
    <t>확률(%)</t>
    <phoneticPr fontId="4" type="noConversion"/>
  </si>
  <si>
    <t>6성 합성용
필요 장비 수</t>
    <phoneticPr fontId="4" type="noConversion"/>
  </si>
  <si>
    <t>잉여수량</t>
    <phoneticPr fontId="4" type="noConversion"/>
  </si>
  <si>
    <t>잉여 장비
정수 분해</t>
    <phoneticPr fontId="4" type="noConversion"/>
  </si>
  <si>
    <t>정상 장비
정수 분해</t>
    <phoneticPr fontId="4" type="noConversion"/>
  </si>
  <si>
    <t>등급</t>
    <phoneticPr fontId="4" type="noConversion"/>
  </si>
  <si>
    <t>풀강화 
필요 정수량</t>
    <phoneticPr fontId="4" type="noConversion"/>
  </si>
  <si>
    <t>풀강화
정수량</t>
    <phoneticPr fontId="4" type="noConversion"/>
  </si>
  <si>
    <t>분해</t>
    <phoneticPr fontId="4" type="noConversion"/>
  </si>
  <si>
    <t>3성 확률</t>
    <phoneticPr fontId="4" type="noConversion"/>
  </si>
  <si>
    <t>5성 2종 풀강화</t>
    <phoneticPr fontId="4" type="noConversion"/>
  </si>
  <si>
    <t>4성 확률</t>
  </si>
  <si>
    <t>합계</t>
    <phoneticPr fontId="4" type="noConversion"/>
  </si>
  <si>
    <t>5성 확률</t>
  </si>
  <si>
    <t>6성 확률</t>
  </si>
  <si>
    <t>7성 확률</t>
  </si>
  <si>
    <t>&gt; 6성 장비 완성 결제 금액</t>
    <phoneticPr fontId="4" type="noConversion"/>
  </si>
  <si>
    <t>결제 가격(\)</t>
    <phoneticPr fontId="4" type="noConversion"/>
  </si>
  <si>
    <t>가격(\)</t>
    <phoneticPr fontId="4" type="noConversion"/>
  </si>
  <si>
    <t>&gt; 녹스 - 고급 10+1 뽑기로 6성 획득(+1 5성 확정 포함)</t>
    <phoneticPr fontId="4" type="noConversion"/>
  </si>
  <si>
    <t>3성 확률</t>
    <phoneticPr fontId="4" type="noConversion"/>
  </si>
  <si>
    <t>1 10회 뽑기</t>
    <phoneticPr fontId="4" type="noConversion"/>
  </si>
  <si>
    <t>5성 합성용
필요 장비 수</t>
    <phoneticPr fontId="4" type="noConversion"/>
  </si>
  <si>
    <t>3성 확률</t>
    <phoneticPr fontId="4" type="noConversion"/>
  </si>
  <si>
    <t>4성 2종 풀강화</t>
    <phoneticPr fontId="4" type="noConversion"/>
  </si>
  <si>
    <t>합계</t>
    <phoneticPr fontId="4" type="noConversion"/>
  </si>
  <si>
    <t>&gt; 5성 장비 완성 결제 금액</t>
    <phoneticPr fontId="4" type="noConversion"/>
  </si>
  <si>
    <t>*고급 장비 10+1 뽑기의 +1을 5성 획득하는 것이 더 효율이 높음</t>
    <phoneticPr fontId="4" type="noConversion"/>
  </si>
  <si>
    <t>&gt; 녹스 - 고급 뽑기로 4성 획득</t>
    <phoneticPr fontId="4" type="noConversion"/>
  </si>
  <si>
    <t>1 5회 뽑기</t>
    <phoneticPr fontId="4" type="noConversion"/>
  </si>
  <si>
    <t>등급</t>
    <phoneticPr fontId="4" type="noConversion"/>
  </si>
  <si>
    <t>풀강화
정수량</t>
    <phoneticPr fontId="4" type="noConversion"/>
  </si>
  <si>
    <t>분해</t>
    <phoneticPr fontId="4" type="noConversion"/>
  </si>
  <si>
    <t>3성 2종 풀강화</t>
    <phoneticPr fontId="4" type="noConversion"/>
  </si>
  <si>
    <t>&gt; 5성 획득을 위한 고급 뽑기 횟수</t>
    <phoneticPr fontId="4" type="noConversion"/>
  </si>
  <si>
    <t>&gt; 4성 장비 완성 결제 금액</t>
    <phoneticPr fontId="4" type="noConversion"/>
  </si>
  <si>
    <t>결제 가격(\)</t>
    <phoneticPr fontId="4" type="noConversion"/>
  </si>
  <si>
    <t>가격(\)</t>
    <phoneticPr fontId="4" type="noConversion"/>
  </si>
  <si>
    <t>3성 환산 수량</t>
    <phoneticPr fontId="4" type="noConversion"/>
  </si>
  <si>
    <t>3 -&gt; 4성 승급</t>
    <phoneticPr fontId="4" type="noConversion"/>
  </si>
  <si>
    <t>4 -&gt; 5성 승급</t>
    <phoneticPr fontId="4" type="noConversion"/>
  </si>
  <si>
    <t>합계</t>
    <phoneticPr fontId="4" type="noConversion"/>
  </si>
  <si>
    <t>6성 2종 풀강화</t>
    <phoneticPr fontId="4" type="noConversion"/>
  </si>
  <si>
    <t>10+1 10회 뽑기</t>
    <phoneticPr fontId="4" type="noConversion"/>
  </si>
  <si>
    <t>5성 2종 풀강화</t>
    <phoneticPr fontId="4" type="noConversion"/>
  </si>
  <si>
    <t>필요 다이아</t>
    <phoneticPr fontId="4" type="noConversion"/>
  </si>
  <si>
    <t>&gt; 녹스 - 고급 10+1 뽑기로 7성 획득(+1 5성 확정 포함)</t>
    <phoneticPr fontId="4" type="noConversion"/>
  </si>
  <si>
    <t>&gt; 7성 장비 완성 결제 금액</t>
    <phoneticPr fontId="4" type="noConversion"/>
  </si>
  <si>
    <t>&gt; 녹스 - 고급 뽑기로 5성 획득</t>
    <phoneticPr fontId="4" type="noConversion"/>
  </si>
  <si>
    <t>5 -&gt; 6성 승급</t>
    <phoneticPr fontId="4" type="noConversion"/>
  </si>
  <si>
    <t>6 -&gt; 7성 승급</t>
    <phoneticPr fontId="4" type="noConversion"/>
  </si>
  <si>
    <t>필요 3성 수량</t>
    <phoneticPr fontId="4" type="noConversion"/>
  </si>
  <si>
    <t>&gt; 7성 획득을 위한 고급 뽑기 횟수</t>
    <phoneticPr fontId="4" type="noConversion"/>
  </si>
  <si>
    <t>10+1 1회 뽑기</t>
    <phoneticPr fontId="4" type="noConversion"/>
  </si>
  <si>
    <t>&gt; 6성 획득을 위한 고급 뽑기 횟수</t>
    <phoneticPr fontId="4" type="noConversion"/>
  </si>
  <si>
    <t>1 2회 뽑기</t>
    <phoneticPr fontId="4" type="noConversion"/>
  </si>
  <si>
    <t>10+1 2회 뽑기</t>
    <phoneticPr fontId="4" type="noConversion"/>
  </si>
  <si>
    <t>&gt; 7성 풀강화를 위한 10+1 10회 뽑기 횟수</t>
    <phoneticPr fontId="4" type="noConversion"/>
  </si>
  <si>
    <t>뽑기 횟수</t>
    <phoneticPr fontId="4" type="noConversion"/>
  </si>
  <si>
    <t>필요 다이아 수</t>
    <phoneticPr fontId="4" type="noConversion"/>
  </si>
  <si>
    <t>&gt; 녹스 10+1 10회 기준 다이아 &amp; 결제 금액</t>
    <phoneticPr fontId="4" type="noConversion"/>
  </si>
  <si>
    <t>&gt; 녹스 10+1 2회 기준 다이아 &amp; 결제 금액</t>
    <phoneticPr fontId="4" type="noConversion"/>
  </si>
  <si>
    <t>1 10회 뽑기</t>
    <phoneticPr fontId="4" type="noConversion"/>
  </si>
  <si>
    <t>&gt; 7성 풀강화를 위한 10+1 2회 뽑기 횟수</t>
    <phoneticPr fontId="4" type="noConversion"/>
  </si>
  <si>
    <t>&gt; 5성 획득을 위한 1 10회 뽑기 횟수</t>
    <phoneticPr fontId="4" type="noConversion"/>
  </si>
  <si>
    <t>&gt; 5성 획득을 위한 1 5회 뽑기 횟수</t>
    <phoneticPr fontId="4" type="noConversion"/>
  </si>
  <si>
    <t>&gt; 7성 장비 완성 필요 다이아 수 &amp; 결제 금액</t>
    <phoneticPr fontId="4" type="noConversion"/>
  </si>
  <si>
    <t>&gt; 6성 장비 완성 필요 다이아 수 &amp; 결제 금액</t>
    <phoneticPr fontId="4" type="noConversion"/>
  </si>
  <si>
    <t>&gt; 5성 장비 완성 필요 다이아 수 &amp; 결제 금액</t>
    <phoneticPr fontId="4" type="noConversion"/>
  </si>
  <si>
    <t>&gt; 4성 장비 완성 필요 다이아 수 &amp; 결제 금액</t>
    <phoneticPr fontId="4" type="noConversion"/>
  </si>
  <si>
    <t>&gt; 녹스 10+1 1회 기준 다이아 결제 금액</t>
    <phoneticPr fontId="4" type="noConversion"/>
  </si>
  <si>
    <t>&gt; 녹스 1개 2회 기준 다이아 결제 금액</t>
    <phoneticPr fontId="4" type="noConversion"/>
  </si>
  <si>
    <t>&gt; 녹스 1개 10회 기준 다이아 결제 금액</t>
    <phoneticPr fontId="4" type="noConversion"/>
  </si>
  <si>
    <t>&gt; 녹스 1개 10회 기준 다이아 &amp; 결제 금액</t>
    <phoneticPr fontId="4" type="noConversion"/>
  </si>
  <si>
    <t>&gt; 녹스 1개 5회 기준 다이아 결제 금액</t>
    <phoneticPr fontId="4" type="noConversion"/>
  </si>
  <si>
    <t>* 6성 풀강화 장비 가격</t>
  </si>
  <si>
    <t>* 4성 풀강화 장비 가격</t>
  </si>
  <si>
    <t>* 5성 풀강화 장비 가격</t>
  </si>
  <si>
    <t>다이아 330개</t>
  </si>
  <si>
    <t>다이아 560개</t>
  </si>
  <si>
    <t>다이아 1150개</t>
  </si>
  <si>
    <t>다이아 3500개</t>
  </si>
  <si>
    <t>다이아 6000개</t>
  </si>
  <si>
    <t>다이아 12500개</t>
  </si>
  <si>
    <t>* 고급 장비 뽑기 1회 가격</t>
    <phoneticPr fontId="4" type="noConversion"/>
  </si>
  <si>
    <t>* 고급 장비 뽑기로 강화&amp;합성 가격</t>
    <phoneticPr fontId="4" type="noConversion"/>
  </si>
  <si>
    <t>&gt; 녹스 - 고급 10+1 뽑기로 6성 획득(+1 5성 확정 포함)</t>
    <phoneticPr fontId="4" type="noConversion"/>
  </si>
  <si>
    <t>* 고급 장비 뽑기로 강화&amp;합성 가격(고급 10+1 가격보다 높음)</t>
    <phoneticPr fontId="4" type="noConversion"/>
  </si>
  <si>
    <t>* 고급 장비 10+1 뽑기로 강화&amp;합성 가격(영웅 등급 보너스 포함)</t>
    <phoneticPr fontId="4" type="noConversion"/>
  </si>
  <si>
    <t>* 고급 룬스톤 뽑기 1회 가격</t>
    <phoneticPr fontId="4" type="noConversion"/>
  </si>
  <si>
    <t>* 고급 룬스톤 뽑기로 승급 가격</t>
    <phoneticPr fontId="4" type="noConversion"/>
  </si>
  <si>
    <t>* 고급 룬스톤 10+1 뽑기로 승급 가격(영웅 등급 보너스 포함)</t>
    <phoneticPr fontId="4" type="noConversion"/>
  </si>
  <si>
    <t>유일 -&gt; 영웅 승급</t>
    <phoneticPr fontId="4" type="noConversion"/>
  </si>
  <si>
    <t>영웅 -&gt; 전설 승급</t>
    <phoneticPr fontId="4" type="noConversion"/>
  </si>
  <si>
    <t>전설 -&gt; 불멸 승급</t>
    <phoneticPr fontId="4" type="noConversion"/>
  </si>
  <si>
    <t>List</t>
    <phoneticPr fontId="4" type="noConversion"/>
  </si>
  <si>
    <t>List</t>
    <phoneticPr fontId="4" type="noConversion"/>
  </si>
  <si>
    <t>List</t>
    <phoneticPr fontId="4" type="noConversion"/>
  </si>
  <si>
    <t>지급량</t>
    <phoneticPr fontId="4" type="noConversion"/>
  </si>
  <si>
    <t>가격(Dia)</t>
    <phoneticPr fontId="4" type="noConversion"/>
  </si>
  <si>
    <t>보너스</t>
    <phoneticPr fontId="4" type="noConversion"/>
  </si>
  <si>
    <t>영웅 등급</t>
    <phoneticPr fontId="4" type="noConversion"/>
  </si>
  <si>
    <t>고급 장비 10+1회 뽑기</t>
    <phoneticPr fontId="4" type="noConversion"/>
  </si>
  <si>
    <t>고급 룬스톤 10+1회 뽑기</t>
    <phoneticPr fontId="4" type="noConversion"/>
  </si>
  <si>
    <t>필요 다이아 수량</t>
    <phoneticPr fontId="4" type="noConversion"/>
  </si>
  <si>
    <t>등급</t>
    <phoneticPr fontId="4" type="noConversion"/>
  </si>
  <si>
    <t>분해량</t>
    <phoneticPr fontId="4" type="noConversion"/>
  </si>
  <si>
    <t>풀강화정수량</t>
    <phoneticPr fontId="4" type="noConversion"/>
  </si>
  <si>
    <t>평균</t>
    <phoneticPr fontId="4" type="noConversion"/>
  </si>
  <si>
    <t>10개 가격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</si>
</sst>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4" formatCode="_-&quot;₩&quot;* #,##0.00_-;\-&quot;₩&quot;* #,##0.00_-;_-&quot;₩&quot;* &quot;-&quot;??_-;_-@_-"/>
    <numFmt numFmtId="176" formatCode="&quot;₩&quot;#,##0"/>
    <numFmt numFmtId="177" formatCode="_-* #,##0_-;\-* #,##0_-;_-* &quot;-&quot;??_-;_-@_-"/>
    <numFmt numFmtId="178" formatCode="0.0000"/>
    <numFmt numFmtId="179" formatCode="0.0"/>
    <numFmt numFmtId="180" formatCode="_-* #,##0.0_-;\-* #,##0.0_-;_-* &quot;-&quot;_-;_-@_-"/>
  </numFmts>
  <fonts count="1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0"/>
      <color indexed="8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4">
    <xf numFmtId="0" fontId="0" fillId="0" borderId="0" xfId="0">
      <alignment vertical="center"/>
    </xf>
    <xf numFmtId="49" fontId="7" fillId="2" borderId="0" xfId="0" applyNumberFormat="1" applyFont="1" applyFill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0" borderId="3" xfId="0" applyFont="1" applyFill="1" applyBorder="1">
      <alignment vertical="center"/>
    </xf>
    <xf numFmtId="178" fontId="7" fillId="0" borderId="3" xfId="0" applyNumberFormat="1" applyFont="1" applyFill="1" applyBorder="1">
      <alignment vertical="center"/>
    </xf>
    <xf numFmtId="179" fontId="7" fillId="0" borderId="3" xfId="0" applyNumberFormat="1" applyFont="1" applyFill="1" applyBorder="1">
      <alignment vertical="center"/>
    </xf>
    <xf numFmtId="1" fontId="7" fillId="0" borderId="3" xfId="0" applyNumberFormat="1" applyFont="1" applyFill="1" applyBorder="1">
      <alignment vertical="center"/>
    </xf>
    <xf numFmtId="179" fontId="7" fillId="0" borderId="5" xfId="0" applyNumberFormat="1" applyFont="1" applyFill="1" applyBorder="1">
      <alignment vertical="center"/>
    </xf>
    <xf numFmtId="41" fontId="7" fillId="0" borderId="3" xfId="1" applyFont="1" applyFill="1" applyBorder="1">
      <alignment vertical="center"/>
    </xf>
    <xf numFmtId="0" fontId="9" fillId="0" borderId="3" xfId="0" applyFont="1" applyFill="1" applyBorder="1" applyAlignment="1">
      <alignment horizontal="center" vertical="center"/>
    </xf>
    <xf numFmtId="177" fontId="7" fillId="0" borderId="3" xfId="1" applyNumberFormat="1" applyFont="1" applyFill="1" applyBorder="1">
      <alignment vertical="center"/>
    </xf>
    <xf numFmtId="41" fontId="7" fillId="4" borderId="3" xfId="1" applyFont="1" applyFill="1" applyBorder="1">
      <alignment vertical="center"/>
    </xf>
    <xf numFmtId="2" fontId="7" fillId="5" borderId="3" xfId="0" applyNumberFormat="1" applyFont="1" applyFill="1" applyBorder="1">
      <alignment vertical="center"/>
    </xf>
    <xf numFmtId="176" fontId="7" fillId="0" borderId="3" xfId="0" applyNumberFormat="1" applyFont="1" applyFill="1" applyBorder="1">
      <alignment vertical="center"/>
    </xf>
    <xf numFmtId="176" fontId="10" fillId="6" borderId="3" xfId="0" applyNumberFormat="1" applyFont="1" applyFill="1" applyBorder="1">
      <alignment vertical="center"/>
    </xf>
    <xf numFmtId="176" fontId="10" fillId="7" borderId="3" xfId="0" applyNumberFormat="1" applyFont="1" applyFill="1" applyBorder="1">
      <alignment vertical="center"/>
    </xf>
    <xf numFmtId="0" fontId="0" fillId="2" borderId="0" xfId="0" applyFill="1">
      <alignment vertical="center"/>
    </xf>
    <xf numFmtId="0" fontId="6" fillId="2" borderId="0" xfId="0" applyFont="1" applyFill="1">
      <alignment vertical="center"/>
    </xf>
    <xf numFmtId="41" fontId="10" fillId="6" borderId="3" xfId="1" applyFont="1" applyFill="1" applyBorder="1">
      <alignment vertical="center"/>
    </xf>
    <xf numFmtId="1" fontId="7" fillId="4" borderId="3" xfId="0" applyNumberFormat="1" applyFont="1" applyFill="1" applyBorder="1">
      <alignment vertical="center"/>
    </xf>
    <xf numFmtId="1" fontId="8" fillId="3" borderId="3" xfId="0" applyNumberFormat="1" applyFont="1" applyFill="1" applyBorder="1" applyAlignment="1">
      <alignment horizontal="center" vertical="center"/>
    </xf>
    <xf numFmtId="180" fontId="7" fillId="4" borderId="3" xfId="1" applyNumberFormat="1" applyFont="1" applyFill="1" applyBorder="1">
      <alignment vertical="center"/>
    </xf>
    <xf numFmtId="49" fontId="7" fillId="4" borderId="0" xfId="0" applyNumberFormat="1" applyFont="1" applyFill="1">
      <alignment vertical="center"/>
    </xf>
    <xf numFmtId="41" fontId="0" fillId="2" borderId="0" xfId="1" applyFont="1" applyFill="1">
      <alignment vertical="center"/>
    </xf>
    <xf numFmtId="41" fontId="5" fillId="2" borderId="3" xfId="1" applyFont="1" applyFill="1" applyBorder="1" applyAlignment="1">
      <alignment horizontal="center" vertical="center"/>
    </xf>
    <xf numFmtId="41" fontId="5" fillId="2" borderId="3" xfId="1" applyFont="1" applyFill="1" applyBorder="1" applyAlignment="1">
      <alignment horizontal="left" vertical="center"/>
    </xf>
    <xf numFmtId="176" fontId="5" fillId="2" borderId="3" xfId="2" applyNumberFormat="1" applyFont="1" applyFill="1" applyBorder="1" applyAlignment="1">
      <alignment horizontal="right" vertical="center"/>
    </xf>
    <xf numFmtId="41" fontId="0" fillId="2" borderId="0" xfId="1" applyFont="1" applyFill="1" applyAlignment="1">
      <alignment horizontal="center" vertical="center"/>
    </xf>
    <xf numFmtId="177" fontId="5" fillId="2" borderId="3" xfId="1" applyNumberFormat="1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41" fontId="3" fillId="8" borderId="1" xfId="1" applyFont="1" applyFill="1" applyBorder="1" applyAlignment="1">
      <alignment horizontal="center" vertical="center"/>
    </xf>
    <xf numFmtId="49" fontId="3" fillId="8" borderId="1" xfId="3" applyNumberFormat="1" applyFont="1" applyFill="1" applyBorder="1" applyAlignment="1">
      <alignment horizontal="center" vertical="center"/>
    </xf>
    <xf numFmtId="41" fontId="11" fillId="3" borderId="2" xfId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77" fontId="6" fillId="2" borderId="0" xfId="0" applyNumberFormat="1" applyFont="1" applyFill="1">
      <alignment vertical="center"/>
    </xf>
    <xf numFmtId="177" fontId="6" fillId="2" borderId="3" xfId="0" applyNumberFormat="1" applyFont="1" applyFill="1" applyBorder="1">
      <alignment vertical="center"/>
    </xf>
    <xf numFmtId="176" fontId="6" fillId="2" borderId="3" xfId="0" applyNumberFormat="1" applyFont="1" applyFill="1" applyBorder="1">
      <alignment vertical="center"/>
    </xf>
    <xf numFmtId="1" fontId="6" fillId="2" borderId="0" xfId="0" applyNumberFormat="1" applyFont="1" applyFill="1">
      <alignment vertical="center"/>
    </xf>
    <xf numFmtId="176" fontId="6" fillId="2" borderId="3" xfId="0" applyNumberFormat="1" applyFont="1" applyFill="1" applyBorder="1" applyAlignment="1">
      <alignment horizontal="right" vertical="center"/>
    </xf>
  </cellXfs>
  <cellStyles count="5">
    <cellStyle name="Excel Built-in Normal 2" xfId="3"/>
    <cellStyle name="쉼표 [0]" xfId="1" builtinId="6"/>
    <cellStyle name="통화" xfId="2" builtinId="4"/>
    <cellStyle name="표준" xfId="0" builtinId="0"/>
    <cellStyle name="표준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3"/>
  <sheetViews>
    <sheetView zoomScaleNormal="100" workbookViewId="0">
      <selection activeCell="I5" sqref="I5"/>
    </sheetView>
  </sheetViews>
  <sheetFormatPr defaultRowHeight="16.5" x14ac:dyDescent="0.3"/>
  <cols>
    <col min="1" max="1" width="2.625" style="19" customWidth="1"/>
    <col min="2" max="2" width="18.5" style="19" bestFit="1" customWidth="1"/>
    <col min="3" max="3" width="8.375" style="26" bestFit="1" customWidth="1"/>
    <col min="4" max="4" width="9.625" style="19" bestFit="1" customWidth="1"/>
    <col min="5" max="5" width="10.25" style="19" bestFit="1" customWidth="1"/>
    <col min="6" max="6" width="2.625" style="19" customWidth="1"/>
    <col min="7" max="7" width="16.125" style="19" bestFit="1" customWidth="1"/>
    <col min="8" max="8" width="16" style="19" bestFit="1" customWidth="1"/>
    <col min="9" max="9" width="11" style="19" customWidth="1"/>
    <col min="10" max="10" width="19.5" style="20" bestFit="1" customWidth="1"/>
    <col min="11" max="11" width="9" style="19"/>
    <col min="12" max="12" width="12.375" style="19" customWidth="1"/>
    <col min="13" max="16384" width="9" style="19"/>
  </cols>
  <sheetData>
    <row r="2" spans="2:10" x14ac:dyDescent="0.3">
      <c r="B2" s="35" t="s">
        <v>0</v>
      </c>
      <c r="G2" s="35" t="s">
        <v>28</v>
      </c>
      <c r="I2" s="20"/>
    </row>
    <row r="3" spans="2:10" x14ac:dyDescent="0.3">
      <c r="B3" s="37" t="s">
        <v>15</v>
      </c>
      <c r="C3" s="2" t="s">
        <v>50</v>
      </c>
      <c r="D3" s="37" t="s">
        <v>130</v>
      </c>
      <c r="G3" s="37" t="s">
        <v>129</v>
      </c>
      <c r="H3" s="37" t="s">
        <v>136</v>
      </c>
      <c r="I3" s="2" t="s">
        <v>50</v>
      </c>
    </row>
    <row r="4" spans="2:10" x14ac:dyDescent="0.3">
      <c r="B4" s="27" t="s">
        <v>110</v>
      </c>
      <c r="C4" s="27">
        <v>3300</v>
      </c>
      <c r="D4" s="28">
        <v>330</v>
      </c>
      <c r="G4" s="27" t="s">
        <v>26</v>
      </c>
      <c r="H4" s="27">
        <v>300</v>
      </c>
      <c r="I4" s="29">
        <v>3000</v>
      </c>
      <c r="J4" s="20" t="s">
        <v>116</v>
      </c>
    </row>
    <row r="5" spans="2:10" x14ac:dyDescent="0.3">
      <c r="B5" s="27" t="s">
        <v>111</v>
      </c>
      <c r="C5" s="27">
        <v>5500</v>
      </c>
      <c r="D5" s="28">
        <v>560</v>
      </c>
      <c r="G5" s="27" t="s">
        <v>18</v>
      </c>
      <c r="H5" s="27">
        <f>'장비 Simul'!K4</f>
        <v>2050.083394489292</v>
      </c>
      <c r="I5" s="29">
        <f>'장비 Simul'!L4</f>
        <v>18040.73387150577</v>
      </c>
      <c r="J5" s="20" t="s">
        <v>117</v>
      </c>
    </row>
    <row r="6" spans="2:10" x14ac:dyDescent="0.3">
      <c r="B6" s="27" t="s">
        <v>112</v>
      </c>
      <c r="C6" s="27">
        <v>11000</v>
      </c>
      <c r="D6" s="28">
        <v>1150</v>
      </c>
      <c r="G6" s="27" t="s">
        <v>19</v>
      </c>
      <c r="H6" s="27">
        <f>'장비 Simul'!H4</f>
        <v>8156.5814930949364</v>
      </c>
      <c r="I6" s="29">
        <f>'장비 Simul'!I4</f>
        <v>71777.917139235447</v>
      </c>
      <c r="J6" s="20" t="s">
        <v>119</v>
      </c>
    </row>
    <row r="7" spans="2:10" x14ac:dyDescent="0.3">
      <c r="B7" s="27" t="s">
        <v>113</v>
      </c>
      <c r="C7" s="27">
        <v>33000</v>
      </c>
      <c r="D7" s="28">
        <v>3500</v>
      </c>
      <c r="G7" s="27" t="s">
        <v>20</v>
      </c>
      <c r="H7" s="27">
        <f>'장비 Simul'!E4</f>
        <v>14126.669449081804</v>
      </c>
      <c r="I7" s="29">
        <f>'장비 Simul'!F4</f>
        <v>124314.69115191988</v>
      </c>
      <c r="J7" s="20" t="s">
        <v>120</v>
      </c>
    </row>
    <row r="8" spans="2:10" x14ac:dyDescent="0.3">
      <c r="B8" s="27" t="s">
        <v>114</v>
      </c>
      <c r="C8" s="27">
        <v>55000</v>
      </c>
      <c r="D8" s="28">
        <v>6000</v>
      </c>
      <c r="G8" s="27" t="s">
        <v>21</v>
      </c>
      <c r="H8" s="27">
        <f>'장비 Simul'!B4</f>
        <v>46701.272954924876</v>
      </c>
      <c r="I8" s="29">
        <f>'장비 Simul'!C4</f>
        <v>410971.2020033389</v>
      </c>
      <c r="J8" s="20" t="s">
        <v>120</v>
      </c>
    </row>
    <row r="9" spans="2:10" x14ac:dyDescent="0.3">
      <c r="B9" s="27" t="s">
        <v>115</v>
      </c>
      <c r="C9" s="27">
        <v>110000</v>
      </c>
      <c r="D9" s="28">
        <v>12500</v>
      </c>
    </row>
    <row r="10" spans="2:10" x14ac:dyDescent="0.3">
      <c r="B10" s="30"/>
      <c r="D10" s="26"/>
      <c r="G10" s="35" t="s">
        <v>29</v>
      </c>
      <c r="H10" s="20"/>
      <c r="I10" s="20"/>
    </row>
    <row r="11" spans="2:10" x14ac:dyDescent="0.3">
      <c r="B11" s="35" t="s">
        <v>1</v>
      </c>
      <c r="D11" s="26"/>
      <c r="G11" s="37" t="s">
        <v>127</v>
      </c>
      <c r="H11" s="37" t="s">
        <v>136</v>
      </c>
      <c r="I11" s="2" t="s">
        <v>50</v>
      </c>
    </row>
    <row r="12" spans="2:10" x14ac:dyDescent="0.3">
      <c r="B12" s="37" t="s">
        <v>127</v>
      </c>
      <c r="C12" s="2" t="s">
        <v>131</v>
      </c>
      <c r="D12" s="37" t="s">
        <v>130</v>
      </c>
      <c r="G12" s="27" t="s">
        <v>27</v>
      </c>
      <c r="H12" s="27">
        <v>270</v>
      </c>
      <c r="I12" s="29">
        <v>2700</v>
      </c>
      <c r="J12" s="20" t="s">
        <v>121</v>
      </c>
    </row>
    <row r="13" spans="2:10" x14ac:dyDescent="0.3">
      <c r="B13" s="27" t="s">
        <v>3</v>
      </c>
      <c r="C13" s="27">
        <v>50</v>
      </c>
      <c r="D13" s="27">
        <v>30000</v>
      </c>
      <c r="G13" s="27" t="s">
        <v>22</v>
      </c>
      <c r="H13" s="31">
        <f>'룬스톤 Simul'!K3</f>
        <v>808.38323353293413</v>
      </c>
      <c r="I13" s="29">
        <f>'룬스톤 Simul'!L3</f>
        <v>7113.7724550898201</v>
      </c>
      <c r="J13" s="20" t="s">
        <v>122</v>
      </c>
    </row>
    <row r="14" spans="2:10" x14ac:dyDescent="0.3">
      <c r="B14" s="27" t="s">
        <v>4</v>
      </c>
      <c r="C14" s="27">
        <v>100</v>
      </c>
      <c r="D14" s="27">
        <v>70000</v>
      </c>
      <c r="G14" s="27" t="s">
        <v>23</v>
      </c>
      <c r="H14" s="31">
        <f>'룬스톤 Simul'!H3</f>
        <v>4850.2994011976052</v>
      </c>
      <c r="I14" s="29">
        <f>'룬스톤 Simul'!I3</f>
        <v>42682.634730538928</v>
      </c>
      <c r="J14" s="20" t="s">
        <v>122</v>
      </c>
    </row>
    <row r="15" spans="2:10" x14ac:dyDescent="0.3">
      <c r="B15" s="27" t="s">
        <v>5</v>
      </c>
      <c r="C15" s="27">
        <v>200</v>
      </c>
      <c r="D15" s="27">
        <v>150000</v>
      </c>
      <c r="G15" s="27" t="s">
        <v>24</v>
      </c>
      <c r="H15" s="31">
        <f>'룬스톤 Simul'!E3</f>
        <v>6917.355371900826</v>
      </c>
      <c r="I15" s="29">
        <f>'룬스톤 Simul'!F3</f>
        <v>60872.727272727272</v>
      </c>
      <c r="J15" s="20" t="s">
        <v>123</v>
      </c>
    </row>
    <row r="16" spans="2:10" x14ac:dyDescent="0.3">
      <c r="B16" s="27" t="s">
        <v>6</v>
      </c>
      <c r="C16" s="27">
        <v>500</v>
      </c>
      <c r="D16" s="27">
        <v>450000</v>
      </c>
      <c r="G16" s="27" t="s">
        <v>25</v>
      </c>
      <c r="H16" s="31">
        <f>'룬스톤 Simul'!B3</f>
        <v>27892.561983471078</v>
      </c>
      <c r="I16" s="29">
        <f>'룬스톤 Simul'!C3</f>
        <v>245454.54545454547</v>
      </c>
      <c r="J16" s="20" t="s">
        <v>123</v>
      </c>
    </row>
    <row r="17" spans="2:13" x14ac:dyDescent="0.3">
      <c r="B17" s="27" t="s">
        <v>7</v>
      </c>
      <c r="C17" s="27">
        <v>1000</v>
      </c>
      <c r="D17" s="27">
        <v>1050000</v>
      </c>
    </row>
    <row r="18" spans="2:13" x14ac:dyDescent="0.3">
      <c r="B18" s="27" t="s">
        <v>8</v>
      </c>
      <c r="C18" s="27">
        <v>2000</v>
      </c>
      <c r="D18" s="27">
        <v>2400000</v>
      </c>
      <c r="G18" s="35" t="s">
        <v>30</v>
      </c>
      <c r="H18" s="20"/>
      <c r="I18" s="20"/>
    </row>
    <row r="19" spans="2:13" ht="16.5" customHeight="1" x14ac:dyDescent="0.3">
      <c r="B19" s="30"/>
      <c r="D19" s="26"/>
      <c r="G19" s="37" t="s">
        <v>129</v>
      </c>
      <c r="H19" s="37" t="s">
        <v>136</v>
      </c>
      <c r="I19" s="2" t="s">
        <v>50</v>
      </c>
      <c r="K19" s="3" t="s">
        <v>137</v>
      </c>
      <c r="L19" s="3" t="s">
        <v>139</v>
      </c>
      <c r="M19" s="2" t="s">
        <v>138</v>
      </c>
    </row>
    <row r="20" spans="2:13" x14ac:dyDescent="0.3">
      <c r="B20" s="35" t="s">
        <v>2</v>
      </c>
      <c r="D20" s="26"/>
      <c r="G20" s="27" t="s">
        <v>124</v>
      </c>
      <c r="H20" s="31">
        <v>40</v>
      </c>
      <c r="I20" s="29">
        <f>'장비 Simul'!L4+(L21/'장비 Simul'!H13*'장비 Simul'!C16)</f>
        <v>45448.914172006611</v>
      </c>
      <c r="J20" s="32" t="s">
        <v>108</v>
      </c>
      <c r="K20" s="38">
        <v>3</v>
      </c>
      <c r="L20" s="13">
        <v>870</v>
      </c>
      <c r="M20" s="13">
        <v>108</v>
      </c>
    </row>
    <row r="21" spans="2:13" x14ac:dyDescent="0.3">
      <c r="B21" s="37" t="s">
        <v>128</v>
      </c>
      <c r="C21" s="2" t="s">
        <v>131</v>
      </c>
      <c r="D21" s="37" t="s">
        <v>130</v>
      </c>
      <c r="G21" s="27" t="s">
        <v>125</v>
      </c>
      <c r="H21" s="31">
        <v>80</v>
      </c>
      <c r="I21" s="29">
        <f>'장비 Simul'!I4+(L22/'장비 Simul'!H13*'장비 Simul'!C16)</f>
        <v>140477.4163045109</v>
      </c>
      <c r="J21" s="32" t="s">
        <v>109</v>
      </c>
      <c r="K21" s="38">
        <v>4</v>
      </c>
      <c r="L21" s="13">
        <v>1990</v>
      </c>
      <c r="M21" s="13">
        <v>248</v>
      </c>
    </row>
    <row r="22" spans="2:13" x14ac:dyDescent="0.3">
      <c r="B22" s="27" t="s">
        <v>9</v>
      </c>
      <c r="C22" s="27">
        <v>50</v>
      </c>
      <c r="D22" s="27">
        <v>10</v>
      </c>
      <c r="G22" s="27" t="s">
        <v>126</v>
      </c>
      <c r="H22" s="31">
        <v>160</v>
      </c>
      <c r="I22" s="29">
        <f>'장비 Simul'!F4+(L23/'장비 Simul'!H13*'장비 Simul'!C16)</f>
        <v>302040.90150250419</v>
      </c>
      <c r="J22" s="32" t="s">
        <v>107</v>
      </c>
      <c r="K22" s="38">
        <v>5</v>
      </c>
      <c r="L22" s="13">
        <v>4988</v>
      </c>
      <c r="M22" s="13">
        <v>712</v>
      </c>
    </row>
    <row r="23" spans="2:13" x14ac:dyDescent="0.3">
      <c r="B23" s="27" t="s">
        <v>10</v>
      </c>
      <c r="C23" s="27">
        <v>100</v>
      </c>
      <c r="D23" s="27">
        <v>25</v>
      </c>
      <c r="G23" s="27" t="s">
        <v>140</v>
      </c>
      <c r="H23" s="40">
        <f>AVERAGE(H20:H22)</f>
        <v>93.333333333333329</v>
      </c>
      <c r="I23" s="41">
        <f>AVERAGE(I20:I22)</f>
        <v>162655.74399300723</v>
      </c>
      <c r="K23" s="38">
        <v>6</v>
      </c>
      <c r="L23" s="13">
        <v>12904</v>
      </c>
      <c r="M23" s="13">
        <v>2150</v>
      </c>
    </row>
    <row r="24" spans="2:13" x14ac:dyDescent="0.3">
      <c r="B24" s="27" t="s">
        <v>11</v>
      </c>
      <c r="C24" s="27">
        <v>250</v>
      </c>
      <c r="D24" s="27">
        <v>65</v>
      </c>
      <c r="G24" s="27" t="s">
        <v>141</v>
      </c>
      <c r="H24" s="43">
        <f>I23/H23*10</f>
        <v>17427.401142107916</v>
      </c>
      <c r="I24" s="43"/>
      <c r="K24" s="38">
        <v>7</v>
      </c>
      <c r="L24" s="13">
        <v>33874</v>
      </c>
      <c r="M24" s="13">
        <v>6774</v>
      </c>
    </row>
    <row r="25" spans="2:13" x14ac:dyDescent="0.3">
      <c r="B25" s="27" t="s">
        <v>12</v>
      </c>
      <c r="C25" s="27">
        <v>500</v>
      </c>
      <c r="D25" s="27">
        <v>140</v>
      </c>
    </row>
    <row r="26" spans="2:13" x14ac:dyDescent="0.3">
      <c r="B26" s="27" t="s">
        <v>13</v>
      </c>
      <c r="C26" s="27">
        <v>1000</v>
      </c>
      <c r="D26" s="27">
        <v>300</v>
      </c>
    </row>
    <row r="28" spans="2:13" x14ac:dyDescent="0.3">
      <c r="B28" s="36" t="s">
        <v>14</v>
      </c>
      <c r="C28" s="19"/>
    </row>
    <row r="29" spans="2:13" x14ac:dyDescent="0.3">
      <c r="B29" s="37" t="s">
        <v>127</v>
      </c>
      <c r="C29" s="2" t="s">
        <v>131</v>
      </c>
      <c r="D29" s="37" t="s">
        <v>130</v>
      </c>
      <c r="E29" s="37" t="s">
        <v>132</v>
      </c>
    </row>
    <row r="30" spans="2:13" x14ac:dyDescent="0.3">
      <c r="B30" s="33" t="s">
        <v>16</v>
      </c>
      <c r="C30" s="34">
        <v>300</v>
      </c>
      <c r="D30" s="34">
        <v>1</v>
      </c>
      <c r="E30" s="34"/>
      <c r="J30" s="42"/>
    </row>
    <row r="31" spans="2:13" x14ac:dyDescent="0.3">
      <c r="B31" s="33" t="s">
        <v>134</v>
      </c>
      <c r="C31" s="34">
        <v>3000</v>
      </c>
      <c r="D31" s="34">
        <v>10</v>
      </c>
      <c r="E31" s="34" t="s">
        <v>133</v>
      </c>
      <c r="J31" s="39"/>
    </row>
    <row r="32" spans="2:13" x14ac:dyDescent="0.3">
      <c r="B32" s="33" t="s">
        <v>17</v>
      </c>
      <c r="C32" s="34">
        <v>270</v>
      </c>
      <c r="D32" s="34">
        <v>1</v>
      </c>
      <c r="E32" s="34"/>
    </row>
    <row r="33" spans="2:5" x14ac:dyDescent="0.3">
      <c r="B33" s="33" t="s">
        <v>135</v>
      </c>
      <c r="C33" s="34">
        <v>2700</v>
      </c>
      <c r="D33" s="34">
        <v>10</v>
      </c>
      <c r="E33" s="34" t="s">
        <v>133</v>
      </c>
    </row>
  </sheetData>
  <mergeCells count="1">
    <mergeCell ref="H24:I24"/>
  </mergeCells>
  <phoneticPr fontId="4" type="noConversion"/>
  <pageMargins left="0.25" right="0.25" top="0.75" bottom="0.75" header="0.3" footer="0.3"/>
  <pageSetup paperSize="9" scale="8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52"/>
  <sheetViews>
    <sheetView tabSelected="1" workbookViewId="0">
      <pane ySplit="5" topLeftCell="A6" activePane="bottomLeft" state="frozen"/>
      <selection pane="bottomLeft" activeCell="E13" sqref="E13"/>
    </sheetView>
  </sheetViews>
  <sheetFormatPr defaultColWidth="3.625" defaultRowHeight="16.5" x14ac:dyDescent="0.3"/>
  <cols>
    <col min="1" max="1" width="3.625" style="19"/>
    <col min="2" max="12" width="12.625" style="19" customWidth="1"/>
    <col min="13" max="15" width="10.625" style="19" customWidth="1"/>
    <col min="16" max="16384" width="3.625" style="19"/>
  </cols>
  <sheetData>
    <row r="2" spans="2:15" x14ac:dyDescent="0.3">
      <c r="B2" s="1" t="s">
        <v>98</v>
      </c>
      <c r="C2" s="1"/>
      <c r="E2" s="1" t="s">
        <v>99</v>
      </c>
      <c r="F2" s="1"/>
      <c r="H2" s="1" t="s">
        <v>100</v>
      </c>
      <c r="I2" s="1"/>
      <c r="K2" s="1" t="s">
        <v>101</v>
      </c>
      <c r="L2" s="1"/>
    </row>
    <row r="3" spans="2:15" x14ac:dyDescent="0.3">
      <c r="B3" s="2" t="s">
        <v>77</v>
      </c>
      <c r="C3" s="2" t="s">
        <v>50</v>
      </c>
      <c r="E3" s="2" t="s">
        <v>77</v>
      </c>
      <c r="F3" s="2" t="s">
        <v>50</v>
      </c>
      <c r="H3" s="2" t="s">
        <v>77</v>
      </c>
      <c r="I3" s="2" t="s">
        <v>50</v>
      </c>
      <c r="K3" s="2" t="s">
        <v>77</v>
      </c>
      <c r="L3" s="2" t="s">
        <v>69</v>
      </c>
    </row>
    <row r="4" spans="2:15" x14ac:dyDescent="0.3">
      <c r="B4" s="21">
        <f>B16*F15</f>
        <v>46701.272954924876</v>
      </c>
      <c r="C4" s="17">
        <f>C16*F15</f>
        <v>410971.2020033389</v>
      </c>
      <c r="E4" s="21">
        <f>B28*F27</f>
        <v>14126.669449081804</v>
      </c>
      <c r="F4" s="17">
        <f>C28*F27</f>
        <v>124314.69115191988</v>
      </c>
      <c r="H4" s="21">
        <f>B40*F39</f>
        <v>8156.5814930949364</v>
      </c>
      <c r="I4" s="18">
        <f>C40*F39</f>
        <v>71777.917139235447</v>
      </c>
      <c r="K4" s="21">
        <f>B52*F51</f>
        <v>2050.083394489292</v>
      </c>
      <c r="L4" s="17">
        <f>C52*F51</f>
        <v>18040.73387150577</v>
      </c>
    </row>
    <row r="5" spans="2:15" x14ac:dyDescent="0.3">
      <c r="C5" s="1"/>
      <c r="D5" s="1"/>
      <c r="E5" s="1"/>
      <c r="F5" s="1"/>
      <c r="G5" s="1"/>
      <c r="H5" s="1"/>
      <c r="I5" s="20" t="s">
        <v>59</v>
      </c>
      <c r="J5" s="1"/>
      <c r="K5" s="1"/>
      <c r="L5" s="1"/>
      <c r="M5" s="1"/>
      <c r="N5" s="1"/>
      <c r="O5" s="1"/>
    </row>
    <row r="6" spans="2:15" x14ac:dyDescent="0.3">
      <c r="B6" s="25" t="s">
        <v>78</v>
      </c>
      <c r="C6" s="25"/>
      <c r="D6" s="25"/>
      <c r="E6" s="25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5" ht="27" x14ac:dyDescent="0.3">
      <c r="B7" s="2" t="s">
        <v>31</v>
      </c>
      <c r="C7" s="2" t="s">
        <v>32</v>
      </c>
      <c r="D7" s="2" t="s">
        <v>75</v>
      </c>
      <c r="E7" s="3" t="s">
        <v>33</v>
      </c>
      <c r="F7" s="2" t="s">
        <v>34</v>
      </c>
      <c r="G7" s="4" t="s">
        <v>35</v>
      </c>
      <c r="H7" s="4" t="s">
        <v>36</v>
      </c>
      <c r="I7" s="1"/>
      <c r="J7" s="2" t="s">
        <v>37</v>
      </c>
      <c r="K7" s="5" t="s">
        <v>38</v>
      </c>
      <c r="L7" s="1"/>
      <c r="M7" s="3" t="s">
        <v>37</v>
      </c>
      <c r="N7" s="3" t="s">
        <v>39</v>
      </c>
      <c r="O7" s="2" t="s">
        <v>40</v>
      </c>
    </row>
    <row r="8" spans="2:15" x14ac:dyDescent="0.3">
      <c r="B8" s="6" t="s">
        <v>41</v>
      </c>
      <c r="C8" s="7">
        <v>74.515100000000004</v>
      </c>
      <c r="D8" s="8">
        <f>ROUND(C8,0)</f>
        <v>75</v>
      </c>
      <c r="E8" s="9">
        <v>0</v>
      </c>
      <c r="F8" s="10">
        <f>D8-E8</f>
        <v>75</v>
      </c>
      <c r="G8" s="11">
        <f>F8*O8</f>
        <v>7350</v>
      </c>
      <c r="H8" s="11">
        <f>D8*O8</f>
        <v>7350</v>
      </c>
      <c r="I8" s="1"/>
      <c r="J8" s="9" t="s">
        <v>76</v>
      </c>
      <c r="K8" s="11">
        <f>N10*2</f>
        <v>7898</v>
      </c>
      <c r="L8" s="1"/>
      <c r="M8" s="12">
        <v>3</v>
      </c>
      <c r="N8" s="11">
        <v>790</v>
      </c>
      <c r="O8" s="13">
        <v>98</v>
      </c>
    </row>
    <row r="9" spans="2:15" x14ac:dyDescent="0.3">
      <c r="B9" s="6" t="s">
        <v>43</v>
      </c>
      <c r="C9" s="7">
        <v>10.909000000000001</v>
      </c>
      <c r="D9" s="8">
        <f>ROUND(C9,0)</f>
        <v>11</v>
      </c>
      <c r="E9" s="9">
        <v>0</v>
      </c>
      <c r="F9" s="10">
        <f>D9-E9</f>
        <v>11</v>
      </c>
      <c r="G9" s="11">
        <f>F9*O9</f>
        <v>2321</v>
      </c>
      <c r="H9" s="11">
        <f>D9*O9</f>
        <v>2321</v>
      </c>
      <c r="I9" s="1"/>
      <c r="J9" s="9" t="s">
        <v>74</v>
      </c>
      <c r="K9" s="11">
        <f>N11*2</f>
        <v>19212</v>
      </c>
      <c r="L9" s="1"/>
      <c r="M9" s="12">
        <v>4</v>
      </c>
      <c r="N9" s="11">
        <v>1690</v>
      </c>
      <c r="O9" s="13">
        <v>211</v>
      </c>
    </row>
    <row r="10" spans="2:15" x14ac:dyDescent="0.3">
      <c r="B10" s="6" t="s">
        <v>45</v>
      </c>
      <c r="C10" s="7">
        <v>13.6363</v>
      </c>
      <c r="D10" s="8">
        <f>ROUND(C10,0)</f>
        <v>14</v>
      </c>
      <c r="E10" s="22">
        <v>2</v>
      </c>
      <c r="F10" s="10">
        <f>D10-E10</f>
        <v>12</v>
      </c>
      <c r="G10" s="11">
        <f>F10*O10</f>
        <v>6768</v>
      </c>
      <c r="H10" s="11">
        <f>D10*O10</f>
        <v>7896</v>
      </c>
      <c r="I10" s="1"/>
      <c r="J10" s="9" t="s">
        <v>44</v>
      </c>
      <c r="K10" s="14">
        <f>SUM(K8:K9)</f>
        <v>27110</v>
      </c>
      <c r="L10" s="1"/>
      <c r="M10" s="12">
        <v>5</v>
      </c>
      <c r="N10" s="11">
        <v>3949</v>
      </c>
      <c r="O10" s="13">
        <v>564</v>
      </c>
    </row>
    <row r="11" spans="2:15" x14ac:dyDescent="0.3">
      <c r="B11" s="6" t="s">
        <v>46</v>
      </c>
      <c r="C11" s="7">
        <v>0.90900000000000003</v>
      </c>
      <c r="D11" s="8">
        <f>ROUND(C11,0)</f>
        <v>1</v>
      </c>
      <c r="E11" s="22">
        <v>1</v>
      </c>
      <c r="F11" s="10">
        <f>D11-E11</f>
        <v>0</v>
      </c>
      <c r="G11" s="11">
        <f>F11*O11</f>
        <v>0</v>
      </c>
      <c r="H11" s="11">
        <f>D11*O11</f>
        <v>1601</v>
      </c>
      <c r="I11" s="1"/>
      <c r="J11" s="1"/>
      <c r="K11" s="1"/>
      <c r="L11" s="1"/>
      <c r="M11" s="12">
        <v>6</v>
      </c>
      <c r="N11" s="11">
        <v>9606</v>
      </c>
      <c r="O11" s="13">
        <v>1601</v>
      </c>
    </row>
    <row r="12" spans="2:15" x14ac:dyDescent="0.3">
      <c r="B12" s="6" t="s">
        <v>47</v>
      </c>
      <c r="C12" s="7">
        <v>2.9999999999999997E-4</v>
      </c>
      <c r="D12" s="8">
        <f>ROUND(C12,0)</f>
        <v>0</v>
      </c>
      <c r="E12" s="9">
        <v>0</v>
      </c>
      <c r="F12" s="10">
        <f>D12-E12</f>
        <v>0</v>
      </c>
      <c r="G12" s="11">
        <f>F12*O12</f>
        <v>0</v>
      </c>
      <c r="H12" s="11">
        <f>D12*O12</f>
        <v>0</v>
      </c>
      <c r="I12" s="1"/>
      <c r="J12" s="1"/>
      <c r="K12" s="1"/>
      <c r="L12" s="1"/>
      <c r="M12" s="12">
        <v>7</v>
      </c>
      <c r="N12" s="11">
        <v>23739</v>
      </c>
      <c r="O12" s="13">
        <v>4747</v>
      </c>
    </row>
    <row r="13" spans="2:15" x14ac:dyDescent="0.3">
      <c r="B13" s="1"/>
      <c r="C13" s="1"/>
      <c r="D13" s="1"/>
      <c r="E13" s="1"/>
      <c r="F13" s="1"/>
      <c r="G13" s="14">
        <f>SUM(G8:G12)</f>
        <v>16439</v>
      </c>
      <c r="H13" s="14">
        <f>SUM(H8:H12)</f>
        <v>19168</v>
      </c>
      <c r="I13" s="1"/>
      <c r="L13" s="1"/>
      <c r="M13" s="1"/>
      <c r="N13" s="1"/>
      <c r="O13" s="1"/>
    </row>
    <row r="14" spans="2:15" x14ac:dyDescent="0.3">
      <c r="B14" s="1" t="s">
        <v>92</v>
      </c>
      <c r="C14" s="1"/>
      <c r="D14" s="1"/>
      <c r="E14" s="1" t="s">
        <v>89</v>
      </c>
      <c r="F14" s="1"/>
      <c r="G14" s="1"/>
      <c r="H14" s="1"/>
      <c r="I14" s="1"/>
      <c r="L14" s="1"/>
      <c r="M14" s="1"/>
      <c r="N14" s="1"/>
      <c r="O14" s="1"/>
    </row>
    <row r="15" spans="2:15" x14ac:dyDescent="0.3">
      <c r="B15" s="2" t="s">
        <v>91</v>
      </c>
      <c r="C15" s="2" t="s">
        <v>49</v>
      </c>
      <c r="D15" s="1"/>
      <c r="E15" s="23" t="s">
        <v>90</v>
      </c>
      <c r="F15" s="15">
        <f>(((K10-G13)/H13)+1)</f>
        <v>1.5567090984974958</v>
      </c>
      <c r="G15" s="1"/>
      <c r="H15" s="1"/>
      <c r="I15" s="1"/>
      <c r="J15" s="1"/>
      <c r="K15" s="1"/>
      <c r="L15" s="1"/>
      <c r="M15" s="1"/>
      <c r="N15" s="1"/>
      <c r="O15" s="1"/>
    </row>
    <row r="16" spans="2:15" x14ac:dyDescent="0.3">
      <c r="B16" s="11">
        <v>30000</v>
      </c>
      <c r="C16" s="16">
        <f>B16/12500*110000</f>
        <v>264000</v>
      </c>
      <c r="D16" s="1"/>
      <c r="G16" s="1"/>
      <c r="H16" s="1"/>
      <c r="I16" s="1"/>
      <c r="J16" s="1"/>
      <c r="K16" s="1"/>
      <c r="L16" s="1"/>
      <c r="M16" s="1"/>
      <c r="N16" s="1"/>
      <c r="O16" s="1"/>
    </row>
    <row r="17" spans="2:16" x14ac:dyDescent="0.3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2:16" x14ac:dyDescent="0.3">
      <c r="B18" s="25" t="s">
        <v>118</v>
      </c>
      <c r="C18" s="25"/>
      <c r="D18" s="25"/>
      <c r="E18" s="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2:16" ht="27" x14ac:dyDescent="0.3">
      <c r="B19" s="2" t="s">
        <v>31</v>
      </c>
      <c r="C19" s="2" t="s">
        <v>32</v>
      </c>
      <c r="D19" s="2" t="s">
        <v>88</v>
      </c>
      <c r="E19" s="3" t="s">
        <v>33</v>
      </c>
      <c r="F19" s="2" t="s">
        <v>34</v>
      </c>
      <c r="G19" s="4" t="s">
        <v>35</v>
      </c>
      <c r="H19" s="4" t="s">
        <v>36</v>
      </c>
      <c r="I19" s="1"/>
      <c r="J19" s="2" t="s">
        <v>37</v>
      </c>
      <c r="K19" s="5" t="s">
        <v>38</v>
      </c>
      <c r="L19" s="1"/>
      <c r="M19" s="3" t="s">
        <v>37</v>
      </c>
      <c r="N19" s="3" t="s">
        <v>39</v>
      </c>
      <c r="O19" s="2" t="s">
        <v>40</v>
      </c>
    </row>
    <row r="20" spans="2:16" x14ac:dyDescent="0.3">
      <c r="B20" s="6" t="s">
        <v>52</v>
      </c>
      <c r="C20" s="7">
        <v>74.515100000000004</v>
      </c>
      <c r="D20" s="8">
        <f>ROUND(C20,0)/5</f>
        <v>15</v>
      </c>
      <c r="E20" s="9">
        <v>0</v>
      </c>
      <c r="F20" s="10">
        <f>D20-E20</f>
        <v>15</v>
      </c>
      <c r="G20" s="11">
        <f>F20*O20</f>
        <v>1470</v>
      </c>
      <c r="H20" s="11">
        <f>D20*O20</f>
        <v>1470</v>
      </c>
      <c r="I20" s="1"/>
      <c r="J20" s="9" t="s">
        <v>42</v>
      </c>
      <c r="K20" s="11">
        <f>N22*2</f>
        <v>7898</v>
      </c>
      <c r="L20" s="1"/>
      <c r="M20" s="12">
        <v>3</v>
      </c>
      <c r="N20" s="11">
        <v>790</v>
      </c>
      <c r="O20" s="13">
        <v>98</v>
      </c>
    </row>
    <row r="21" spans="2:16" x14ac:dyDescent="0.3">
      <c r="B21" s="6" t="s">
        <v>43</v>
      </c>
      <c r="C21" s="7">
        <v>10.909000000000001</v>
      </c>
      <c r="D21" s="8">
        <f>ROUND(C21,0)/5</f>
        <v>2.2000000000000002</v>
      </c>
      <c r="E21" s="9">
        <v>0</v>
      </c>
      <c r="F21" s="10">
        <f>D21-E21</f>
        <v>2.2000000000000002</v>
      </c>
      <c r="G21" s="11">
        <f>F21*O21</f>
        <v>464.20000000000005</v>
      </c>
      <c r="H21" s="11">
        <f>D21*O21</f>
        <v>464.20000000000005</v>
      </c>
      <c r="I21" s="1"/>
      <c r="J21" s="9" t="s">
        <v>44</v>
      </c>
      <c r="K21" s="14">
        <f>SUM(K20)</f>
        <v>7898</v>
      </c>
      <c r="L21" s="1"/>
      <c r="M21" s="12">
        <v>4</v>
      </c>
      <c r="N21" s="11">
        <v>1690</v>
      </c>
      <c r="O21" s="13">
        <v>211</v>
      </c>
    </row>
    <row r="22" spans="2:16" x14ac:dyDescent="0.3">
      <c r="B22" s="6" t="s">
        <v>45</v>
      </c>
      <c r="C22" s="7">
        <v>13.6363</v>
      </c>
      <c r="D22" s="8">
        <f>ROUND(C22,0)/5</f>
        <v>2.8</v>
      </c>
      <c r="E22" s="22">
        <v>2</v>
      </c>
      <c r="F22" s="10">
        <f>D22-E22</f>
        <v>0.79999999999999982</v>
      </c>
      <c r="G22" s="11">
        <f>F22*O22</f>
        <v>451.19999999999987</v>
      </c>
      <c r="H22" s="11">
        <f>D22*O22</f>
        <v>1579.1999999999998</v>
      </c>
      <c r="I22" s="1"/>
      <c r="J22" s="1"/>
      <c r="K22" s="1"/>
      <c r="L22" s="1"/>
      <c r="M22" s="12">
        <v>5</v>
      </c>
      <c r="N22" s="11">
        <v>3949</v>
      </c>
      <c r="O22" s="13">
        <v>564</v>
      </c>
    </row>
    <row r="23" spans="2:16" x14ac:dyDescent="0.3">
      <c r="B23" s="6" t="s">
        <v>46</v>
      </c>
      <c r="C23" s="7">
        <v>0.90900000000000003</v>
      </c>
      <c r="D23" s="8">
        <f>ROUND(C23,0)/5</f>
        <v>0.2</v>
      </c>
      <c r="E23" s="9">
        <v>0</v>
      </c>
      <c r="F23" s="10">
        <f>D23-E23</f>
        <v>0.2</v>
      </c>
      <c r="G23" s="11">
        <f>F23*O23</f>
        <v>320.20000000000005</v>
      </c>
      <c r="H23" s="11">
        <f>D23*O23</f>
        <v>320.20000000000005</v>
      </c>
      <c r="I23" s="1"/>
      <c r="J23" s="1"/>
      <c r="K23" s="1"/>
      <c r="L23" s="1"/>
      <c r="M23" s="12">
        <v>6</v>
      </c>
      <c r="N23" s="11">
        <v>9606</v>
      </c>
      <c r="O23" s="13">
        <v>1601</v>
      </c>
    </row>
    <row r="24" spans="2:16" x14ac:dyDescent="0.3">
      <c r="B24" s="6" t="s">
        <v>47</v>
      </c>
      <c r="C24" s="7">
        <v>2.9999999999999997E-4</v>
      </c>
      <c r="D24" s="8">
        <f>ROUND(C24,0)</f>
        <v>0</v>
      </c>
      <c r="E24" s="9">
        <v>0</v>
      </c>
      <c r="F24" s="10">
        <f>D24-E24</f>
        <v>0</v>
      </c>
      <c r="G24" s="11">
        <f>F24*O24</f>
        <v>0</v>
      </c>
      <c r="H24" s="11">
        <f>D24*O24</f>
        <v>0</v>
      </c>
      <c r="I24" s="1"/>
      <c r="J24" s="1"/>
      <c r="K24" s="1"/>
      <c r="L24" s="1"/>
      <c r="M24" s="12">
        <v>7</v>
      </c>
      <c r="N24" s="11">
        <v>23739</v>
      </c>
      <c r="O24" s="13">
        <v>4747</v>
      </c>
    </row>
    <row r="25" spans="2:16" x14ac:dyDescent="0.3">
      <c r="B25" s="1"/>
      <c r="C25" s="1"/>
      <c r="D25" s="1"/>
      <c r="E25" s="1"/>
      <c r="F25" s="1"/>
      <c r="G25" s="14">
        <f>SUM(G20:G24)</f>
        <v>2705.6000000000004</v>
      </c>
      <c r="H25" s="14">
        <f>SUM(H20:H24)</f>
        <v>3833.5999999999995</v>
      </c>
      <c r="I25" s="1"/>
      <c r="L25" s="1"/>
      <c r="M25" s="1"/>
      <c r="N25" s="1"/>
      <c r="O25" s="1"/>
    </row>
    <row r="26" spans="2:16" x14ac:dyDescent="0.3">
      <c r="B26" s="1" t="s">
        <v>93</v>
      </c>
      <c r="C26" s="1"/>
      <c r="D26" s="1"/>
      <c r="E26" s="1" t="s">
        <v>95</v>
      </c>
      <c r="F26" s="1"/>
      <c r="G26" s="1"/>
      <c r="H26" s="1"/>
      <c r="I26" s="1"/>
      <c r="L26" s="1"/>
      <c r="M26" s="1"/>
      <c r="N26" s="1"/>
      <c r="O26" s="1"/>
    </row>
    <row r="27" spans="2:16" x14ac:dyDescent="0.3">
      <c r="B27" s="2" t="s">
        <v>91</v>
      </c>
      <c r="C27" s="2" t="s">
        <v>49</v>
      </c>
      <c r="D27" s="1"/>
      <c r="E27" s="23" t="s">
        <v>90</v>
      </c>
      <c r="F27" s="15">
        <f>(((K21-G25)/H25)+1)</f>
        <v>2.3544449081803007</v>
      </c>
      <c r="G27" s="1"/>
      <c r="H27" s="1"/>
      <c r="I27" s="1"/>
      <c r="J27" s="1"/>
      <c r="K27" s="1"/>
      <c r="L27" s="1"/>
      <c r="M27" s="1"/>
      <c r="N27" s="1"/>
      <c r="O27" s="1"/>
    </row>
    <row r="28" spans="2:16" x14ac:dyDescent="0.3">
      <c r="B28" s="11">
        <v>6000</v>
      </c>
      <c r="C28" s="16">
        <f>B28/12500*110000</f>
        <v>52800</v>
      </c>
      <c r="D28" s="1"/>
      <c r="G28" s="1"/>
      <c r="H28" s="1"/>
      <c r="I28" s="1"/>
      <c r="J28" s="1"/>
      <c r="K28" s="1"/>
      <c r="L28" s="1"/>
      <c r="M28" s="1"/>
      <c r="N28" s="1"/>
      <c r="O28" s="1"/>
    </row>
    <row r="29" spans="2:16" x14ac:dyDescent="0.3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2:16" x14ac:dyDescent="0.3">
      <c r="B30" s="25" t="s">
        <v>80</v>
      </c>
      <c r="C30" s="25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2:16" ht="27" x14ac:dyDescent="0.3">
      <c r="B31" s="2" t="s">
        <v>31</v>
      </c>
      <c r="C31" s="2" t="s">
        <v>32</v>
      </c>
      <c r="D31" s="2" t="s">
        <v>94</v>
      </c>
      <c r="E31" s="3" t="s">
        <v>54</v>
      </c>
      <c r="F31" s="2" t="s">
        <v>34</v>
      </c>
      <c r="G31" s="4" t="s">
        <v>35</v>
      </c>
      <c r="H31" s="4" t="s">
        <v>36</v>
      </c>
      <c r="I31" s="1"/>
      <c r="J31" s="2" t="s">
        <v>37</v>
      </c>
      <c r="K31" s="5" t="s">
        <v>38</v>
      </c>
      <c r="L31" s="1"/>
      <c r="M31" s="3" t="s">
        <v>37</v>
      </c>
      <c r="N31" s="3" t="s">
        <v>39</v>
      </c>
      <c r="O31" s="2" t="s">
        <v>40</v>
      </c>
    </row>
    <row r="32" spans="2:16" x14ac:dyDescent="0.3">
      <c r="B32" s="6" t="s">
        <v>55</v>
      </c>
      <c r="C32" s="7">
        <v>81.999700000000004</v>
      </c>
      <c r="D32" s="8">
        <f>ROUND(C32,0)/100*10</f>
        <v>8.1999999999999993</v>
      </c>
      <c r="E32" s="9">
        <v>0</v>
      </c>
      <c r="F32" s="10">
        <f>D32-E32</f>
        <v>8.1999999999999993</v>
      </c>
      <c r="G32" s="11">
        <f>F32*O32</f>
        <v>803.59999999999991</v>
      </c>
      <c r="H32" s="11">
        <f>D32*O32</f>
        <v>803.59999999999991</v>
      </c>
      <c r="I32" s="1"/>
      <c r="J32" s="9" t="s">
        <v>56</v>
      </c>
      <c r="K32" s="11">
        <f>N33*E33</f>
        <v>3380</v>
      </c>
      <c r="L32" s="1"/>
      <c r="M32" s="12">
        <v>3</v>
      </c>
      <c r="N32" s="11">
        <v>790</v>
      </c>
      <c r="O32" s="13">
        <v>98</v>
      </c>
    </row>
    <row r="33" spans="2:16" x14ac:dyDescent="0.3">
      <c r="B33" s="6" t="s">
        <v>43</v>
      </c>
      <c r="C33" s="7">
        <v>12</v>
      </c>
      <c r="D33" s="8">
        <f>ROUND(C33,0)/100*10</f>
        <v>1.2</v>
      </c>
      <c r="E33" s="22">
        <v>2</v>
      </c>
      <c r="F33" s="10">
        <v>0</v>
      </c>
      <c r="G33" s="11"/>
      <c r="H33" s="11">
        <f>D33*O33</f>
        <v>253.2</v>
      </c>
      <c r="I33" s="1"/>
      <c r="J33" s="9" t="s">
        <v>57</v>
      </c>
      <c r="K33" s="14">
        <f>SUM(K32:K32)</f>
        <v>3380</v>
      </c>
      <c r="L33" s="1"/>
      <c r="M33" s="12">
        <v>4</v>
      </c>
      <c r="N33" s="11">
        <v>1690</v>
      </c>
      <c r="O33" s="13">
        <v>211</v>
      </c>
    </row>
    <row r="34" spans="2:16" x14ac:dyDescent="0.3">
      <c r="B34" s="6" t="s">
        <v>45</v>
      </c>
      <c r="C34" s="7">
        <v>5</v>
      </c>
      <c r="D34" s="8">
        <f>ROUND(C34,0)/100*10</f>
        <v>0.5</v>
      </c>
      <c r="E34" s="9">
        <v>0</v>
      </c>
      <c r="F34" s="10">
        <v>0</v>
      </c>
      <c r="G34" s="11"/>
      <c r="H34" s="11">
        <f>D34*O34</f>
        <v>282</v>
      </c>
      <c r="I34" s="1"/>
      <c r="J34"/>
      <c r="K34"/>
      <c r="L34" s="1"/>
      <c r="M34" s="12">
        <v>5</v>
      </c>
      <c r="N34" s="11">
        <v>3949</v>
      </c>
      <c r="O34" s="13">
        <v>564</v>
      </c>
    </row>
    <row r="35" spans="2:16" x14ac:dyDescent="0.3">
      <c r="B35" s="6" t="s">
        <v>46</v>
      </c>
      <c r="C35" s="7">
        <v>1</v>
      </c>
      <c r="D35" s="8">
        <f>ROUND(C35,0)/100*10</f>
        <v>0.1</v>
      </c>
      <c r="E35" s="9">
        <v>0</v>
      </c>
      <c r="F35" s="10">
        <f>D35-E35</f>
        <v>0.1</v>
      </c>
      <c r="G35" s="11"/>
      <c r="H35" s="11">
        <f>D35*O35</f>
        <v>160.10000000000002</v>
      </c>
      <c r="I35" s="1"/>
      <c r="J35" s="1"/>
      <c r="K35" s="1"/>
      <c r="L35" s="1"/>
      <c r="M35" s="12">
        <v>6</v>
      </c>
      <c r="N35" s="11">
        <v>9606</v>
      </c>
      <c r="O35" s="13">
        <v>1601</v>
      </c>
    </row>
    <row r="36" spans="2:16" x14ac:dyDescent="0.3">
      <c r="B36" s="6" t="s">
        <v>47</v>
      </c>
      <c r="C36" s="7">
        <v>2.9999999999999997E-4</v>
      </c>
      <c r="D36" s="8">
        <f>ROUND(C36,0)/100*10</f>
        <v>0</v>
      </c>
      <c r="E36" s="9">
        <v>0</v>
      </c>
      <c r="F36" s="10">
        <f>D36-E36</f>
        <v>0</v>
      </c>
      <c r="G36" s="11"/>
      <c r="H36" s="11">
        <f>D36*O36</f>
        <v>0</v>
      </c>
      <c r="I36" s="1"/>
      <c r="J36" s="1"/>
      <c r="K36" s="1"/>
      <c r="L36" s="1"/>
      <c r="M36" s="12">
        <v>7</v>
      </c>
      <c r="N36" s="11">
        <v>23739</v>
      </c>
      <c r="O36" s="13">
        <v>4747</v>
      </c>
    </row>
    <row r="37" spans="2:16" x14ac:dyDescent="0.3">
      <c r="B37" s="1"/>
      <c r="C37" s="1"/>
      <c r="D37" s="1"/>
      <c r="E37" s="1"/>
      <c r="F37" s="1"/>
      <c r="G37" s="14">
        <f>SUM(G32:G36)</f>
        <v>803.59999999999991</v>
      </c>
      <c r="H37" s="14">
        <f>SUM(H32:H36)</f>
        <v>1498.9</v>
      </c>
      <c r="I37" s="1"/>
      <c r="L37" s="1"/>
      <c r="M37" s="1"/>
      <c r="N37" s="1"/>
      <c r="O37" s="1"/>
    </row>
    <row r="38" spans="2:16" x14ac:dyDescent="0.3">
      <c r="B38" s="1" t="s">
        <v>105</v>
      </c>
      <c r="C38" s="1"/>
      <c r="D38" s="1"/>
      <c r="E38" s="1" t="s">
        <v>96</v>
      </c>
      <c r="F38" s="1"/>
      <c r="G38" s="1"/>
      <c r="H38" s="1"/>
      <c r="I38" s="1"/>
      <c r="L38" s="1"/>
      <c r="M38" s="1"/>
      <c r="N38" s="1"/>
      <c r="O38" s="1"/>
    </row>
    <row r="39" spans="2:16" x14ac:dyDescent="0.3">
      <c r="B39" s="2" t="s">
        <v>91</v>
      </c>
      <c r="C39" s="2" t="s">
        <v>49</v>
      </c>
      <c r="D39" s="1"/>
      <c r="E39" s="23" t="s">
        <v>90</v>
      </c>
      <c r="F39" s="15">
        <f>(((K33-G37)/H37)+1)</f>
        <v>2.7188604976983122</v>
      </c>
      <c r="G39" s="1"/>
      <c r="H39" s="1"/>
      <c r="I39" s="1"/>
      <c r="J39" s="1"/>
      <c r="K39" s="1"/>
      <c r="L39" s="1"/>
      <c r="M39" s="1"/>
      <c r="N39" s="1"/>
      <c r="O39" s="1"/>
    </row>
    <row r="40" spans="2:16" x14ac:dyDescent="0.3">
      <c r="B40" s="11">
        <v>3000</v>
      </c>
      <c r="C40" s="16">
        <f>B40/12500*110000</f>
        <v>26400</v>
      </c>
      <c r="D40" s="1"/>
      <c r="G40" s="1"/>
      <c r="H40" s="1"/>
      <c r="I40" s="1"/>
      <c r="J40" s="1"/>
      <c r="K40" s="1"/>
      <c r="L40" s="1"/>
      <c r="M40" s="1"/>
      <c r="N40" s="1"/>
      <c r="O40" s="1"/>
    </row>
    <row r="41" spans="2:16" x14ac:dyDescent="0.3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2:16" x14ac:dyDescent="0.3">
      <c r="B42" s="25" t="s">
        <v>60</v>
      </c>
      <c r="C42" s="25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27" x14ac:dyDescent="0.3">
      <c r="B43" s="2" t="s">
        <v>31</v>
      </c>
      <c r="C43" s="2" t="s">
        <v>32</v>
      </c>
      <c r="D43" s="2" t="s">
        <v>61</v>
      </c>
      <c r="E43" s="3" t="s">
        <v>54</v>
      </c>
      <c r="F43" s="2" t="s">
        <v>34</v>
      </c>
      <c r="G43" s="4" t="s">
        <v>35</v>
      </c>
      <c r="H43" s="4" t="s">
        <v>36</v>
      </c>
      <c r="I43" s="1"/>
      <c r="J43" s="2" t="s">
        <v>37</v>
      </c>
      <c r="K43" s="5" t="s">
        <v>38</v>
      </c>
      <c r="L43" s="1"/>
      <c r="M43" s="3" t="s">
        <v>62</v>
      </c>
      <c r="N43" s="3" t="s">
        <v>63</v>
      </c>
      <c r="O43" s="2" t="s">
        <v>64</v>
      </c>
    </row>
    <row r="44" spans="2:16" x14ac:dyDescent="0.3">
      <c r="B44" s="6" t="s">
        <v>41</v>
      </c>
      <c r="C44" s="7">
        <v>81.999700000000004</v>
      </c>
      <c r="D44" s="8">
        <f>ROUND(C44,0)/100*5</f>
        <v>4.0999999999999996</v>
      </c>
      <c r="E44" s="22">
        <v>2</v>
      </c>
      <c r="F44" s="10">
        <f>D44-E44</f>
        <v>2.0999999999999996</v>
      </c>
      <c r="G44" s="11">
        <f>F44*O44</f>
        <v>205.79999999999995</v>
      </c>
      <c r="H44" s="11">
        <f>D44*O44</f>
        <v>401.79999999999995</v>
      </c>
      <c r="I44" s="1"/>
      <c r="J44" s="9" t="s">
        <v>65</v>
      </c>
      <c r="K44" s="11">
        <f>N44*E44</f>
        <v>1580</v>
      </c>
      <c r="L44" s="1"/>
      <c r="M44" s="12">
        <v>3</v>
      </c>
      <c r="N44" s="11">
        <v>790</v>
      </c>
      <c r="O44" s="13">
        <v>98</v>
      </c>
    </row>
    <row r="45" spans="2:16" x14ac:dyDescent="0.3">
      <c r="B45" s="6" t="s">
        <v>43</v>
      </c>
      <c r="C45" s="7">
        <v>12</v>
      </c>
      <c r="D45" s="8">
        <f>ROUND(C45,0)/100*5</f>
        <v>0.6</v>
      </c>
      <c r="E45" s="9">
        <v>0</v>
      </c>
      <c r="F45" s="10">
        <v>0</v>
      </c>
      <c r="G45" s="11"/>
      <c r="H45" s="11">
        <f>D45*O45</f>
        <v>126.6</v>
      </c>
      <c r="I45" s="1"/>
      <c r="J45" s="9"/>
      <c r="K45" s="11"/>
      <c r="L45" s="1"/>
      <c r="M45" s="12">
        <v>4</v>
      </c>
      <c r="N45" s="11">
        <v>1690</v>
      </c>
      <c r="O45" s="13">
        <v>211</v>
      </c>
    </row>
    <row r="46" spans="2:16" x14ac:dyDescent="0.3">
      <c r="B46" s="6" t="s">
        <v>45</v>
      </c>
      <c r="C46" s="7">
        <v>5</v>
      </c>
      <c r="D46" s="8">
        <f>ROUND(C46,0)/100*5</f>
        <v>0.25</v>
      </c>
      <c r="E46" s="9">
        <v>0</v>
      </c>
      <c r="F46" s="10">
        <v>0</v>
      </c>
      <c r="G46" s="11"/>
      <c r="H46" s="11">
        <f>D46*O46</f>
        <v>141</v>
      </c>
      <c r="I46" s="1"/>
      <c r="J46" s="9" t="s">
        <v>44</v>
      </c>
      <c r="K46" s="14">
        <f>SUM(K44:K45)</f>
        <v>1580</v>
      </c>
      <c r="L46" s="1"/>
      <c r="M46" s="12">
        <v>5</v>
      </c>
      <c r="N46" s="11">
        <v>3949</v>
      </c>
      <c r="O46" s="13">
        <v>564</v>
      </c>
    </row>
    <row r="47" spans="2:16" x14ac:dyDescent="0.3">
      <c r="B47" s="6" t="s">
        <v>46</v>
      </c>
      <c r="C47" s="7">
        <v>1</v>
      </c>
      <c r="D47" s="8">
        <f>ROUND(C47,0)/100*5</f>
        <v>0.05</v>
      </c>
      <c r="E47" s="9">
        <v>0</v>
      </c>
      <c r="F47" s="10">
        <f>D47-E47</f>
        <v>0.05</v>
      </c>
      <c r="G47" s="11"/>
      <c r="H47" s="11">
        <f>D47*O47</f>
        <v>80.050000000000011</v>
      </c>
      <c r="I47" s="1"/>
      <c r="J47" s="1"/>
      <c r="K47" s="1"/>
      <c r="L47" s="1"/>
      <c r="M47" s="12">
        <v>6</v>
      </c>
      <c r="N47" s="11">
        <v>9606</v>
      </c>
      <c r="O47" s="13">
        <v>1601</v>
      </c>
    </row>
    <row r="48" spans="2:16" x14ac:dyDescent="0.3">
      <c r="B48" s="6" t="s">
        <v>47</v>
      </c>
      <c r="C48" s="7">
        <v>2.9999999999999997E-4</v>
      </c>
      <c r="D48" s="8">
        <f>ROUND(C48,0)/100*5</f>
        <v>0</v>
      </c>
      <c r="E48" s="9">
        <v>0</v>
      </c>
      <c r="F48" s="10">
        <f>D48-E48</f>
        <v>0</v>
      </c>
      <c r="G48" s="11"/>
      <c r="H48" s="11">
        <f>D48*O48</f>
        <v>0</v>
      </c>
      <c r="I48" s="1"/>
      <c r="J48" s="1"/>
      <c r="K48" s="1"/>
      <c r="L48" s="1"/>
      <c r="M48" s="12">
        <v>7</v>
      </c>
      <c r="N48" s="11">
        <v>23739</v>
      </c>
      <c r="O48" s="13">
        <v>4747</v>
      </c>
    </row>
    <row r="49" spans="2:15" x14ac:dyDescent="0.3">
      <c r="B49" s="1"/>
      <c r="C49" s="1"/>
      <c r="D49" s="1"/>
      <c r="E49" s="1"/>
      <c r="F49" s="1"/>
      <c r="G49" s="14">
        <f>SUM(G44:G48)</f>
        <v>205.79999999999995</v>
      </c>
      <c r="H49" s="14">
        <f>SUM(H44:H48)</f>
        <v>749.45</v>
      </c>
      <c r="I49" s="1"/>
      <c r="L49" s="1"/>
      <c r="M49" s="1"/>
      <c r="N49" s="1"/>
      <c r="O49" s="1"/>
    </row>
    <row r="50" spans="2:15" x14ac:dyDescent="0.3">
      <c r="B50" s="1" t="s">
        <v>106</v>
      </c>
      <c r="C50" s="1"/>
      <c r="D50" s="1"/>
      <c r="E50" s="1" t="s">
        <v>97</v>
      </c>
      <c r="F50" s="1"/>
      <c r="G50" s="1"/>
      <c r="H50" s="1"/>
      <c r="I50" s="1"/>
      <c r="L50" s="1"/>
      <c r="M50" s="1"/>
      <c r="N50" s="1"/>
      <c r="O50" s="1"/>
    </row>
    <row r="51" spans="2:15" x14ac:dyDescent="0.3">
      <c r="B51" s="2" t="s">
        <v>91</v>
      </c>
      <c r="C51" s="2" t="s">
        <v>68</v>
      </c>
      <c r="D51" s="1"/>
      <c r="E51" s="23" t="s">
        <v>90</v>
      </c>
      <c r="F51" s="15">
        <f>(((K46-G49)/H49)/5+1)</f>
        <v>1.3667222629928615</v>
      </c>
      <c r="G51" s="1"/>
      <c r="H51" s="1"/>
      <c r="I51" s="1"/>
      <c r="J51" s="1"/>
      <c r="K51" s="1"/>
      <c r="L51" s="1"/>
      <c r="M51" s="1"/>
      <c r="N51" s="1"/>
      <c r="O51" s="1"/>
    </row>
    <row r="52" spans="2:15" x14ac:dyDescent="0.3">
      <c r="B52" s="11">
        <v>1500</v>
      </c>
      <c r="C52" s="16">
        <f>B52/12500*110000</f>
        <v>13200</v>
      </c>
      <c r="D52" s="1"/>
      <c r="G52" s="1"/>
      <c r="H52" s="1"/>
      <c r="I52" s="1"/>
      <c r="J52" s="1"/>
      <c r="K52" s="1"/>
      <c r="L52" s="1"/>
      <c r="M52" s="1"/>
      <c r="N52" s="1"/>
      <c r="O52" s="1"/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1"/>
  <sheetViews>
    <sheetView workbookViewId="0">
      <pane ySplit="4" topLeftCell="A5" activePane="bottomLeft" state="frozen"/>
      <selection pane="bottomLeft" activeCell="I30" sqref="I30"/>
    </sheetView>
  </sheetViews>
  <sheetFormatPr defaultColWidth="3.625" defaultRowHeight="16.5" x14ac:dyDescent="0.3"/>
  <cols>
    <col min="1" max="1" width="3.625" style="19"/>
    <col min="2" max="2" width="16.125" style="19" customWidth="1"/>
    <col min="3" max="13" width="12.625" style="19" customWidth="1"/>
    <col min="14" max="14" width="10.625" style="19" customWidth="1"/>
    <col min="15" max="16" width="12.625" style="19" customWidth="1"/>
    <col min="17" max="21" width="3.625" style="19"/>
    <col min="22" max="22" width="16.5" style="19" customWidth="1"/>
    <col min="23" max="16384" width="3.625" style="19"/>
  </cols>
  <sheetData>
    <row r="1" spans="2:19" x14ac:dyDescent="0.3">
      <c r="B1" s="1" t="s">
        <v>79</v>
      </c>
      <c r="C1" s="1"/>
      <c r="E1" s="1" t="s">
        <v>48</v>
      </c>
      <c r="F1" s="1"/>
      <c r="H1" s="1" t="s">
        <v>58</v>
      </c>
      <c r="I1" s="1"/>
      <c r="K1" s="1" t="s">
        <v>67</v>
      </c>
      <c r="L1" s="1"/>
    </row>
    <row r="2" spans="2:19" x14ac:dyDescent="0.3">
      <c r="B2" s="2" t="s">
        <v>77</v>
      </c>
      <c r="C2" s="2" t="s">
        <v>50</v>
      </c>
      <c r="E2" s="2" t="s">
        <v>77</v>
      </c>
      <c r="F2" s="2" t="s">
        <v>50</v>
      </c>
      <c r="H2" s="2" t="s">
        <v>77</v>
      </c>
      <c r="I2" s="2" t="s">
        <v>50</v>
      </c>
      <c r="K2" s="2" t="s">
        <v>77</v>
      </c>
      <c r="L2" s="2" t="s">
        <v>69</v>
      </c>
    </row>
    <row r="3" spans="2:19" x14ac:dyDescent="0.3">
      <c r="B3" s="21">
        <f>B15*F14</f>
        <v>27892.561983471078</v>
      </c>
      <c r="C3" s="17">
        <f>C15*F14</f>
        <v>245454.54545454547</v>
      </c>
      <c r="E3" s="21">
        <f>B27*F26</f>
        <v>6917.355371900826</v>
      </c>
      <c r="F3" s="17">
        <f>C27*F26</f>
        <v>60872.727272727272</v>
      </c>
      <c r="H3" s="21">
        <f>J15*N14</f>
        <v>4850.2994011976052</v>
      </c>
      <c r="I3" s="18">
        <f>K15*N14</f>
        <v>42682.634730538928</v>
      </c>
      <c r="K3" s="21">
        <f>J27*N26</f>
        <v>808.38323353293413</v>
      </c>
      <c r="L3" s="17">
        <f>K27*N26</f>
        <v>7113.7724550898201</v>
      </c>
    </row>
    <row r="4" spans="2:19" x14ac:dyDescent="0.3">
      <c r="C4" s="1"/>
      <c r="D4" s="1"/>
      <c r="E4" s="1"/>
      <c r="F4" s="1"/>
      <c r="G4" s="1"/>
      <c r="H4" s="1"/>
      <c r="I4" s="20" t="s">
        <v>59</v>
      </c>
      <c r="J4" s="1"/>
      <c r="K4" s="1"/>
      <c r="L4" s="1"/>
      <c r="M4" s="1"/>
      <c r="N4" s="1"/>
      <c r="O4" s="1"/>
    </row>
    <row r="5" spans="2:19" x14ac:dyDescent="0.3">
      <c r="B5" s="25" t="s">
        <v>78</v>
      </c>
      <c r="C5" s="25"/>
      <c r="D5" s="25"/>
      <c r="E5" s="1"/>
      <c r="F5" s="1"/>
      <c r="G5" s="1"/>
      <c r="H5" s="1"/>
      <c r="I5" s="1"/>
      <c r="J5" s="25" t="s">
        <v>80</v>
      </c>
      <c r="K5" s="25"/>
      <c r="L5" s="1"/>
      <c r="M5" s="1"/>
      <c r="N5" s="1"/>
      <c r="O5" s="1"/>
      <c r="P5" s="1"/>
      <c r="Q5" s="1"/>
    </row>
    <row r="6" spans="2:19" ht="27" x14ac:dyDescent="0.3">
      <c r="B6" s="2" t="s">
        <v>31</v>
      </c>
      <c r="C6" s="2" t="s">
        <v>32</v>
      </c>
      <c r="D6" s="2" t="s">
        <v>85</v>
      </c>
      <c r="E6" s="2" t="s">
        <v>70</v>
      </c>
      <c r="F6" s="1"/>
      <c r="G6" s="2" t="s">
        <v>37</v>
      </c>
      <c r="H6" s="5" t="s">
        <v>38</v>
      </c>
      <c r="I6" s="1"/>
      <c r="J6" s="2" t="s">
        <v>31</v>
      </c>
      <c r="K6" s="2" t="s">
        <v>32</v>
      </c>
      <c r="L6" s="2" t="s">
        <v>53</v>
      </c>
      <c r="M6" s="2" t="s">
        <v>70</v>
      </c>
      <c r="N6" s="1"/>
      <c r="O6" s="2" t="s">
        <v>37</v>
      </c>
      <c r="P6" s="5" t="s">
        <v>38</v>
      </c>
      <c r="Q6" s="1"/>
    </row>
    <row r="7" spans="2:19" x14ac:dyDescent="0.3">
      <c r="B7" s="6" t="s">
        <v>41</v>
      </c>
      <c r="C7" s="7">
        <v>74.515100000000004</v>
      </c>
      <c r="D7" s="8">
        <f>ROUND(C7,0)/10</f>
        <v>7.5</v>
      </c>
      <c r="E7" s="8">
        <f>D7</f>
        <v>7.5</v>
      </c>
      <c r="F7" s="1"/>
      <c r="G7" s="9" t="s">
        <v>82</v>
      </c>
      <c r="H7" s="11">
        <v>5</v>
      </c>
      <c r="I7" s="1"/>
      <c r="J7" s="6" t="s">
        <v>55</v>
      </c>
      <c r="K7" s="7">
        <v>81.999700000000004</v>
      </c>
      <c r="L7" s="8">
        <f>ROUND(K7,0)/100*10</f>
        <v>8.1999999999999993</v>
      </c>
      <c r="M7" s="8">
        <f>L7</f>
        <v>8.1999999999999993</v>
      </c>
      <c r="N7" s="1"/>
      <c r="O7" s="9" t="s">
        <v>72</v>
      </c>
      <c r="P7" s="11">
        <v>5</v>
      </c>
      <c r="Q7" s="1"/>
    </row>
    <row r="8" spans="2:19" x14ac:dyDescent="0.3">
      <c r="B8" s="6" t="s">
        <v>43</v>
      </c>
      <c r="C8" s="7">
        <v>10.909000000000001</v>
      </c>
      <c r="D8" s="8">
        <f t="shared" ref="D8:D11" si="0">ROUND(C8,0)/10</f>
        <v>1.1000000000000001</v>
      </c>
      <c r="E8" s="8">
        <f>D8*5</f>
        <v>5.5</v>
      </c>
      <c r="F8" s="1"/>
      <c r="G8" s="9" t="s">
        <v>81</v>
      </c>
      <c r="H8" s="11">
        <f>H7*5</f>
        <v>25</v>
      </c>
      <c r="I8" s="1"/>
      <c r="J8" s="6" t="s">
        <v>43</v>
      </c>
      <c r="K8" s="7">
        <v>12</v>
      </c>
      <c r="L8" s="8">
        <f>ROUND(K8,0)/100*10</f>
        <v>1.2</v>
      </c>
      <c r="M8" s="8">
        <f>L8*5</f>
        <v>6</v>
      </c>
      <c r="N8" s="1"/>
      <c r="O8" s="9" t="s">
        <v>71</v>
      </c>
      <c r="P8" s="11">
        <f>P7*5</f>
        <v>25</v>
      </c>
      <c r="Q8" s="1"/>
    </row>
    <row r="9" spans="2:19" x14ac:dyDescent="0.3">
      <c r="B9" s="6" t="s">
        <v>45</v>
      </c>
      <c r="C9" s="7">
        <v>13.6363</v>
      </c>
      <c r="D9" s="8">
        <f t="shared" si="0"/>
        <v>1.4</v>
      </c>
      <c r="E9" s="8">
        <f>D9*25</f>
        <v>35</v>
      </c>
      <c r="F9" s="1"/>
      <c r="G9" s="9" t="s">
        <v>72</v>
      </c>
      <c r="H9" s="11">
        <f>H8*5</f>
        <v>125</v>
      </c>
      <c r="I9" s="1"/>
      <c r="J9" s="6" t="s">
        <v>45</v>
      </c>
      <c r="K9" s="7">
        <v>5</v>
      </c>
      <c r="L9" s="8">
        <f>ROUND(K9,0)/100*10</f>
        <v>0.5</v>
      </c>
      <c r="M9" s="8">
        <f>L9*5</f>
        <v>2.5</v>
      </c>
      <c r="N9" s="1"/>
      <c r="O9" s="9" t="s">
        <v>73</v>
      </c>
      <c r="P9" s="14">
        <f>SUM(P7:P8)</f>
        <v>30</v>
      </c>
      <c r="Q9" s="1"/>
    </row>
    <row r="10" spans="2:19" x14ac:dyDescent="0.3">
      <c r="B10" s="6" t="s">
        <v>46</v>
      </c>
      <c r="C10" s="7">
        <v>0.90900000000000003</v>
      </c>
      <c r="D10" s="8">
        <f t="shared" si="0"/>
        <v>0.1</v>
      </c>
      <c r="E10" s="8">
        <f>D10*125</f>
        <v>12.5</v>
      </c>
      <c r="F10" s="1"/>
      <c r="G10" s="9" t="s">
        <v>71</v>
      </c>
      <c r="H10" s="11">
        <f>H9*5</f>
        <v>625</v>
      </c>
      <c r="I10" s="1"/>
      <c r="J10" s="6" t="s">
        <v>46</v>
      </c>
      <c r="K10" s="7">
        <v>1</v>
      </c>
      <c r="L10" s="8">
        <f>ROUND(K10,0)/100*10</f>
        <v>0.1</v>
      </c>
      <c r="M10" s="8">
        <f>ROUND(L10,0)/100*10</f>
        <v>0</v>
      </c>
      <c r="N10" s="1"/>
      <c r="O10" s="1"/>
      <c r="P10" s="1"/>
      <c r="Q10" s="1"/>
    </row>
    <row r="11" spans="2:19" x14ac:dyDescent="0.3">
      <c r="B11" s="6" t="s">
        <v>47</v>
      </c>
      <c r="C11" s="7">
        <v>2.9999999999999997E-4</v>
      </c>
      <c r="D11" s="8">
        <f t="shared" si="0"/>
        <v>0</v>
      </c>
      <c r="E11" s="8">
        <f>D11*625</f>
        <v>0</v>
      </c>
      <c r="F11" s="1"/>
      <c r="G11" s="9" t="s">
        <v>83</v>
      </c>
      <c r="H11" s="14">
        <f>H10</f>
        <v>625</v>
      </c>
      <c r="I11" s="1"/>
      <c r="J11" s="6" t="s">
        <v>47</v>
      </c>
      <c r="K11" s="7">
        <v>2.9999999999999997E-4</v>
      </c>
      <c r="L11" s="8">
        <f>ROUND(K11,0)/100*10</f>
        <v>0</v>
      </c>
      <c r="M11" s="8">
        <f>ROUND(L11,0)/100*10</f>
        <v>0</v>
      </c>
      <c r="N11" s="1"/>
      <c r="O11" s="1"/>
      <c r="P11" s="1"/>
      <c r="Q11" s="1"/>
    </row>
    <row r="12" spans="2:19" x14ac:dyDescent="0.3">
      <c r="B12" s="1"/>
      <c r="C12" s="1"/>
      <c r="D12" s="1"/>
      <c r="E12" s="24">
        <f>SUM(E7:E11)</f>
        <v>60.5</v>
      </c>
      <c r="F12" s="1"/>
      <c r="I12" s="1"/>
      <c r="J12" s="1"/>
      <c r="K12" s="1"/>
      <c r="L12" s="1"/>
      <c r="M12" s="24">
        <f>SUM(M7:M11)</f>
        <v>16.7</v>
      </c>
      <c r="N12" s="1"/>
      <c r="Q12" s="1"/>
    </row>
    <row r="13" spans="2:19" x14ac:dyDescent="0.3">
      <c r="B13" s="1" t="s">
        <v>102</v>
      </c>
      <c r="C13" s="1"/>
      <c r="D13" s="1"/>
      <c r="E13" s="1" t="s">
        <v>84</v>
      </c>
      <c r="F13" s="1"/>
      <c r="I13" s="1"/>
      <c r="J13" s="1" t="s">
        <v>104</v>
      </c>
      <c r="K13" s="1"/>
      <c r="L13" s="1"/>
      <c r="M13" s="1" t="s">
        <v>66</v>
      </c>
      <c r="N13" s="1"/>
      <c r="Q13" s="1"/>
    </row>
    <row r="14" spans="2:19" x14ac:dyDescent="0.3">
      <c r="B14" s="2" t="s">
        <v>91</v>
      </c>
      <c r="C14" s="2" t="s">
        <v>49</v>
      </c>
      <c r="D14" s="1"/>
      <c r="E14" s="23" t="s">
        <v>90</v>
      </c>
      <c r="F14" s="15">
        <f>H11/E12</f>
        <v>10.330578512396695</v>
      </c>
      <c r="G14" s="1"/>
      <c r="H14" s="1"/>
      <c r="I14" s="1"/>
      <c r="J14" s="2" t="s">
        <v>91</v>
      </c>
      <c r="K14" s="2" t="s">
        <v>49</v>
      </c>
      <c r="L14" s="1"/>
      <c r="M14" s="23" t="s">
        <v>90</v>
      </c>
      <c r="N14" s="15">
        <f>P9/M12</f>
        <v>1.7964071856287427</v>
      </c>
      <c r="O14" s="1"/>
      <c r="P14" s="1"/>
      <c r="Q14" s="1"/>
      <c r="R14" s="1"/>
      <c r="S14" s="1"/>
    </row>
    <row r="15" spans="2:19" x14ac:dyDescent="0.3">
      <c r="B15" s="11">
        <v>2700</v>
      </c>
      <c r="C15" s="16">
        <f>B15/12500*110000</f>
        <v>23760</v>
      </c>
      <c r="D15" s="1"/>
      <c r="G15" s="1"/>
      <c r="H15" s="1"/>
      <c r="I15" s="1"/>
      <c r="J15" s="11">
        <v>2700</v>
      </c>
      <c r="K15" s="16">
        <f>J15/12500*110000</f>
        <v>23760</v>
      </c>
      <c r="L15" s="1"/>
      <c r="O15" s="1"/>
      <c r="P15" s="1"/>
      <c r="Q15" s="1"/>
      <c r="R15" s="1"/>
      <c r="S15" s="1"/>
    </row>
    <row r="16" spans="2:19" x14ac:dyDescent="0.3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2:19" x14ac:dyDescent="0.3">
      <c r="B17" s="25" t="s">
        <v>51</v>
      </c>
      <c r="C17" s="25"/>
      <c r="D17" s="25"/>
      <c r="E17" s="1"/>
      <c r="F17" s="1"/>
      <c r="G17" s="1"/>
      <c r="H17" s="1"/>
      <c r="I17" s="1"/>
      <c r="J17" s="25" t="s">
        <v>60</v>
      </c>
      <c r="K17" s="25"/>
      <c r="L17" s="1"/>
      <c r="M17" s="1"/>
      <c r="N17" s="1"/>
      <c r="O17" s="1"/>
      <c r="P17" s="1"/>
      <c r="Q17" s="1"/>
      <c r="R17" s="1"/>
      <c r="S17" s="1"/>
    </row>
    <row r="18" spans="2:19" ht="27" x14ac:dyDescent="0.3">
      <c r="B18" s="2" t="s">
        <v>31</v>
      </c>
      <c r="C18" s="2" t="s">
        <v>32</v>
      </c>
      <c r="D18" s="2" t="s">
        <v>85</v>
      </c>
      <c r="E18" s="2" t="s">
        <v>70</v>
      </c>
      <c r="F18" s="1"/>
      <c r="G18" s="2" t="s">
        <v>37</v>
      </c>
      <c r="H18" s="5" t="s">
        <v>38</v>
      </c>
      <c r="I18" s="1"/>
      <c r="J18" s="2" t="s">
        <v>31</v>
      </c>
      <c r="K18" s="2" t="s">
        <v>32</v>
      </c>
      <c r="L18" s="2" t="s">
        <v>87</v>
      </c>
      <c r="M18" s="2" t="s">
        <v>70</v>
      </c>
      <c r="N18" s="1"/>
      <c r="O18" s="2" t="s">
        <v>37</v>
      </c>
      <c r="P18" s="5" t="s">
        <v>38</v>
      </c>
      <c r="Q18" s="1"/>
      <c r="R18" s="1"/>
      <c r="S18" s="1"/>
    </row>
    <row r="19" spans="2:19" x14ac:dyDescent="0.3">
      <c r="B19" s="6" t="s">
        <v>52</v>
      </c>
      <c r="C19" s="7">
        <v>74.515100000000004</v>
      </c>
      <c r="D19" s="8">
        <f>ROUND(C19,0)/10</f>
        <v>7.5</v>
      </c>
      <c r="E19" s="8">
        <f>D19</f>
        <v>7.5</v>
      </c>
      <c r="F19" s="1"/>
      <c r="G19" s="9" t="s">
        <v>81</v>
      </c>
      <c r="H19" s="11">
        <v>5</v>
      </c>
      <c r="I19" s="1"/>
      <c r="J19" s="6" t="s">
        <v>41</v>
      </c>
      <c r="K19" s="7">
        <v>81.999700000000004</v>
      </c>
      <c r="L19" s="8">
        <f>ROUND(K19,0)/100*2</f>
        <v>1.64</v>
      </c>
      <c r="M19" s="8">
        <f>L19</f>
        <v>1.64</v>
      </c>
      <c r="N19" s="1"/>
      <c r="O19" s="9" t="s">
        <v>71</v>
      </c>
      <c r="P19" s="11">
        <v>5</v>
      </c>
      <c r="Q19" s="1"/>
      <c r="R19" s="1"/>
      <c r="S19" s="1"/>
    </row>
    <row r="20" spans="2:19" x14ac:dyDescent="0.3">
      <c r="B20" s="6" t="s">
        <v>43</v>
      </c>
      <c r="C20" s="7">
        <v>10.909000000000001</v>
      </c>
      <c r="D20" s="8">
        <f t="shared" ref="D20:D23" si="1">ROUND(C20,0)/10</f>
        <v>1.1000000000000001</v>
      </c>
      <c r="E20" s="8">
        <f>D20*5</f>
        <v>5.5</v>
      </c>
      <c r="F20" s="1"/>
      <c r="G20" s="9" t="s">
        <v>72</v>
      </c>
      <c r="H20" s="11">
        <f>H19*5</f>
        <v>25</v>
      </c>
      <c r="I20" s="1"/>
      <c r="J20" s="6" t="s">
        <v>43</v>
      </c>
      <c r="K20" s="7">
        <v>12</v>
      </c>
      <c r="L20" s="8">
        <f t="shared" ref="L20:L23" si="2">ROUND(K20,0)/100*2</f>
        <v>0.24</v>
      </c>
      <c r="M20" s="8">
        <f>L20*5</f>
        <v>1.2</v>
      </c>
      <c r="N20" s="1"/>
      <c r="O20" s="9" t="s">
        <v>73</v>
      </c>
      <c r="P20" s="14">
        <f>SUM(P19)</f>
        <v>5</v>
      </c>
      <c r="Q20" s="1"/>
      <c r="R20" s="1"/>
      <c r="S20" s="1"/>
    </row>
    <row r="21" spans="2:19" x14ac:dyDescent="0.3">
      <c r="B21" s="6" t="s">
        <v>45</v>
      </c>
      <c r="C21" s="7">
        <v>13.6363</v>
      </c>
      <c r="D21" s="8">
        <f t="shared" si="1"/>
        <v>1.4</v>
      </c>
      <c r="E21" s="8">
        <f>D21*25</f>
        <v>35</v>
      </c>
      <c r="F21" s="1"/>
      <c r="G21" s="9" t="s">
        <v>71</v>
      </c>
      <c r="H21" s="11">
        <f>H20*5</f>
        <v>125</v>
      </c>
      <c r="I21" s="1"/>
      <c r="J21" s="6" t="s">
        <v>45</v>
      </c>
      <c r="K21" s="7">
        <v>5</v>
      </c>
      <c r="L21" s="8">
        <f t="shared" si="2"/>
        <v>0.1</v>
      </c>
      <c r="M21" s="8">
        <f>L21*5</f>
        <v>0.5</v>
      </c>
      <c r="N21" s="1"/>
      <c r="Q21" s="1"/>
      <c r="R21" s="1"/>
      <c r="S21" s="1"/>
    </row>
    <row r="22" spans="2:19" x14ac:dyDescent="0.3">
      <c r="B22" s="6" t="s">
        <v>46</v>
      </c>
      <c r="C22" s="7">
        <v>0.90900000000000003</v>
      </c>
      <c r="D22" s="8">
        <f t="shared" si="1"/>
        <v>0.1</v>
      </c>
      <c r="E22" s="8">
        <f>D22*125</f>
        <v>12.5</v>
      </c>
      <c r="F22" s="1"/>
      <c r="G22" s="9" t="s">
        <v>83</v>
      </c>
      <c r="H22" s="14">
        <f>SUM(H19:H21)</f>
        <v>155</v>
      </c>
      <c r="I22" s="1"/>
      <c r="J22" s="6" t="s">
        <v>46</v>
      </c>
      <c r="K22" s="7">
        <v>1</v>
      </c>
      <c r="L22" s="8">
        <f t="shared" si="2"/>
        <v>0.02</v>
      </c>
      <c r="M22" s="8">
        <f>ROUND(L22,0)/100*10</f>
        <v>0</v>
      </c>
      <c r="N22" s="1"/>
      <c r="O22" s="1"/>
      <c r="P22" s="1"/>
      <c r="Q22" s="1"/>
      <c r="R22" s="1"/>
      <c r="S22" s="1"/>
    </row>
    <row r="23" spans="2:19" x14ac:dyDescent="0.3">
      <c r="B23" s="6" t="s">
        <v>47</v>
      </c>
      <c r="C23" s="7">
        <v>2.9999999999999997E-4</v>
      </c>
      <c r="D23" s="8">
        <f t="shared" si="1"/>
        <v>0</v>
      </c>
      <c r="E23" s="8">
        <f>D23*625</f>
        <v>0</v>
      </c>
      <c r="F23" s="1"/>
      <c r="G23" s="1"/>
      <c r="H23" s="1"/>
      <c r="I23" s="1"/>
      <c r="J23" s="6" t="s">
        <v>47</v>
      </c>
      <c r="K23" s="7">
        <v>2.9999999999999997E-4</v>
      </c>
      <c r="L23" s="8">
        <f t="shared" si="2"/>
        <v>0</v>
      </c>
      <c r="M23" s="8">
        <f>ROUND(L23,0)/100*10</f>
        <v>0</v>
      </c>
      <c r="N23" s="1"/>
      <c r="O23" s="1"/>
      <c r="P23" s="1"/>
      <c r="Q23" s="1"/>
      <c r="R23" s="1"/>
      <c r="S23" s="1"/>
    </row>
    <row r="24" spans="2:19" x14ac:dyDescent="0.3">
      <c r="B24" s="1"/>
      <c r="C24" s="1"/>
      <c r="D24" s="1"/>
      <c r="E24" s="24">
        <f>SUM(E19:E23)</f>
        <v>60.5</v>
      </c>
      <c r="F24" s="1"/>
      <c r="I24" s="1"/>
      <c r="J24" s="1"/>
      <c r="K24" s="1"/>
      <c r="L24" s="1"/>
      <c r="M24" s="24">
        <f>SUM(M19:M23)</f>
        <v>3.34</v>
      </c>
      <c r="N24" s="1"/>
      <c r="Q24" s="1"/>
      <c r="R24" s="1"/>
      <c r="S24" s="1"/>
    </row>
    <row r="25" spans="2:19" x14ac:dyDescent="0.3">
      <c r="B25" s="1" t="s">
        <v>102</v>
      </c>
      <c r="C25" s="1"/>
      <c r="D25" s="1"/>
      <c r="E25" s="1" t="s">
        <v>86</v>
      </c>
      <c r="F25" s="1"/>
      <c r="I25" s="1"/>
      <c r="J25" s="1" t="s">
        <v>103</v>
      </c>
      <c r="K25" s="1"/>
      <c r="L25" s="1"/>
      <c r="M25" s="1" t="s">
        <v>66</v>
      </c>
      <c r="N25" s="1"/>
      <c r="Q25" s="1"/>
      <c r="R25" s="1"/>
      <c r="S25" s="1"/>
    </row>
    <row r="26" spans="2:19" x14ac:dyDescent="0.3">
      <c r="B26" s="2" t="s">
        <v>91</v>
      </c>
      <c r="C26" s="2" t="s">
        <v>49</v>
      </c>
      <c r="D26" s="1"/>
      <c r="E26" s="23" t="s">
        <v>90</v>
      </c>
      <c r="F26" s="15">
        <f>H22/E24</f>
        <v>2.5619834710743801</v>
      </c>
      <c r="G26" s="1"/>
      <c r="H26" s="1"/>
      <c r="I26" s="1"/>
      <c r="J26" s="2" t="s">
        <v>91</v>
      </c>
      <c r="K26" s="2" t="s">
        <v>68</v>
      </c>
      <c r="L26" s="1"/>
      <c r="M26" s="23" t="s">
        <v>90</v>
      </c>
      <c r="N26" s="15">
        <f>P20/M24</f>
        <v>1.4970059880239521</v>
      </c>
      <c r="O26" s="1"/>
      <c r="P26" s="1"/>
      <c r="Q26" s="1"/>
      <c r="R26" s="1"/>
      <c r="S26" s="1"/>
    </row>
    <row r="27" spans="2:19" x14ac:dyDescent="0.3">
      <c r="B27" s="11">
        <v>2700</v>
      </c>
      <c r="C27" s="16">
        <f>B27/12500*110000</f>
        <v>23760</v>
      </c>
      <c r="D27" s="1"/>
      <c r="G27" s="1"/>
      <c r="H27" s="1"/>
      <c r="I27" s="1"/>
      <c r="J27" s="11">
        <v>540</v>
      </c>
      <c r="K27" s="16">
        <f>J27/12500*110000</f>
        <v>4752</v>
      </c>
      <c r="L27" s="1"/>
      <c r="O27" s="1"/>
      <c r="P27" s="1"/>
      <c r="Q27" s="1"/>
      <c r="R27" s="1"/>
      <c r="S27" s="1"/>
    </row>
    <row r="28" spans="2:19" x14ac:dyDescent="0.3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2:19" x14ac:dyDescent="0.3"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2:19" x14ac:dyDescent="0.3"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2:19" x14ac:dyDescent="0.3"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2:19" x14ac:dyDescent="0.3"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0:19" x14ac:dyDescent="0.3"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0:19" x14ac:dyDescent="0.3"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0:19" x14ac:dyDescent="0.3"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0:19" x14ac:dyDescent="0.3"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0:19" x14ac:dyDescent="0.3"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0:19" x14ac:dyDescent="0.3"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0:19" x14ac:dyDescent="0.3"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0:19" x14ac:dyDescent="0.3"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0:19" x14ac:dyDescent="0.3"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0:19" x14ac:dyDescent="0.3"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0:19" x14ac:dyDescent="0.3"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0:19" x14ac:dyDescent="0.3"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0:19" x14ac:dyDescent="0.3"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0:19" x14ac:dyDescent="0.3"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0:19" x14ac:dyDescent="0.3"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0:19" x14ac:dyDescent="0.3"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0:19" x14ac:dyDescent="0.3"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0:19" x14ac:dyDescent="0.3"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0:19" x14ac:dyDescent="0.3">
      <c r="J51" s="1"/>
      <c r="K51" s="1"/>
      <c r="L51" s="1"/>
      <c r="M51" s="1"/>
      <c r="N51" s="1"/>
      <c r="O51" s="1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컨텐츠 가격</vt:lpstr>
      <vt:lpstr>장비 Simul</vt:lpstr>
      <vt:lpstr>룬스톤 Simul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Joongwon</dc:creator>
  <cp:lastModifiedBy>KangDoHee</cp:lastModifiedBy>
  <cp:lastPrinted>2017-02-07T05:11:02Z</cp:lastPrinted>
  <dcterms:created xsi:type="dcterms:W3CDTF">2016-08-26T07:41:42Z</dcterms:created>
  <dcterms:modified xsi:type="dcterms:W3CDTF">2017-02-09T01:22:31Z</dcterms:modified>
</cp:coreProperties>
</file>