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GameDesign\NOXMain\Design\100.Renewal\1)DesignDoc\04. 유료화\"/>
    </mc:Choice>
  </mc:AlternateContent>
  <bookViews>
    <workbookView xWindow="0" yWindow="0" windowWidth="25200" windowHeight="11400" tabRatio="893"/>
  </bookViews>
  <sheets>
    <sheet name="연금술 비용 산정 종합" sheetId="1" r:id="rId1"/>
    <sheet name="균열 던전 강화 정수 및 골드 획득" sheetId="2" r:id="rId2"/>
    <sheet name="초월 던전 강화 정수 및 골드 획득" sheetId="5" r:id="rId3"/>
    <sheet name="일반 던전 강화 정수 및 골드 획득" sheetId="6" r:id="rId4"/>
    <sheet name="강화 정수 정보" sheetId="4" r:id="rId5"/>
    <sheet name="일일 열쇠 획득" sheetId="3" r:id="rId6"/>
  </sheets>
  <definedNames>
    <definedName name="_xlnm._FilterDatabase" localSheetId="2" hidden="1">'초월 던전 강화 정수 및 골드 획득'!$W$133:$Z$133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22" i="1"/>
  <c r="F23" i="1"/>
  <c r="F24" i="1"/>
  <c r="F25" i="1"/>
  <c r="F20" i="1"/>
  <c r="H6" i="5" l="1"/>
  <c r="F6" i="5"/>
  <c r="E6" i="5"/>
  <c r="D6" i="5"/>
  <c r="C6" i="5"/>
  <c r="H11" i="5"/>
  <c r="F11" i="5"/>
  <c r="E11" i="5"/>
  <c r="D11" i="5"/>
  <c r="C11" i="5"/>
  <c r="J24" i="4" l="1"/>
  <c r="M13" i="1"/>
  <c r="I13" i="1"/>
  <c r="J13" i="1"/>
  <c r="K13" i="1"/>
  <c r="H13" i="1"/>
  <c r="M6" i="1"/>
  <c r="I6" i="1"/>
  <c r="J6" i="1"/>
  <c r="K6" i="1"/>
  <c r="H6" i="1"/>
  <c r="G6" i="5"/>
  <c r="F18" i="5"/>
  <c r="F17" i="5"/>
  <c r="F66" i="5"/>
  <c r="F65" i="5"/>
  <c r="M10" i="1"/>
  <c r="I10" i="1"/>
  <c r="J10" i="1"/>
  <c r="K10" i="1"/>
  <c r="H10" i="1"/>
  <c r="I3" i="1"/>
  <c r="J3" i="1"/>
  <c r="K3" i="1"/>
  <c r="M3" i="1"/>
  <c r="H3" i="1"/>
  <c r="H11" i="6"/>
  <c r="F11" i="6"/>
  <c r="E11" i="6"/>
  <c r="D11" i="6"/>
  <c r="C11" i="6"/>
  <c r="H6" i="6"/>
  <c r="D6" i="6"/>
  <c r="G6" i="6" s="1"/>
  <c r="E6" i="6"/>
  <c r="F6" i="6"/>
  <c r="C6" i="6"/>
  <c r="F19" i="6"/>
  <c r="F20" i="6"/>
  <c r="F21" i="6"/>
  <c r="H21" i="6" s="1"/>
  <c r="F22" i="6"/>
  <c r="H22" i="6" s="1"/>
  <c r="F23" i="6"/>
  <c r="F24" i="6"/>
  <c r="F25" i="6"/>
  <c r="F26" i="6"/>
  <c r="H26" i="6" s="1"/>
  <c r="F27" i="6"/>
  <c r="H23" i="6"/>
  <c r="H25" i="6"/>
  <c r="H19" i="6"/>
  <c r="H27" i="6"/>
  <c r="F18" i="6"/>
  <c r="H18" i="6" s="1"/>
  <c r="C5" i="6" s="1"/>
  <c r="H20" i="6"/>
  <c r="H24" i="6"/>
  <c r="H9" i="6"/>
  <c r="F9" i="6"/>
  <c r="E9" i="6"/>
  <c r="D9" i="6"/>
  <c r="C9" i="6"/>
  <c r="K13" i="6"/>
  <c r="O13" i="6" s="1"/>
  <c r="K12" i="6"/>
  <c r="O12" i="6" s="1"/>
  <c r="K11" i="6"/>
  <c r="O11" i="6" s="1"/>
  <c r="K10" i="6"/>
  <c r="O10" i="6" s="1"/>
  <c r="K9" i="6"/>
  <c r="O9" i="6" s="1"/>
  <c r="K8" i="6"/>
  <c r="O8" i="6" s="1"/>
  <c r="K7" i="6"/>
  <c r="O7" i="6" s="1"/>
  <c r="K6" i="6"/>
  <c r="D4" i="6"/>
  <c r="E4" i="6"/>
  <c r="F4" i="6"/>
  <c r="H4" i="6"/>
  <c r="C4" i="6"/>
  <c r="D10" i="5"/>
  <c r="I12" i="1" s="1"/>
  <c r="E10" i="5"/>
  <c r="J12" i="1" s="1"/>
  <c r="F10" i="5"/>
  <c r="K12" i="1" s="1"/>
  <c r="H10" i="5"/>
  <c r="M12" i="1" s="1"/>
  <c r="C10" i="5"/>
  <c r="H12" i="1" s="1"/>
  <c r="D5" i="5"/>
  <c r="I5" i="1" s="1"/>
  <c r="E5" i="5"/>
  <c r="J5" i="1" s="1"/>
  <c r="F5" i="5"/>
  <c r="K5" i="1" s="1"/>
  <c r="H5" i="5"/>
  <c r="M5" i="1" s="1"/>
  <c r="C5" i="5"/>
  <c r="H5" i="1" s="1"/>
  <c r="O41" i="5"/>
  <c r="O42" i="5"/>
  <c r="O43" i="5"/>
  <c r="O44" i="5"/>
  <c r="O45" i="5"/>
  <c r="O46" i="5"/>
  <c r="O47" i="5"/>
  <c r="O40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15" i="5"/>
  <c r="N41" i="5"/>
  <c r="N42" i="5"/>
  <c r="N43" i="5"/>
  <c r="N44" i="5"/>
  <c r="N45" i="5"/>
  <c r="N46" i="5"/>
  <c r="N47" i="5"/>
  <c r="N40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12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20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2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5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12" i="5"/>
  <c r="K6" i="5"/>
  <c r="K7" i="5"/>
  <c r="K8" i="5"/>
  <c r="K9" i="5"/>
  <c r="K10" i="5"/>
  <c r="K11" i="5"/>
  <c r="K5" i="5"/>
  <c r="H11" i="2"/>
  <c r="F11" i="2"/>
  <c r="E11" i="2"/>
  <c r="D11" i="2"/>
  <c r="H6" i="2"/>
  <c r="F6" i="2"/>
  <c r="E6" i="2"/>
  <c r="D6" i="2"/>
  <c r="G6" i="2" s="1"/>
  <c r="C11" i="2"/>
  <c r="C6" i="2"/>
  <c r="H9" i="2"/>
  <c r="F9" i="2"/>
  <c r="E9" i="2"/>
  <c r="D9" i="2"/>
  <c r="C9" i="2"/>
  <c r="H4" i="2"/>
  <c r="F4" i="2"/>
  <c r="E4" i="2"/>
  <c r="D4" i="2"/>
  <c r="C4" i="2"/>
  <c r="P14" i="2"/>
  <c r="Q14" i="2"/>
  <c r="R14" i="2"/>
  <c r="L6" i="1" l="1"/>
  <c r="L13" i="1"/>
  <c r="L3" i="1"/>
  <c r="L10" i="1"/>
  <c r="G11" i="5"/>
  <c r="P36" i="5"/>
  <c r="P32" i="5"/>
  <c r="P28" i="5"/>
  <c r="P24" i="5"/>
  <c r="P20" i="5"/>
  <c r="P44" i="5"/>
  <c r="P43" i="5"/>
  <c r="P46" i="5"/>
  <c r="P42" i="5"/>
  <c r="G5" i="5"/>
  <c r="G10" i="5"/>
  <c r="L5" i="1"/>
  <c r="L12" i="1"/>
  <c r="P40" i="5"/>
  <c r="P19" i="5"/>
  <c r="P15" i="5"/>
  <c r="P11" i="5"/>
  <c r="P7" i="5"/>
  <c r="G11" i="6"/>
  <c r="G9" i="6"/>
  <c r="D5" i="6"/>
  <c r="F10" i="6"/>
  <c r="H5" i="6"/>
  <c r="D10" i="6"/>
  <c r="E10" i="6"/>
  <c r="C10" i="6"/>
  <c r="O6" i="6"/>
  <c r="E5" i="6"/>
  <c r="F5" i="6"/>
  <c r="H10" i="6"/>
  <c r="G4" i="6"/>
  <c r="P47" i="5"/>
  <c r="P10" i="5"/>
  <c r="P6" i="5"/>
  <c r="P5" i="5"/>
  <c r="P45" i="5"/>
  <c r="P41" i="5"/>
  <c r="P34" i="5"/>
  <c r="P26" i="5"/>
  <c r="P14" i="5"/>
  <c r="P33" i="5"/>
  <c r="P25" i="5"/>
  <c r="P16" i="5"/>
  <c r="P12" i="5"/>
  <c r="P8" i="5"/>
  <c r="P39" i="5"/>
  <c r="P35" i="5"/>
  <c r="P31" i="5"/>
  <c r="P27" i="5"/>
  <c r="P23" i="5"/>
  <c r="P38" i="5"/>
  <c r="P30" i="5"/>
  <c r="P22" i="5"/>
  <c r="P18" i="5"/>
  <c r="P37" i="5"/>
  <c r="P29" i="5"/>
  <c r="P21" i="5"/>
  <c r="P17" i="5"/>
  <c r="P13" i="5"/>
  <c r="P9" i="5"/>
  <c r="G11" i="2"/>
  <c r="G9" i="2"/>
  <c r="G4" i="2"/>
  <c r="T14" i="2"/>
  <c r="H9" i="5" l="1"/>
  <c r="M11" i="1" s="1"/>
  <c r="D9" i="5"/>
  <c r="I11" i="1" s="1"/>
  <c r="C9" i="5"/>
  <c r="E9" i="5"/>
  <c r="J11" i="1" s="1"/>
  <c r="F9" i="5"/>
  <c r="K11" i="1" s="1"/>
  <c r="H4" i="5"/>
  <c r="M4" i="1" s="1"/>
  <c r="C4" i="5"/>
  <c r="D4" i="5"/>
  <c r="I4" i="1" s="1"/>
  <c r="E4" i="5"/>
  <c r="J4" i="1" s="1"/>
  <c r="F4" i="5"/>
  <c r="K4" i="1" s="1"/>
  <c r="G5" i="6"/>
  <c r="G10" i="6"/>
  <c r="H4" i="1" l="1"/>
  <c r="L4" i="1" s="1"/>
  <c r="G4" i="5"/>
  <c r="G9" i="5"/>
  <c r="H11" i="1"/>
  <c r="L11" i="1" s="1"/>
  <c r="N11" i="4" l="1"/>
  <c r="P11" i="4" s="1"/>
  <c r="N10" i="4"/>
  <c r="P10" i="4" s="1"/>
  <c r="N9" i="4"/>
  <c r="N8" i="4"/>
  <c r="P8" i="4" s="1"/>
  <c r="N7" i="4"/>
  <c r="P7" i="4" s="1"/>
  <c r="N6" i="4"/>
  <c r="P6" i="4" s="1"/>
  <c r="N5" i="4"/>
  <c r="P5" i="4" s="1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D4" i="4"/>
  <c r="D23" i="4" s="1"/>
  <c r="H8" i="3"/>
  <c r="O10" i="4" l="1"/>
  <c r="O6" i="4"/>
  <c r="D5" i="4"/>
  <c r="P9" i="4"/>
  <c r="D21" i="4"/>
  <c r="C24" i="4"/>
  <c r="D17" i="4"/>
  <c r="O9" i="4"/>
  <c r="D9" i="4"/>
  <c r="O7" i="4"/>
  <c r="O11" i="4"/>
  <c r="O8" i="4"/>
  <c r="D13" i="4"/>
  <c r="D8" i="4"/>
  <c r="E4" i="4"/>
  <c r="D7" i="4"/>
  <c r="D6" i="4"/>
  <c r="D10" i="4"/>
  <c r="D14" i="4"/>
  <c r="D18" i="4"/>
  <c r="D22" i="4"/>
  <c r="D12" i="4"/>
  <c r="D16" i="4"/>
  <c r="D20" i="4"/>
  <c r="D11" i="4"/>
  <c r="D15" i="4"/>
  <c r="D19" i="4"/>
  <c r="D24" i="4" l="1"/>
  <c r="E20" i="4"/>
  <c r="E16" i="4"/>
  <c r="E12" i="4"/>
  <c r="E22" i="4"/>
  <c r="E18" i="4"/>
  <c r="E6" i="4"/>
  <c r="E21" i="4"/>
  <c r="E17" i="4"/>
  <c r="E13" i="4"/>
  <c r="E5" i="4"/>
  <c r="E14" i="4"/>
  <c r="E23" i="4"/>
  <c r="E19" i="4"/>
  <c r="E15" i="4"/>
  <c r="E11" i="4"/>
  <c r="E7" i="4"/>
  <c r="F4" i="4"/>
  <c r="E8" i="4"/>
  <c r="E9" i="4"/>
  <c r="E10" i="4"/>
  <c r="E24" i="4" l="1"/>
  <c r="F21" i="4"/>
  <c r="F17" i="4"/>
  <c r="F13" i="4"/>
  <c r="F19" i="4"/>
  <c r="F22" i="4"/>
  <c r="F18" i="4"/>
  <c r="F6" i="4"/>
  <c r="F15" i="4"/>
  <c r="F11" i="4"/>
  <c r="F20" i="4"/>
  <c r="F16" i="4"/>
  <c r="F12" i="4"/>
  <c r="F8" i="4"/>
  <c r="F9" i="4"/>
  <c r="F5" i="4"/>
  <c r="F14" i="4"/>
  <c r="F10" i="4"/>
  <c r="F23" i="4"/>
  <c r="F7" i="4"/>
  <c r="G4" i="4"/>
  <c r="F24" i="4" l="1"/>
  <c r="G22" i="4"/>
  <c r="G18" i="4"/>
  <c r="G14" i="4"/>
  <c r="G10" i="4"/>
  <c r="G7" i="4"/>
  <c r="H4" i="4"/>
  <c r="G20" i="4"/>
  <c r="G23" i="4"/>
  <c r="G19" i="4"/>
  <c r="G15" i="4"/>
  <c r="G16" i="4"/>
  <c r="G12" i="4"/>
  <c r="G21" i="4"/>
  <c r="G17" i="4"/>
  <c r="G13" i="4"/>
  <c r="G9" i="4"/>
  <c r="G5" i="4"/>
  <c r="G6" i="4"/>
  <c r="G11" i="4"/>
  <c r="G8" i="4"/>
  <c r="G24" i="4" l="1"/>
  <c r="H23" i="4"/>
  <c r="H19" i="4"/>
  <c r="H15" i="4"/>
  <c r="H7" i="4"/>
  <c r="H21" i="4"/>
  <c r="H13" i="4"/>
  <c r="H9" i="4"/>
  <c r="H20" i="4"/>
  <c r="H16" i="4"/>
  <c r="H8" i="4"/>
  <c r="H22" i="4"/>
  <c r="H18" i="4"/>
  <c r="H14" i="4"/>
  <c r="H10" i="4"/>
  <c r="H6" i="4"/>
  <c r="H11" i="4"/>
  <c r="I4" i="4"/>
  <c r="H12" i="4"/>
  <c r="H17" i="4"/>
  <c r="H5" i="4"/>
  <c r="H24" i="4" l="1"/>
  <c r="I20" i="4"/>
  <c r="I16" i="4"/>
  <c r="I12" i="4"/>
  <c r="I13" i="4"/>
  <c r="I5" i="4"/>
  <c r="I22" i="4"/>
  <c r="I18" i="4"/>
  <c r="I21" i="4"/>
  <c r="I17" i="4"/>
  <c r="I9" i="4"/>
  <c r="I14" i="4"/>
  <c r="I10" i="4"/>
  <c r="I23" i="4"/>
  <c r="I19" i="4"/>
  <c r="I15" i="4"/>
  <c r="I11" i="4"/>
  <c r="I7" i="4"/>
  <c r="I8" i="4"/>
  <c r="I6" i="4"/>
  <c r="I24" i="4" l="1"/>
  <c r="S23" i="2" l="1"/>
  <c r="S24" i="2"/>
  <c r="S22" i="2"/>
  <c r="R21" i="2"/>
  <c r="R22" i="2"/>
  <c r="R23" i="2"/>
  <c r="R24" i="2"/>
  <c r="R20" i="2"/>
  <c r="R6" i="2"/>
  <c r="R7" i="2"/>
  <c r="R8" i="2"/>
  <c r="R9" i="2"/>
  <c r="R10" i="2"/>
  <c r="R11" i="2"/>
  <c r="R12" i="2"/>
  <c r="R13" i="2"/>
  <c r="R15" i="2"/>
  <c r="R16" i="2"/>
  <c r="R17" i="2"/>
  <c r="R18" i="2"/>
  <c r="R19" i="2"/>
  <c r="R5" i="2"/>
  <c r="Q6" i="2"/>
  <c r="Q7" i="2"/>
  <c r="Q8" i="2"/>
  <c r="Q9" i="2"/>
  <c r="Q10" i="2"/>
  <c r="Q11" i="2"/>
  <c r="Q12" i="2"/>
  <c r="Q13" i="2"/>
  <c r="Q15" i="2"/>
  <c r="Q16" i="2"/>
  <c r="Q17" i="2"/>
  <c r="Q18" i="2"/>
  <c r="Q19" i="2"/>
  <c r="Q20" i="2"/>
  <c r="Q21" i="2"/>
  <c r="Q22" i="2"/>
  <c r="Q23" i="2"/>
  <c r="Q24" i="2"/>
  <c r="Q5" i="2"/>
  <c r="P23" i="2" l="1"/>
  <c r="T23" i="2" s="1"/>
  <c r="P24" i="2"/>
  <c r="T24" i="2" s="1"/>
  <c r="P22" i="2"/>
  <c r="T22" i="2" s="1"/>
  <c r="P6" i="2"/>
  <c r="T6" i="2" s="1"/>
  <c r="P7" i="2"/>
  <c r="T7" i="2" s="1"/>
  <c r="P8" i="2"/>
  <c r="T8" i="2" s="1"/>
  <c r="P9" i="2"/>
  <c r="T9" i="2" s="1"/>
  <c r="P10" i="2"/>
  <c r="T10" i="2" s="1"/>
  <c r="P11" i="2"/>
  <c r="T11" i="2" s="1"/>
  <c r="P12" i="2"/>
  <c r="T12" i="2" s="1"/>
  <c r="P13" i="2"/>
  <c r="T13" i="2" s="1"/>
  <c r="P15" i="2"/>
  <c r="T15" i="2" s="1"/>
  <c r="P16" i="2"/>
  <c r="T16" i="2" s="1"/>
  <c r="P17" i="2"/>
  <c r="T17" i="2" s="1"/>
  <c r="P18" i="2"/>
  <c r="T18" i="2" s="1"/>
  <c r="P19" i="2"/>
  <c r="T19" i="2" s="1"/>
  <c r="P20" i="2"/>
  <c r="T20" i="2" s="1"/>
  <c r="P21" i="2"/>
  <c r="T21" i="2" s="1"/>
  <c r="P5" i="2"/>
  <c r="T5" i="2" s="1"/>
  <c r="C18" i="2"/>
  <c r="C19" i="2" s="1"/>
  <c r="D5" i="2" l="1"/>
  <c r="H5" i="2"/>
  <c r="C5" i="2"/>
  <c r="E5" i="2"/>
  <c r="F5" i="2"/>
  <c r="F10" i="2"/>
  <c r="E10" i="2"/>
  <c r="H10" i="2"/>
  <c r="C10" i="2"/>
  <c r="D10" i="2"/>
  <c r="E19" i="2"/>
  <c r="E18" i="2"/>
  <c r="C20" i="2" s="1"/>
  <c r="E20" i="2" s="1"/>
  <c r="L8" i="3"/>
  <c r="K8" i="3"/>
  <c r="J8" i="3"/>
  <c r="I8" i="3"/>
  <c r="L7" i="3"/>
  <c r="K7" i="3"/>
  <c r="J7" i="3"/>
  <c r="I7" i="3"/>
  <c r="H7" i="3"/>
  <c r="L4" i="3"/>
  <c r="K4" i="3"/>
  <c r="J4" i="3"/>
  <c r="I4" i="3"/>
  <c r="H4" i="3"/>
  <c r="G5" i="2" l="1"/>
  <c r="G10" i="2"/>
  <c r="L9" i="3"/>
  <c r="I9" i="3"/>
  <c r="H9" i="3"/>
  <c r="J9" i="3"/>
  <c r="K9" i="3"/>
</calcChain>
</file>

<file path=xl/sharedStrings.xml><?xml version="1.0" encoding="utf-8"?>
<sst xmlns="http://schemas.openxmlformats.org/spreadsheetml/2006/main" count="847" uniqueCount="341">
  <si>
    <t>무기</t>
    <phoneticPr fontId="0" type="Hiragana"/>
  </si>
  <si>
    <t>방어구</t>
    <phoneticPr fontId="0" type="Hiragana"/>
  </si>
  <si>
    <t>장신구</t>
    <phoneticPr fontId="0" type="Hiragana"/>
  </si>
  <si>
    <t>무과금</t>
    <phoneticPr fontId="0" type="Hiragana"/>
  </si>
  <si>
    <t>소과금</t>
    <phoneticPr fontId="0" type="Hiragana"/>
  </si>
  <si>
    <t>중과금</t>
    <phoneticPr fontId="0" type="Hiragana"/>
  </si>
  <si>
    <t>고과금</t>
    <phoneticPr fontId="0" type="Hiragana"/>
  </si>
  <si>
    <t>최대 과금</t>
    <phoneticPr fontId="0" type="Hiragana"/>
  </si>
  <si>
    <t>일일 획득 가능 열쇠 개수</t>
    <phoneticPr fontId="3" type="noConversion"/>
  </si>
  <si>
    <t>평균</t>
    <phoneticPr fontId="3" type="noConversion"/>
  </si>
  <si>
    <t>일일 획득 가능 강화 정수 개수</t>
    <phoneticPr fontId="3" type="noConversion"/>
  </si>
  <si>
    <t>일일 획득 가능 골드</t>
    <phoneticPr fontId="3" type="noConversion"/>
  </si>
  <si>
    <t>원스토어</t>
    <phoneticPr fontId="3" type="noConversion"/>
  </si>
  <si>
    <t>구글</t>
    <phoneticPr fontId="3" type="noConversion"/>
  </si>
  <si>
    <t>&gt; 각 계산에 사용된 수치값</t>
    <phoneticPr fontId="3" type="noConversion"/>
  </si>
  <si>
    <t>일일 열쇠 재화 계산표</t>
    <phoneticPr fontId="0" type="Hiragana"/>
  </si>
  <si>
    <t>무과금</t>
    <phoneticPr fontId="0" type="Hiragana"/>
  </si>
  <si>
    <t>소과금</t>
    <phoneticPr fontId="0" type="Hiragana"/>
  </si>
  <si>
    <t>중과금</t>
    <phoneticPr fontId="0" type="Hiragana"/>
  </si>
  <si>
    <t>고과금</t>
    <phoneticPr fontId="0" type="Hiragana"/>
  </si>
  <si>
    <t>최대 과금</t>
    <phoneticPr fontId="0" type="Hiragana"/>
  </si>
  <si>
    <t>최초 열쇠 개수</t>
    <phoneticPr fontId="0" type="Hiragana"/>
  </si>
  <si>
    <t>항상 충전되고 있는 상태를 유지했을 때, 일일 획득 열쇠 개수</t>
    <phoneticPr fontId="0" type="Hiragana"/>
  </si>
  <si>
    <t>접속 열쇠</t>
    <phoneticPr fontId="0" type="Hiragana"/>
  </si>
  <si>
    <t>일일 미션 열쇠</t>
    <phoneticPr fontId="0" type="Hiragana"/>
  </si>
  <si>
    <t>소셜 열쇠</t>
    <phoneticPr fontId="0" type="Hiragana"/>
  </si>
  <si>
    <t>수호레이드 획득 가능한 우정 포인트</t>
    <phoneticPr fontId="0" type="Hiragana"/>
  </si>
  <si>
    <t>하루에 획득할 수 있는 열쇠 량</t>
    <phoneticPr fontId="0" type="Hiragana"/>
  </si>
  <si>
    <t>24시간 충전 상태를 유지할 경우 획득 가능한 열쇠 개수</t>
    <phoneticPr fontId="3" type="noConversion"/>
  </si>
  <si>
    <t>무과금 소셜, 기타 이용 비율</t>
    <phoneticPr fontId="3" type="noConversion"/>
  </si>
  <si>
    <t>소과금 소셜, 기타 이용 비율</t>
    <phoneticPr fontId="3" type="noConversion"/>
  </si>
  <si>
    <t>중과금 소셜, 기타 이용 비율</t>
    <phoneticPr fontId="3" type="noConversion"/>
  </si>
  <si>
    <t>고과금 소셜, 기타 이용 비율</t>
    <phoneticPr fontId="3" type="noConversion"/>
  </si>
  <si>
    <t>최대 과금 소셜, 기타 이용 비율</t>
    <phoneticPr fontId="3" type="noConversion"/>
  </si>
  <si>
    <t>최대 친구 수</t>
    <phoneticPr fontId="3" type="noConversion"/>
  </si>
  <si>
    <t>우정 포인트 주고 받기</t>
    <phoneticPr fontId="3" type="noConversion"/>
  </si>
  <si>
    <t>수호 레이드 우정 포인트</t>
    <phoneticPr fontId="3" type="noConversion"/>
  </si>
  <si>
    <t>&gt; 캐릭터 및 수호자 레벨에 따른 균열 던전 입장 난이도 계산</t>
    <phoneticPr fontId="3" type="noConversion"/>
  </si>
  <si>
    <t>유저 수호자 레벨</t>
    <phoneticPr fontId="3" type="noConversion"/>
  </si>
  <si>
    <t>유저 캐릭터 레벨</t>
    <phoneticPr fontId="3" type="noConversion"/>
  </si>
  <si>
    <t>입장 웨이브 숫자</t>
    <phoneticPr fontId="3" type="noConversion"/>
  </si>
  <si>
    <t>입장 단계</t>
    <phoneticPr fontId="3" type="noConversion"/>
  </si>
  <si>
    <t>최대 수호자 레벨</t>
    <phoneticPr fontId="3" type="noConversion"/>
  </si>
  <si>
    <t>균열 던전 총 단계 수</t>
    <phoneticPr fontId="3" type="noConversion"/>
  </si>
  <si>
    <t>일반 Ⅰ</t>
  </si>
  <si>
    <t>일반 Ⅱ</t>
  </si>
  <si>
    <t>일반 Ⅲ</t>
  </si>
  <si>
    <t>일반 Ⅳ</t>
  </si>
  <si>
    <t>일반 Ⅴ</t>
  </si>
  <si>
    <t>어려움 Ⅰ</t>
  </si>
  <si>
    <t>어려움 Ⅱ</t>
  </si>
  <si>
    <t>어려움 Ⅲ</t>
  </si>
  <si>
    <t>어려움 Ⅳ</t>
  </si>
  <si>
    <t>어려움 Ⅴ</t>
  </si>
  <si>
    <t>고수 Ⅰ</t>
  </si>
  <si>
    <t>고수 Ⅱ</t>
  </si>
  <si>
    <t>고수 Ⅲ</t>
  </si>
  <si>
    <t>고수 Ⅳ</t>
  </si>
  <si>
    <t>고수 Ⅴ</t>
  </si>
  <si>
    <t>마스터 Ⅰ</t>
  </si>
  <si>
    <t>마스터 Ⅱ</t>
  </si>
  <si>
    <t>마스터 Ⅲ</t>
  </si>
  <si>
    <t>마스터 Ⅳ</t>
  </si>
  <si>
    <t>마스터 Ⅴ</t>
  </si>
  <si>
    <t>마스터 Ⅵ</t>
  </si>
  <si>
    <t>마스터 Ⅶ</t>
  </si>
  <si>
    <t>마스터 Ⅷ</t>
  </si>
  <si>
    <t>마스터 Ⅸ</t>
  </si>
  <si>
    <t>마스터 Ⅹ</t>
  </si>
  <si>
    <t>지옥 Ⅰ</t>
  </si>
  <si>
    <t>지옥 Ⅱ</t>
  </si>
  <si>
    <t>지옥 Ⅲ</t>
  </si>
  <si>
    <t>지옥 Ⅳ</t>
  </si>
  <si>
    <t>지옥 Ⅴ</t>
  </si>
  <si>
    <t>지옥 Ⅵ</t>
  </si>
  <si>
    <t>지옥 Ⅶ</t>
  </si>
  <si>
    <t>지옥 Ⅷ</t>
  </si>
  <si>
    <t>지옥 Ⅸ</t>
  </si>
  <si>
    <t>지옥 Ⅹ</t>
  </si>
  <si>
    <t>지옥 ⅩⅠ</t>
  </si>
  <si>
    <t>지옥 ⅩⅡ</t>
  </si>
  <si>
    <t>지옥 ⅩⅢ</t>
  </si>
  <si>
    <t>지옥 ⅩⅣ</t>
  </si>
  <si>
    <t>지옥 ⅩⅤ</t>
  </si>
  <si>
    <t>표기 난이도 이름</t>
    <phoneticPr fontId="3" type="noConversion"/>
  </si>
  <si>
    <t>&gt;균열 던전 단계 별 정보</t>
    <phoneticPr fontId="3" type="noConversion"/>
  </si>
  <si>
    <t>단계</t>
    <phoneticPr fontId="3" type="noConversion"/>
  </si>
  <si>
    <t>난이도</t>
    <phoneticPr fontId="3" type="noConversion"/>
  </si>
  <si>
    <t>획득 골드량</t>
    <phoneticPr fontId="3" type="noConversion"/>
  </si>
  <si>
    <t>목걸이 1</t>
  </si>
  <si>
    <t>목걸이 2</t>
  </si>
  <si>
    <t>무기 1</t>
  </si>
  <si>
    <t>무기 2</t>
  </si>
  <si>
    <t>무기 3</t>
  </si>
  <si>
    <t>목걸이 3</t>
  </si>
  <si>
    <t>무기 4</t>
  </si>
  <si>
    <t>보상 코드</t>
    <phoneticPr fontId="3" type="noConversion"/>
  </si>
  <si>
    <t>확률</t>
    <phoneticPr fontId="3" type="noConversion"/>
  </si>
  <si>
    <t>아이템</t>
    <phoneticPr fontId="3" type="noConversion"/>
  </si>
  <si>
    <t>등급</t>
    <phoneticPr fontId="3" type="noConversion"/>
  </si>
  <si>
    <t>&gt;균열 던전 단계 별 장비 등급 확률</t>
    <phoneticPr fontId="3" type="noConversion"/>
  </si>
  <si>
    <t>등급</t>
    <phoneticPr fontId="3" type="noConversion"/>
  </si>
  <si>
    <t>평균
획득 정수량</t>
    <phoneticPr fontId="3" type="noConversion"/>
  </si>
  <si>
    <t>&gt;균열 던전 보상 코드 별 아이템 획득 확률표</t>
    <phoneticPr fontId="3" type="noConversion"/>
  </si>
  <si>
    <t>&gt; 등급별 풀강화 정수량</t>
    <phoneticPr fontId="0" type="Hiragana"/>
  </si>
  <si>
    <t>등급</t>
    <phoneticPr fontId="0" type="Hiragana"/>
  </si>
  <si>
    <t>등급</t>
    <phoneticPr fontId="0" type="Hiragana"/>
  </si>
  <si>
    <t>풀강화
정수량</t>
    <phoneticPr fontId="0" type="Hiragana"/>
  </si>
  <si>
    <t>증가율</t>
    <phoneticPr fontId="0" type="Hiragana"/>
  </si>
  <si>
    <t>분해</t>
    <phoneticPr fontId="0" type="Hiragana"/>
  </si>
  <si>
    <t>풀강화
분해율</t>
    <phoneticPr fontId="0" type="Hiragana"/>
  </si>
  <si>
    <t>상수</t>
    <phoneticPr fontId="3" type="noConversion"/>
  </si>
  <si>
    <t>총계</t>
    <phoneticPr fontId="0" type="Hiragana"/>
  </si>
  <si>
    <t>&gt; 아이템 등급에 따른 강화 단계별 필요 정수량</t>
    <phoneticPr fontId="0" type="Hiragana"/>
  </si>
  <si>
    <t>&gt; 과금 별 균열 던전에서 획득 가능한 강화 정수 및 골드량 계산</t>
    <phoneticPr fontId="3" type="noConversion"/>
  </si>
  <si>
    <t>&gt; 과금 별 균열 던전 초기화 횟수 및 균열석 획득 개수</t>
    <phoneticPr fontId="3" type="noConversion"/>
  </si>
  <si>
    <t>난이도 별 획득 골드</t>
    <phoneticPr fontId="3" type="noConversion"/>
  </si>
  <si>
    <t>무과금</t>
  </si>
  <si>
    <t>무과금</t>
    <phoneticPr fontId="3" type="noConversion"/>
  </si>
  <si>
    <t>소과금</t>
  </si>
  <si>
    <t>소과금</t>
    <phoneticPr fontId="3" type="noConversion"/>
  </si>
  <si>
    <t>중과금</t>
  </si>
  <si>
    <t>중과금</t>
    <phoneticPr fontId="3" type="noConversion"/>
  </si>
  <si>
    <t>고과금</t>
  </si>
  <si>
    <t>고과금</t>
    <phoneticPr fontId="3" type="noConversion"/>
  </si>
  <si>
    <t>최대 과금</t>
    <phoneticPr fontId="3" type="noConversion"/>
  </si>
  <si>
    <t>획득 가능 균열석 개수</t>
    <phoneticPr fontId="3" type="noConversion"/>
  </si>
  <si>
    <t>* 원스토어 유저는 캐릭터 레벨 50 / 수호자 레벨 1000 때 입장 가능한 균열 던전 단계를 기준으로 하였습니다.</t>
    <phoneticPr fontId="3" type="noConversion"/>
  </si>
  <si>
    <t>* 구글 유저는 캐릭터 레벨 50 / 수호자 레벨 400 때 입장 가능한 균열 던전 단계를 기준으로 하였습니다.</t>
    <phoneticPr fontId="3" type="noConversion"/>
  </si>
  <si>
    <t>균열 던전 이용 열쇠 개수</t>
    <phoneticPr fontId="3" type="noConversion"/>
  </si>
  <si>
    <t>입장 단계 보상 코드</t>
    <phoneticPr fontId="3" type="noConversion"/>
  </si>
  <si>
    <t>난이도 별 평균 획득 정수</t>
    <phoneticPr fontId="3" type="noConversion"/>
  </si>
  <si>
    <t>균열 던전 진행 횟수</t>
    <phoneticPr fontId="3" type="noConversion"/>
  </si>
  <si>
    <t>초월던전 1단계</t>
  </si>
  <si>
    <t>초월던전 2단계</t>
  </si>
  <si>
    <t>초월던전 3단계</t>
  </si>
  <si>
    <t>초월던전 4단계</t>
  </si>
  <si>
    <t>초월던전 5단계</t>
  </si>
  <si>
    <t>초월던전 6단계</t>
  </si>
  <si>
    <t>초월던전 7단계</t>
  </si>
  <si>
    <t>초월던전 8단계</t>
  </si>
  <si>
    <t>초월던전 9단계</t>
  </si>
  <si>
    <t>초월던전 10단계</t>
  </si>
  <si>
    <t>초월던전 11단계</t>
  </si>
  <si>
    <t>초월던전 12단계</t>
  </si>
  <si>
    <t>초월던전 13단계</t>
  </si>
  <si>
    <t>초월던전 14단계</t>
  </si>
  <si>
    <t>초월던전 15단계</t>
  </si>
  <si>
    <t>초월던전 16단계</t>
  </si>
  <si>
    <t>초월던전 17단계</t>
  </si>
  <si>
    <t>초월던전 18단계</t>
  </si>
  <si>
    <t>초월던전 19단계</t>
  </si>
  <si>
    <t>초월던전 20단계</t>
  </si>
  <si>
    <t>초월던전 21단계</t>
  </si>
  <si>
    <t>초월던전 22단계</t>
  </si>
  <si>
    <t>초월던전 23단계</t>
  </si>
  <si>
    <t>초월던전 24단계</t>
  </si>
  <si>
    <t>초월던전 25단계</t>
  </si>
  <si>
    <t>초월던전 26단계</t>
  </si>
  <si>
    <t>초월던전 27단계</t>
  </si>
  <si>
    <t>초월던전 28단계</t>
  </si>
  <si>
    <t>초월던전 29단계</t>
  </si>
  <si>
    <t>초월던전 30단계</t>
  </si>
  <si>
    <t>초월던전 31단계</t>
  </si>
  <si>
    <t>초월던전 32단계</t>
  </si>
  <si>
    <t>초월던전 33단계</t>
  </si>
  <si>
    <t>초월던전 34단계</t>
  </si>
  <si>
    <t>초월던전 35단계</t>
  </si>
  <si>
    <t>초월던전 36단계</t>
  </si>
  <si>
    <t>초월던전 37단계</t>
  </si>
  <si>
    <t>초월던전 38단계</t>
  </si>
  <si>
    <t>초월던전 39단계</t>
  </si>
  <si>
    <t>초월던전 40단계</t>
  </si>
  <si>
    <t>초월던전 41단계</t>
  </si>
  <si>
    <t>초월던전 42단계</t>
  </si>
  <si>
    <t>초월던전 43단계</t>
  </si>
  <si>
    <t>초월던전 44단계</t>
  </si>
  <si>
    <t>초월던전 45단계</t>
  </si>
  <si>
    <t>초월던전 46단계</t>
  </si>
  <si>
    <t>초월던전 47단계</t>
  </si>
  <si>
    <t>초월던전 48단계</t>
  </si>
  <si>
    <t>초월던전 49단계</t>
  </si>
  <si>
    <t>초월던전 50단계</t>
  </si>
  <si>
    <t>초월던전 51단계</t>
  </si>
  <si>
    <t>초월던전 52단계</t>
  </si>
  <si>
    <t>초월던전 53단계</t>
  </si>
  <si>
    <t>초월던전 54단계</t>
  </si>
  <si>
    <t>초월던전 55단계</t>
  </si>
  <si>
    <t>초월던전 56단계</t>
  </si>
  <si>
    <t>초월던전 57단계</t>
  </si>
  <si>
    <t>초월던전 58단계</t>
  </si>
  <si>
    <t>초월던전 59단계</t>
  </si>
  <si>
    <t>초월던전 60단계</t>
  </si>
  <si>
    <t>초월던전 61단계</t>
  </si>
  <si>
    <t>초월던전 62단계</t>
  </si>
  <si>
    <t>초월던전 63단계</t>
  </si>
  <si>
    <t>초월던전 64단계</t>
  </si>
  <si>
    <t>초월던전 65단계</t>
  </si>
  <si>
    <t>초월던전 66단계</t>
  </si>
  <si>
    <t>초월던전 67단계</t>
  </si>
  <si>
    <t>초월던전 68단계</t>
  </si>
  <si>
    <t>초월던전 69단계</t>
  </si>
  <si>
    <t>초월던전 70단계</t>
  </si>
  <si>
    <t>초월던전 71단계</t>
  </si>
  <si>
    <t>초월던전 72단계</t>
  </si>
  <si>
    <t>초월던전 73단계</t>
  </si>
  <si>
    <t>초월던전 74단계</t>
  </si>
  <si>
    <t>초월던전 75단계</t>
  </si>
  <si>
    <t>초월던전 76단계</t>
  </si>
  <si>
    <t>초월던전 77단계</t>
  </si>
  <si>
    <t>초월던전 78단계</t>
  </si>
  <si>
    <t>초월던전 79단계</t>
  </si>
  <si>
    <t>초월던전 80단계</t>
  </si>
  <si>
    <t>초월던전 81단계</t>
  </si>
  <si>
    <t>초월던전 82단계</t>
  </si>
  <si>
    <t>초월던전 83단계</t>
  </si>
  <si>
    <t>초월던전 84단계</t>
  </si>
  <si>
    <t>초월던전 85단계</t>
  </si>
  <si>
    <t>초월던전 86단계</t>
  </si>
  <si>
    <t>초월던전 87단계</t>
  </si>
  <si>
    <t>초월던전 88단계</t>
  </si>
  <si>
    <t>초월던전 89단계</t>
  </si>
  <si>
    <t>초월던전 90단계</t>
  </si>
  <si>
    <t>초월던전 91단계</t>
  </si>
  <si>
    <t>초월던전 92단계</t>
  </si>
  <si>
    <t>초월던전 93단계</t>
  </si>
  <si>
    <t>초월던전 94단계</t>
  </si>
  <si>
    <t>초월던전 95단계</t>
  </si>
  <si>
    <t>초월던전 96단계</t>
  </si>
  <si>
    <t>초월던전 97단계</t>
  </si>
  <si>
    <t>초월던전 98단계</t>
  </si>
  <si>
    <t>초월던전 99단계</t>
  </si>
  <si>
    <t>초월던전 100단계</t>
  </si>
  <si>
    <t>초월던전 101단계</t>
  </si>
  <si>
    <t>초월던전 102단계</t>
  </si>
  <si>
    <t>초월던전 103단계</t>
  </si>
  <si>
    <t>초월던전 104단계</t>
  </si>
  <si>
    <t>초월던전 105단계</t>
  </si>
  <si>
    <t>초월던전 106단계</t>
  </si>
  <si>
    <t>초월던전 107단계</t>
  </si>
  <si>
    <t>초월던전 108단계</t>
  </si>
  <si>
    <t>초월던전 109단계</t>
  </si>
  <si>
    <t>초월던전 110단계</t>
  </si>
  <si>
    <t>초월던전 111단계</t>
  </si>
  <si>
    <t>초월던전 112단계</t>
  </si>
  <si>
    <t>초월던전 113단계</t>
  </si>
  <si>
    <t>초월던전 114단계</t>
  </si>
  <si>
    <t>초월던전 115단계</t>
  </si>
  <si>
    <t>초월던전 116단계</t>
  </si>
  <si>
    <t>초월던전 117단계</t>
  </si>
  <si>
    <t>초월던전 118단계</t>
  </si>
  <si>
    <t>초월던전 119단계</t>
  </si>
  <si>
    <t>초월던전 120단계</t>
  </si>
  <si>
    <t>초월던전 121단계</t>
  </si>
  <si>
    <t>초월던전 122단계</t>
  </si>
  <si>
    <t>초월던전 123단계</t>
  </si>
  <si>
    <t>초월던전 124단계</t>
  </si>
  <si>
    <t>초월던전 125단계</t>
  </si>
  <si>
    <t>초월던전 126단계</t>
  </si>
  <si>
    <t>초월던전 127단계</t>
  </si>
  <si>
    <t>초월던전 128단계</t>
  </si>
  <si>
    <t>초월던전 129단계</t>
  </si>
  <si>
    <t>초월던전 130단계</t>
  </si>
  <si>
    <t>&gt;초월 던전 단계 별 정보</t>
    <phoneticPr fontId="3" type="noConversion"/>
  </si>
  <si>
    <t>반지 1</t>
  </si>
  <si>
    <t>반지 2</t>
  </si>
  <si>
    <t>[NOX] 무기 4</t>
  </si>
  <si>
    <t>반지 3</t>
  </si>
  <si>
    <t>반지 4</t>
  </si>
  <si>
    <t>녹스 반지 4</t>
  </si>
  <si>
    <t>&gt;초월 던전 보상 코드 별 아이템 획득 확률표</t>
    <phoneticPr fontId="3" type="noConversion"/>
  </si>
  <si>
    <t>NOX 4</t>
    <phoneticPr fontId="3" type="noConversion"/>
  </si>
  <si>
    <t>* NOX 아이템은 분해하지 않는 것으로 구한 값입니다.</t>
    <phoneticPr fontId="3" type="noConversion"/>
  </si>
  <si>
    <t>* 원스토어 유저는 초월 던전 81단계를 기준으로 하였습니다.</t>
    <phoneticPr fontId="3" type="noConversion"/>
  </si>
  <si>
    <t>* 구글 유저는 캐릭터 초월 던전 54단계를 기준으로 하였습니다.</t>
    <phoneticPr fontId="3" type="noConversion"/>
  </si>
  <si>
    <t>* 일일 열쇠 획득 시트에서 각 과금 별 획득 가능한 열쇠 개수에서 균열 던전 이용에 필요한 열쇠를 제외하고 남은 모든 열쇠를 일반 던전 자동 사냥을 진행한다는 가정하에 계산된 값입니다.</t>
    <phoneticPr fontId="3" type="noConversion"/>
  </si>
  <si>
    <t>일반 던전 이용 열쇠 개수</t>
    <phoneticPr fontId="3" type="noConversion"/>
  </si>
  <si>
    <t>&gt; 과금 별 일반 던전에서 획득 가능한 강화 정수 및 골드량 계산</t>
    <phoneticPr fontId="3" type="noConversion"/>
  </si>
  <si>
    <t>* 원스토어 유저는 일반 던전 8-6 자동 사냥을 기준으로 하였습니다.</t>
    <phoneticPr fontId="3" type="noConversion"/>
  </si>
  <si>
    <t>* 구글 유저는 일반 던전 7-6 자동 사냥을 기준으로 하였습니다.</t>
    <phoneticPr fontId="3" type="noConversion"/>
  </si>
  <si>
    <t>구글</t>
    <phoneticPr fontId="3" type="noConversion"/>
  </si>
  <si>
    <t>원스토어</t>
    <phoneticPr fontId="3" type="noConversion"/>
  </si>
  <si>
    <t>&gt; Act 별 던전 정보</t>
    <phoneticPr fontId="3" type="noConversion"/>
  </si>
  <si>
    <t>OS</t>
    <phoneticPr fontId="3" type="noConversion"/>
  </si>
  <si>
    <t>Act</t>
    <phoneticPr fontId="3" type="noConversion"/>
  </si>
  <si>
    <t>소모 열쇠 개수</t>
    <phoneticPr fontId="3" type="noConversion"/>
  </si>
  <si>
    <t>플레이 횟수</t>
    <phoneticPr fontId="3" type="noConversion"/>
  </si>
  <si>
    <t>평균 장비 획득 수량</t>
    <phoneticPr fontId="3" type="noConversion"/>
  </si>
  <si>
    <t>강화 정수 획득량</t>
    <phoneticPr fontId="3" type="noConversion"/>
  </si>
  <si>
    <t>과금 구분</t>
    <phoneticPr fontId="3" type="noConversion"/>
  </si>
  <si>
    <t>무과금</t>
    <phoneticPr fontId="3" type="noConversion"/>
  </si>
  <si>
    <t>소과금</t>
    <phoneticPr fontId="3" type="noConversion"/>
  </si>
  <si>
    <t>중과금</t>
    <phoneticPr fontId="3" type="noConversion"/>
  </si>
  <si>
    <t>고과금</t>
    <phoneticPr fontId="3" type="noConversion"/>
  </si>
  <si>
    <t>최대 과금</t>
    <phoneticPr fontId="3" type="noConversion"/>
  </si>
  <si>
    <t>&gt; 액트별 장비 등급 확률</t>
    <phoneticPr fontId="0" type="Hiragana"/>
  </si>
  <si>
    <t>액트</t>
    <phoneticPr fontId="0" type="Hiragana"/>
  </si>
  <si>
    <t>평균
획득 정수량</t>
    <phoneticPr fontId="0" type="Hiragana"/>
  </si>
  <si>
    <t>1판 당 골드 획득량</t>
    <phoneticPr fontId="3" type="noConversion"/>
  </si>
  <si>
    <r>
      <t xml:space="preserve">* 유저의 </t>
    </r>
    <r>
      <rPr>
        <b/>
        <sz val="9"/>
        <color rgb="FF00B050"/>
        <rFont val="맑은 고딕"/>
        <family val="3"/>
        <charset val="129"/>
        <scheme val="minor"/>
      </rPr>
      <t xml:space="preserve">수호자 레벨 </t>
    </r>
    <r>
      <rPr>
        <sz val="9"/>
        <color theme="1"/>
        <rFont val="맑은 고딕"/>
        <family val="3"/>
        <charset val="129"/>
        <scheme val="minor"/>
      </rPr>
      <t>및</t>
    </r>
    <r>
      <rPr>
        <b/>
        <sz val="9"/>
        <color rgb="FF00B050"/>
        <rFont val="맑은 고딕"/>
        <family val="3"/>
        <charset val="129"/>
        <scheme val="minor"/>
      </rPr>
      <t xml:space="preserve"> 캐릭터 레벨</t>
    </r>
    <r>
      <rPr>
        <sz val="9"/>
        <color theme="1"/>
        <rFont val="맑은 고딕"/>
        <family val="3"/>
        <charset val="129"/>
        <scheme val="minor"/>
      </rPr>
      <t>을 기입하면 해당 레벨에 입장 가능한 균열 던전 단계와 표기되는 난이도 이름, 그 곳에서 획득 가능한 골드량이 나옵니다.</t>
    </r>
    <phoneticPr fontId="3" type="noConversion"/>
  </si>
  <si>
    <t>초월 51~55단계 드롭그룹</t>
  </si>
  <si>
    <t>초월 81~85단계 드롭그룹</t>
  </si>
  <si>
    <t>일일 획득 가능 녹스 영혼석</t>
    <phoneticPr fontId="3" type="noConversion"/>
  </si>
  <si>
    <t>&gt; 초월 던전 단계에 따른 녹스 영혼석 획득 개수</t>
    <phoneticPr fontId="3" type="noConversion"/>
  </si>
  <si>
    <t>난이도 구분</t>
    <phoneticPr fontId="3" type="noConversion"/>
  </si>
  <si>
    <t>획득 확률</t>
    <phoneticPr fontId="3" type="noConversion"/>
  </si>
  <si>
    <t>획득 최소 개수</t>
    <phoneticPr fontId="3" type="noConversion"/>
  </si>
  <si>
    <t>획득 최대 개수</t>
    <phoneticPr fontId="3" type="noConversion"/>
  </si>
  <si>
    <t>1판 당 평균 획득 개수</t>
    <phoneticPr fontId="3" type="noConversion"/>
  </si>
  <si>
    <t>일일 획득 가능 녹스 영혼석</t>
    <phoneticPr fontId="3" type="noConversion"/>
  </si>
  <si>
    <t>연성에 필요한 구슬 개수</t>
    <phoneticPr fontId="0" type="Hiragana"/>
  </si>
  <si>
    <t>연성에 필요한 강화 정수</t>
    <phoneticPr fontId="0" type="Hiragana"/>
  </si>
  <si>
    <t>연성에 필요한 골드</t>
    <phoneticPr fontId="0" type="Hiragana"/>
  </si>
  <si>
    <t>연성에 필요한 녹스 영혼석 개수</t>
    <phoneticPr fontId="3" type="noConversion"/>
  </si>
  <si>
    <t>4 성 &gt; 7 성 20강
필요한 강화 정수 개수</t>
    <phoneticPr fontId="3" type="noConversion"/>
  </si>
  <si>
    <t>4 성 &gt; 7 성 20강 필요한 골드</t>
    <phoneticPr fontId="3" type="noConversion"/>
  </si>
  <si>
    <t>* 원스토어 유저는 캐릭터 레벨 50 / 수호자 레벨 1000 때 입장 가능한 균열 던전 단계 / 초월 던전 81단계 / 일반 던전 8-6 을 기준으로 하였습니다.</t>
    <phoneticPr fontId="3" type="noConversion"/>
  </si>
  <si>
    <t>* 구글 유저는 캐릭터 레벨 50 / 수호자 레벨 400 때 입장 가능한 균열 던전 단계 / 초월 던전 54단계 / 일반 던전 7-6 을 기준으로 하였습니다.</t>
    <phoneticPr fontId="3" type="noConversion"/>
  </si>
  <si>
    <t>&gt;초월 던전 단계 별 장비 등급 확률</t>
    <phoneticPr fontId="3" type="noConversion"/>
  </si>
  <si>
    <t>변성에 필요한 수호석 개수</t>
    <phoneticPr fontId="3" type="noConversion"/>
  </si>
  <si>
    <t>* 연금술은 원하는 NOX 아이템을 얻지 못하는 유저들의 필요를 충족시켜주는 유저 편의 시스템입니다.</t>
    <phoneticPr fontId="3" type="noConversion"/>
  </si>
  <si>
    <t>* 그렇기 때문에, 고 과금 유저들(컨텐츠 초기화 3회 이상, 게임 컨텐츠 이용률 80% 이상)을 기준으로 하였습니다.</t>
    <phoneticPr fontId="3" type="noConversion"/>
  </si>
  <si>
    <t>* 따라서, 연금술 컨텐츠를 무 과금, 소 과금 유저들이 조금만 노력해도 할 수 있게 되면,</t>
    <phoneticPr fontId="3" type="noConversion"/>
  </si>
  <si>
    <t>* 우리 게임은 더더욱 과금이 필요 없는 게임이 될 것이며, 누구나 원하는 NOX 아이템을 쉽게 쉽게 맞출 수 있게 됩니다.</t>
    <phoneticPr fontId="3" type="noConversion"/>
  </si>
  <si>
    <r>
      <t xml:space="preserve">* 연성과 변성은 고 과금 유저 기준 </t>
    </r>
    <r>
      <rPr>
        <sz val="9"/>
        <color rgb="FFC00000"/>
        <rFont val="맑은 고딕"/>
        <family val="3"/>
        <charset val="129"/>
        <scheme val="minor"/>
      </rPr>
      <t>약 5일에 연금술 컨텐츠를 1회 이용</t>
    </r>
    <r>
      <rPr>
        <sz val="9"/>
        <color theme="1"/>
        <rFont val="맑은 고딕"/>
        <family val="2"/>
        <charset val="129"/>
        <scheme val="minor"/>
      </rPr>
      <t>할 수 있는 것을 기준으로 하였습니다.</t>
    </r>
    <phoneticPr fontId="3" type="noConversion"/>
  </si>
  <si>
    <t>변성에 필요한 골드</t>
    <phoneticPr fontId="0" type="Hiragana"/>
  </si>
  <si>
    <t>변성에 필요한 구슬 개수</t>
    <phoneticPr fontId="0" type="Hiragana"/>
  </si>
  <si>
    <t>골드</t>
    <phoneticPr fontId="3" type="noConversion"/>
  </si>
  <si>
    <t>강화 정수</t>
    <phoneticPr fontId="3" type="noConversion"/>
  </si>
  <si>
    <t>1성 룬 스톤</t>
    <phoneticPr fontId="3" type="noConversion"/>
  </si>
  <si>
    <t>2성 룬 스톤</t>
    <phoneticPr fontId="3" type="noConversion"/>
  </si>
  <si>
    <t>3성 룬 스톤</t>
  </si>
  <si>
    <t>4성 룬 스톤</t>
  </si>
  <si>
    <t>5성 룬 스톤</t>
  </si>
  <si>
    <t>6성 룬 스톤</t>
  </si>
  <si>
    <t>7성 룬 스톤</t>
  </si>
  <si>
    <t>배율</t>
    <phoneticPr fontId="3" type="noConversion"/>
  </si>
  <si>
    <t>-</t>
    <phoneticPr fontId="3" type="noConversion"/>
  </si>
  <si>
    <t>* 3성까지의 룬 스톤 변환 비용은 승급과 같이 5배율로 설정했습니다.</t>
    <phoneticPr fontId="3" type="noConversion"/>
  </si>
  <si>
    <t>* 4~7성까지의 룬 스톤은 랜덤 옵션 변경 재료로도 사용되지 않는 구간이기 때문에 유저들이 잠깐 거쳐가는 단계이므로, 3배율로 설정하였습니다. (4~6성 룬 스톤의 사용처가 딱히 없음.)</t>
    <phoneticPr fontId="3" type="noConversion"/>
  </si>
  <si>
    <t>변환 구슬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</si>
</sst>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_-* #,##0_-;\-* #,##0_-;_-* &quot;-&quot;??_-;_-@_-"/>
    <numFmt numFmtId="177" formatCode="0.0"/>
    <numFmt numFmtId="178" formatCode="0.000"/>
    <numFmt numFmtId="179" formatCode="_-* #,##0.0_-;\-* #,##0.0_-;_-* &quot;-&quot;_-;_-@_-"/>
    <numFmt numFmtId="180" formatCode="_-* #,##0.00_-;\-* #,##0.00_-;_-* &quot;-&quot;_-;_-@_-"/>
    <numFmt numFmtId="181" formatCode="#,##0_ "/>
  </numFmts>
  <fonts count="1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0"/>
      <name val="맑은 고딕"/>
      <family val="3"/>
      <charset val="129"/>
      <scheme val="minor"/>
    </font>
    <font>
      <b/>
      <sz val="12"/>
      <name val="맑은 고딕"/>
      <family val="2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C00000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0"/>
      <color indexed="8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0"/>
      <color rgb="FF00B050"/>
      <name val="맑은 고딕"/>
      <family val="3"/>
      <charset val="129"/>
      <scheme val="minor"/>
    </font>
    <font>
      <b/>
      <sz val="9"/>
      <color rgb="FF00B050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rgb="FFC00000"/>
      <name val="맑은 고딕"/>
      <family val="3"/>
      <charset val="129"/>
      <scheme val="minor"/>
    </font>
    <font>
      <sz val="10"/>
      <color indexed="10"/>
      <name val="맑은 고딕"/>
      <family val="3"/>
      <charset val="129"/>
    </font>
  </fonts>
  <fills count="3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FFFFF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>
      <alignment vertical="center"/>
    </xf>
  </cellStyleXfs>
  <cellXfs count="22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76" fontId="5" fillId="3" borderId="2" xfId="1" applyNumberFormat="1" applyFont="1" applyFill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4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1" fontId="6" fillId="4" borderId="2" xfId="0" applyNumberFormat="1" applyFont="1" applyFill="1" applyBorder="1" applyAlignment="1">
      <alignment horizontal="center" vertical="center"/>
    </xf>
    <xf numFmtId="1" fontId="6" fillId="5" borderId="2" xfId="0" applyNumberFormat="1" applyFont="1" applyFill="1" applyBorder="1" applyAlignment="1">
      <alignment horizontal="center" vertical="center"/>
    </xf>
    <xf numFmtId="1" fontId="6" fillId="6" borderId="2" xfId="0" applyNumberFormat="1" applyFont="1" applyFill="1" applyBorder="1" applyAlignment="1">
      <alignment horizontal="center" vertical="center"/>
    </xf>
    <xf numFmtId="1" fontId="6" fillId="7" borderId="2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6" fillId="8" borderId="6" xfId="0" applyFont="1" applyFill="1" applyBorder="1" applyAlignment="1">
      <alignment horizontal="center" vertical="center"/>
    </xf>
    <xf numFmtId="0" fontId="6" fillId="8" borderId="8" xfId="0" applyFont="1" applyFill="1" applyBorder="1" applyAlignment="1">
      <alignment horizontal="center" vertical="center"/>
    </xf>
    <xf numFmtId="1" fontId="6" fillId="8" borderId="8" xfId="0" applyNumberFormat="1" applyFont="1" applyFill="1" applyBorder="1" applyAlignment="1">
      <alignment horizontal="center" vertical="center"/>
    </xf>
    <xf numFmtId="1" fontId="6" fillId="4" borderId="10" xfId="0" applyNumberFormat="1" applyFont="1" applyFill="1" applyBorder="1" applyAlignment="1">
      <alignment horizontal="center" vertical="center"/>
    </xf>
    <xf numFmtId="1" fontId="6" fillId="5" borderId="10" xfId="0" applyNumberFormat="1" applyFont="1" applyFill="1" applyBorder="1" applyAlignment="1">
      <alignment horizontal="center" vertical="center"/>
    </xf>
    <xf numFmtId="1" fontId="6" fillId="6" borderId="10" xfId="0" applyNumberFormat="1" applyFont="1" applyFill="1" applyBorder="1" applyAlignment="1">
      <alignment horizontal="center" vertical="center"/>
    </xf>
    <xf numFmtId="1" fontId="6" fillId="7" borderId="10" xfId="0" applyNumberFormat="1" applyFont="1" applyFill="1" applyBorder="1" applyAlignment="1">
      <alignment horizontal="center" vertical="center"/>
    </xf>
    <xf numFmtId="1" fontId="6" fillId="8" borderId="11" xfId="0" applyNumberFormat="1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7" fillId="0" borderId="12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41" fontId="2" fillId="0" borderId="15" xfId="1" applyFont="1" applyBorder="1">
      <alignment vertical="center"/>
    </xf>
    <xf numFmtId="41" fontId="2" fillId="0" borderId="16" xfId="1" applyFont="1" applyBorder="1">
      <alignment vertical="center"/>
    </xf>
    <xf numFmtId="41" fontId="2" fillId="0" borderId="17" xfId="1" applyFont="1" applyBorder="1">
      <alignment vertical="center"/>
    </xf>
    <xf numFmtId="9" fontId="2" fillId="0" borderId="16" xfId="2" applyFont="1" applyBorder="1">
      <alignment vertical="center"/>
    </xf>
    <xf numFmtId="0" fontId="7" fillId="0" borderId="10" xfId="0" applyFont="1" applyBorder="1">
      <alignment vertical="center"/>
    </xf>
    <xf numFmtId="0" fontId="4" fillId="10" borderId="18" xfId="0" applyFont="1" applyFill="1" applyBorder="1" applyAlignment="1">
      <alignment horizontal="center" vertical="center"/>
    </xf>
    <xf numFmtId="0" fontId="4" fillId="10" borderId="19" xfId="0" applyFont="1" applyFill="1" applyBorder="1" applyAlignment="1">
      <alignment horizontal="center" vertical="center"/>
    </xf>
    <xf numFmtId="0" fontId="4" fillId="10" borderId="20" xfId="0" applyFont="1" applyFill="1" applyBorder="1" applyAlignment="1">
      <alignment horizontal="center" vertical="center"/>
    </xf>
    <xf numFmtId="0" fontId="2" fillId="0" borderId="8" xfId="1" applyNumberFormat="1" applyFont="1" applyBorder="1" applyAlignment="1">
      <alignment horizontal="right" vertical="center"/>
    </xf>
    <xf numFmtId="177" fontId="0" fillId="0" borderId="0" xfId="0" applyNumberFormat="1">
      <alignment vertical="center"/>
    </xf>
    <xf numFmtId="0" fontId="4" fillId="10" borderId="23" xfId="0" applyFont="1" applyFill="1" applyBorder="1" applyAlignment="1">
      <alignment horizontal="center" vertical="center"/>
    </xf>
    <xf numFmtId="0" fontId="4" fillId="10" borderId="24" xfId="0" applyFont="1" applyFill="1" applyBorder="1" applyAlignment="1">
      <alignment horizontal="center" vertical="center"/>
    </xf>
    <xf numFmtId="0" fontId="4" fillId="10" borderId="22" xfId="0" applyFont="1" applyFill="1" applyBorder="1" applyAlignment="1">
      <alignment horizontal="center" vertical="center"/>
    </xf>
    <xf numFmtId="0" fontId="10" fillId="16" borderId="7" xfId="3" applyFont="1" applyFill="1" applyBorder="1" applyAlignment="1">
      <alignment horizontal="center" vertical="center"/>
    </xf>
    <xf numFmtId="49" fontId="10" fillId="16" borderId="2" xfId="3" applyNumberFormat="1" applyFont="1" applyFill="1" applyBorder="1" applyAlignment="1">
      <alignment horizontal="center" vertical="center"/>
    </xf>
    <xf numFmtId="41" fontId="10" fillId="16" borderId="2" xfId="1" applyFont="1" applyFill="1" applyBorder="1" applyAlignment="1">
      <alignment horizontal="center" vertical="center"/>
    </xf>
    <xf numFmtId="0" fontId="10" fillId="16" borderId="8" xfId="3" applyFont="1" applyFill="1" applyBorder="1" applyAlignment="1">
      <alignment horizontal="center" vertical="center"/>
    </xf>
    <xf numFmtId="0" fontId="10" fillId="16" borderId="7" xfId="0" applyFont="1" applyFill="1" applyBorder="1" applyAlignment="1">
      <alignment horizontal="center" vertical="center"/>
    </xf>
    <xf numFmtId="0" fontId="10" fillId="16" borderId="2" xfId="0" applyFont="1" applyFill="1" applyBorder="1" applyAlignment="1">
      <alignment horizontal="center" vertical="center"/>
    </xf>
    <xf numFmtId="0" fontId="10" fillId="16" borderId="8" xfId="0" applyFont="1" applyFill="1" applyBorder="1" applyAlignment="1">
      <alignment horizontal="center" vertical="center"/>
    </xf>
    <xf numFmtId="0" fontId="10" fillId="16" borderId="9" xfId="0" applyFont="1" applyFill="1" applyBorder="1" applyAlignment="1">
      <alignment horizontal="center" vertical="center"/>
    </xf>
    <xf numFmtId="0" fontId="10" fillId="16" borderId="10" xfId="0" applyFont="1" applyFill="1" applyBorder="1" applyAlignment="1">
      <alignment horizontal="center" vertical="center"/>
    </xf>
    <xf numFmtId="41" fontId="10" fillId="16" borderId="10" xfId="1" applyFont="1" applyFill="1" applyBorder="1" applyAlignment="1">
      <alignment horizontal="center" vertical="center"/>
    </xf>
    <xf numFmtId="0" fontId="10" fillId="16" borderId="11" xfId="0" applyFont="1" applyFill="1" applyBorder="1" applyAlignment="1">
      <alignment horizontal="center" vertical="center"/>
    </xf>
    <xf numFmtId="0" fontId="10" fillId="17" borderId="7" xfId="3" applyFont="1" applyFill="1" applyBorder="1" applyAlignment="1">
      <alignment horizontal="center" vertical="center"/>
    </xf>
    <xf numFmtId="49" fontId="10" fillId="17" borderId="2" xfId="3" applyNumberFormat="1" applyFont="1" applyFill="1" applyBorder="1" applyAlignment="1">
      <alignment horizontal="center" vertical="center"/>
    </xf>
    <xf numFmtId="41" fontId="10" fillId="17" borderId="2" xfId="1" applyFont="1" applyFill="1" applyBorder="1" applyAlignment="1">
      <alignment horizontal="center" vertical="center"/>
    </xf>
    <xf numFmtId="0" fontId="10" fillId="17" borderId="8" xfId="3" applyFont="1" applyFill="1" applyBorder="1" applyAlignment="1">
      <alignment horizontal="center" vertical="center"/>
    </xf>
    <xf numFmtId="0" fontId="10" fillId="17" borderId="7" xfId="0" applyFont="1" applyFill="1" applyBorder="1" applyAlignment="1">
      <alignment horizontal="center" vertical="center"/>
    </xf>
    <xf numFmtId="0" fontId="10" fillId="17" borderId="2" xfId="0" applyFont="1" applyFill="1" applyBorder="1" applyAlignment="1">
      <alignment horizontal="center" vertical="center"/>
    </xf>
    <xf numFmtId="0" fontId="10" fillId="17" borderId="8" xfId="0" applyFont="1" applyFill="1" applyBorder="1" applyAlignment="1">
      <alignment horizontal="center" vertical="center"/>
    </xf>
    <xf numFmtId="0" fontId="10" fillId="17" borderId="4" xfId="3" applyFont="1" applyFill="1" applyBorder="1" applyAlignment="1">
      <alignment horizontal="center" vertical="center"/>
    </xf>
    <xf numFmtId="49" fontId="10" fillId="17" borderId="5" xfId="3" applyNumberFormat="1" applyFont="1" applyFill="1" applyBorder="1" applyAlignment="1">
      <alignment horizontal="center" vertical="center"/>
    </xf>
    <xf numFmtId="41" fontId="10" fillId="17" borderId="5" xfId="1" applyFont="1" applyFill="1" applyBorder="1" applyAlignment="1">
      <alignment horizontal="center" vertical="center"/>
    </xf>
    <xf numFmtId="0" fontId="10" fillId="17" borderId="6" xfId="3" applyFont="1" applyFill="1" applyBorder="1" applyAlignment="1">
      <alignment horizontal="center" vertical="center"/>
    </xf>
    <xf numFmtId="0" fontId="4" fillId="10" borderId="21" xfId="0" applyFont="1" applyFill="1" applyBorder="1" applyAlignment="1">
      <alignment horizontal="center" vertical="center"/>
    </xf>
    <xf numFmtId="0" fontId="10" fillId="17" borderId="5" xfId="0" applyFont="1" applyFill="1" applyBorder="1" applyAlignment="1">
      <alignment horizontal="center" vertical="center"/>
    </xf>
    <xf numFmtId="0" fontId="10" fillId="17" borderId="10" xfId="0" applyFont="1" applyFill="1" applyBorder="1" applyAlignment="1">
      <alignment horizontal="center" vertical="center"/>
    </xf>
    <xf numFmtId="0" fontId="10" fillId="11" borderId="2" xfId="3" applyFont="1" applyFill="1" applyBorder="1" applyAlignment="1">
      <alignment horizontal="center" vertical="center"/>
    </xf>
    <xf numFmtId="0" fontId="10" fillId="15" borderId="2" xfId="3" applyFont="1" applyFill="1" applyBorder="1" applyAlignment="1">
      <alignment horizontal="center" vertical="center"/>
    </xf>
    <xf numFmtId="0" fontId="10" fillId="12" borderId="2" xfId="3" applyFont="1" applyFill="1" applyBorder="1" applyAlignment="1">
      <alignment horizontal="center" vertical="center"/>
    </xf>
    <xf numFmtId="0" fontId="10" fillId="14" borderId="2" xfId="3" applyFont="1" applyFill="1" applyBorder="1" applyAlignment="1">
      <alignment horizontal="center" vertical="center"/>
    </xf>
    <xf numFmtId="0" fontId="10" fillId="13" borderId="2" xfId="3" applyFont="1" applyFill="1" applyBorder="1" applyAlignment="1">
      <alignment horizontal="center" vertical="center"/>
    </xf>
    <xf numFmtId="0" fontId="10" fillId="11" borderId="7" xfId="3" applyFont="1" applyFill="1" applyBorder="1" applyAlignment="1">
      <alignment horizontal="center" vertical="center"/>
    </xf>
    <xf numFmtId="0" fontId="10" fillId="11" borderId="8" xfId="3" applyFont="1" applyFill="1" applyBorder="1" applyAlignment="1">
      <alignment horizontal="center" vertical="center"/>
    </xf>
    <xf numFmtId="0" fontId="10" fillId="12" borderId="7" xfId="3" applyFont="1" applyFill="1" applyBorder="1" applyAlignment="1">
      <alignment horizontal="center" vertical="center"/>
    </xf>
    <xf numFmtId="0" fontId="10" fillId="13" borderId="7" xfId="3" applyFont="1" applyFill="1" applyBorder="1" applyAlignment="1">
      <alignment horizontal="center" vertical="center"/>
    </xf>
    <xf numFmtId="0" fontId="10" fillId="12" borderId="9" xfId="3" applyFont="1" applyFill="1" applyBorder="1" applyAlignment="1">
      <alignment horizontal="center" vertical="center"/>
    </xf>
    <xf numFmtId="0" fontId="10" fillId="14" borderId="10" xfId="3" applyFont="1" applyFill="1" applyBorder="1" applyAlignment="1">
      <alignment horizontal="center" vertical="center"/>
    </xf>
    <xf numFmtId="0" fontId="10" fillId="12" borderId="10" xfId="3" applyFont="1" applyFill="1" applyBorder="1" applyAlignment="1">
      <alignment horizontal="center" vertical="center"/>
    </xf>
    <xf numFmtId="0" fontId="10" fillId="11" borderId="4" xfId="3" applyFont="1" applyFill="1" applyBorder="1" applyAlignment="1">
      <alignment horizontal="center" vertical="center"/>
    </xf>
    <xf numFmtId="0" fontId="10" fillId="15" borderId="5" xfId="3" applyFont="1" applyFill="1" applyBorder="1" applyAlignment="1">
      <alignment horizontal="center" vertical="center"/>
    </xf>
    <xf numFmtId="0" fontId="10" fillId="11" borderId="5" xfId="3" applyFont="1" applyFill="1" applyBorder="1" applyAlignment="1">
      <alignment horizontal="center" vertical="center"/>
    </xf>
    <xf numFmtId="0" fontId="10" fillId="11" borderId="6" xfId="3" applyFont="1" applyFill="1" applyBorder="1" applyAlignment="1">
      <alignment horizontal="center" vertical="center"/>
    </xf>
    <xf numFmtId="0" fontId="10" fillId="11" borderId="9" xfId="3" applyFont="1" applyFill="1" applyBorder="1" applyAlignment="1">
      <alignment horizontal="center" vertical="center"/>
    </xf>
    <xf numFmtId="0" fontId="10" fillId="15" borderId="10" xfId="3" applyFont="1" applyFill="1" applyBorder="1" applyAlignment="1">
      <alignment horizontal="center" vertical="center"/>
    </xf>
    <xf numFmtId="0" fontId="10" fillId="11" borderId="11" xfId="3" applyFont="1" applyFill="1" applyBorder="1" applyAlignment="1">
      <alignment horizontal="center" vertical="center"/>
    </xf>
    <xf numFmtId="0" fontId="10" fillId="12" borderId="5" xfId="3" applyFont="1" applyFill="1" applyBorder="1" applyAlignment="1">
      <alignment horizontal="center" vertical="center"/>
    </xf>
    <xf numFmtId="0" fontId="10" fillId="11" borderId="10" xfId="3" applyFont="1" applyFill="1" applyBorder="1" applyAlignment="1">
      <alignment horizontal="center" vertical="center"/>
    </xf>
    <xf numFmtId="177" fontId="10" fillId="14" borderId="8" xfId="3" applyNumberFormat="1" applyFont="1" applyFill="1" applyBorder="1" applyAlignment="1">
      <alignment horizontal="center" vertical="center"/>
    </xf>
    <xf numFmtId="177" fontId="10" fillId="13" borderId="8" xfId="3" applyNumberFormat="1" applyFont="1" applyFill="1" applyBorder="1" applyAlignment="1">
      <alignment horizontal="center" vertical="center"/>
    </xf>
    <xf numFmtId="177" fontId="10" fillId="14" borderId="11" xfId="3" applyNumberFormat="1" applyFont="1" applyFill="1" applyBorder="1" applyAlignment="1">
      <alignment horizontal="center" vertical="center"/>
    </xf>
    <xf numFmtId="0" fontId="10" fillId="12" borderId="4" xfId="3" applyFont="1" applyFill="1" applyBorder="1" applyAlignment="1">
      <alignment horizontal="center" vertical="center"/>
    </xf>
    <xf numFmtId="0" fontId="10" fillId="14" borderId="5" xfId="3" applyFont="1" applyFill="1" applyBorder="1" applyAlignment="1">
      <alignment horizontal="center" vertical="center"/>
    </xf>
    <xf numFmtId="177" fontId="10" fillId="14" borderId="6" xfId="3" applyNumberFormat="1" applyFont="1" applyFill="1" applyBorder="1" applyAlignment="1">
      <alignment horizontal="center" vertical="center"/>
    </xf>
    <xf numFmtId="0" fontId="10" fillId="13" borderId="4" xfId="3" applyFont="1" applyFill="1" applyBorder="1" applyAlignment="1">
      <alignment horizontal="center" vertical="center"/>
    </xf>
    <xf numFmtId="0" fontId="10" fillId="13" borderId="5" xfId="3" applyFont="1" applyFill="1" applyBorder="1" applyAlignment="1">
      <alignment horizontal="center" vertical="center"/>
    </xf>
    <xf numFmtId="177" fontId="10" fillId="13" borderId="6" xfId="3" applyNumberFormat="1" applyFont="1" applyFill="1" applyBorder="1" applyAlignment="1">
      <alignment horizontal="center" vertical="center"/>
    </xf>
    <xf numFmtId="0" fontId="10" fillId="13" borderId="9" xfId="3" applyFont="1" applyFill="1" applyBorder="1" applyAlignment="1">
      <alignment horizontal="center" vertical="center"/>
    </xf>
    <xf numFmtId="0" fontId="10" fillId="13" borderId="10" xfId="3" applyFont="1" applyFill="1" applyBorder="1" applyAlignment="1">
      <alignment horizontal="center" vertical="center"/>
    </xf>
    <xf numFmtId="177" fontId="10" fillId="13" borderId="11" xfId="3" applyNumberFormat="1" applyFont="1" applyFill="1" applyBorder="1" applyAlignment="1">
      <alignment horizontal="center" vertical="center"/>
    </xf>
    <xf numFmtId="0" fontId="10" fillId="17" borderId="4" xfId="0" applyFont="1" applyFill="1" applyBorder="1" applyAlignment="1">
      <alignment horizontal="center" vertical="center"/>
    </xf>
    <xf numFmtId="0" fontId="10" fillId="17" borderId="9" xfId="0" applyFont="1" applyFill="1" applyBorder="1" applyAlignment="1">
      <alignment horizontal="center" vertical="center"/>
    </xf>
    <xf numFmtId="178" fontId="10" fillId="17" borderId="2" xfId="0" applyNumberFormat="1" applyFont="1" applyFill="1" applyBorder="1" applyAlignment="1">
      <alignment horizontal="center" vertical="center"/>
    </xf>
    <xf numFmtId="2" fontId="10" fillId="17" borderId="2" xfId="0" applyNumberFormat="1" applyFont="1" applyFill="1" applyBorder="1" applyAlignment="1">
      <alignment horizontal="center" vertical="center"/>
    </xf>
    <xf numFmtId="177" fontId="10" fillId="17" borderId="5" xfId="0" applyNumberFormat="1" applyFont="1" applyFill="1" applyBorder="1" applyAlignment="1">
      <alignment horizontal="center" vertical="center"/>
    </xf>
    <xf numFmtId="177" fontId="10" fillId="17" borderId="2" xfId="0" applyNumberFormat="1" applyFont="1" applyFill="1" applyBorder="1" applyAlignment="1">
      <alignment horizontal="center" vertical="center"/>
    </xf>
    <xf numFmtId="177" fontId="10" fillId="17" borderId="10" xfId="0" applyNumberFormat="1" applyFont="1" applyFill="1" applyBorder="1" applyAlignment="1">
      <alignment horizontal="center" vertical="center"/>
    </xf>
    <xf numFmtId="0" fontId="11" fillId="18" borderId="2" xfId="0" applyFont="1" applyFill="1" applyBorder="1" applyAlignment="1">
      <alignment horizontal="center" vertical="center"/>
    </xf>
    <xf numFmtId="41" fontId="7" fillId="19" borderId="2" xfId="1" applyFont="1" applyFill="1" applyBorder="1">
      <alignment vertical="center"/>
    </xf>
    <xf numFmtId="41" fontId="7" fillId="18" borderId="2" xfId="1" applyFont="1" applyFill="1" applyBorder="1">
      <alignment vertical="center"/>
    </xf>
    <xf numFmtId="176" fontId="7" fillId="0" borderId="2" xfId="1" applyNumberFormat="1" applyFont="1" applyFill="1" applyBorder="1">
      <alignment vertical="center"/>
    </xf>
    <xf numFmtId="179" fontId="7" fillId="20" borderId="2" xfId="1" applyNumberFormat="1" applyFont="1" applyFill="1" applyBorder="1">
      <alignment vertical="center"/>
    </xf>
    <xf numFmtId="180" fontId="7" fillId="18" borderId="2" xfId="1" applyNumberFormat="1" applyFont="1" applyFill="1" applyBorder="1">
      <alignment vertical="center"/>
    </xf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>
      <alignment vertical="center"/>
    </xf>
    <xf numFmtId="0" fontId="4" fillId="2" borderId="2" xfId="0" applyFont="1" applyFill="1" applyBorder="1" applyAlignment="1">
      <alignment horizontal="center" vertical="center"/>
    </xf>
    <xf numFmtId="0" fontId="7" fillId="11" borderId="2" xfId="0" applyFont="1" applyFill="1" applyBorder="1">
      <alignment vertical="center"/>
    </xf>
    <xf numFmtId="0" fontId="2" fillId="18" borderId="2" xfId="0" applyFont="1" applyFill="1" applyBorder="1">
      <alignment vertical="center"/>
    </xf>
    <xf numFmtId="41" fontId="7" fillId="21" borderId="2" xfId="1" applyFont="1" applyFill="1" applyBorder="1">
      <alignment vertical="center"/>
    </xf>
    <xf numFmtId="2" fontId="10" fillId="17" borderId="6" xfId="0" applyNumberFormat="1" applyFont="1" applyFill="1" applyBorder="1" applyAlignment="1">
      <alignment horizontal="center" vertical="center"/>
    </xf>
    <xf numFmtId="2" fontId="10" fillId="17" borderId="8" xfId="0" applyNumberFormat="1" applyFont="1" applyFill="1" applyBorder="1" applyAlignment="1">
      <alignment horizontal="center" vertical="center"/>
    </xf>
    <xf numFmtId="2" fontId="10" fillId="17" borderId="11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3" fillId="0" borderId="5" xfId="0" applyFont="1" applyBorder="1">
      <alignment vertical="center"/>
    </xf>
    <xf numFmtId="0" fontId="13" fillId="0" borderId="2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27" xfId="0" applyFont="1" applyBorder="1">
      <alignment vertical="center"/>
    </xf>
    <xf numFmtId="0" fontId="2" fillId="0" borderId="1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8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5" fillId="0" borderId="0" xfId="0" applyFont="1">
      <alignment vertical="center"/>
    </xf>
    <xf numFmtId="41" fontId="2" fillId="0" borderId="8" xfId="1" applyFont="1" applyBorder="1">
      <alignment vertical="center"/>
    </xf>
    <xf numFmtId="180" fontId="2" fillId="0" borderId="11" xfId="1" applyNumberFormat="1" applyFont="1" applyBorder="1">
      <alignment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0" fillId="9" borderId="31" xfId="3" applyFont="1" applyBorder="1" applyAlignment="1">
      <alignment horizontal="center" vertical="center"/>
    </xf>
    <xf numFmtId="0" fontId="10" fillId="22" borderId="31" xfId="3" applyFont="1" applyFill="1" applyBorder="1" applyAlignment="1">
      <alignment horizontal="center" vertical="center"/>
    </xf>
    <xf numFmtId="0" fontId="10" fillId="9" borderId="31" xfId="3" applyFont="1" applyFill="1" applyBorder="1" applyAlignment="1">
      <alignment horizontal="center" vertical="center"/>
    </xf>
    <xf numFmtId="49" fontId="10" fillId="9" borderId="31" xfId="3" applyNumberFormat="1" applyFont="1" applyBorder="1" applyAlignment="1">
      <alignment horizontal="center" vertical="center"/>
    </xf>
    <xf numFmtId="49" fontId="10" fillId="22" borderId="31" xfId="3" applyNumberFormat="1" applyFont="1" applyFill="1" applyBorder="1" applyAlignment="1">
      <alignment horizontal="center" vertical="center"/>
    </xf>
    <xf numFmtId="49" fontId="17" fillId="3" borderId="31" xfId="3" applyNumberFormat="1" applyFont="1" applyFill="1" applyBorder="1" applyAlignment="1">
      <alignment horizontal="center" vertical="center"/>
    </xf>
    <xf numFmtId="49" fontId="17" fillId="23" borderId="31" xfId="3" applyNumberFormat="1" applyFont="1" applyFill="1" applyBorder="1" applyAlignment="1">
      <alignment horizontal="center" vertical="center"/>
    </xf>
    <xf numFmtId="0" fontId="10" fillId="11" borderId="31" xfId="3" applyFont="1" applyFill="1" applyBorder="1" applyAlignment="1">
      <alignment horizontal="center" vertical="center"/>
    </xf>
    <xf numFmtId="0" fontId="17" fillId="23" borderId="31" xfId="3" applyFont="1" applyFill="1" applyBorder="1" applyAlignment="1">
      <alignment horizontal="center" vertical="center"/>
    </xf>
    <xf numFmtId="0" fontId="17" fillId="24" borderId="31" xfId="3" applyFont="1" applyFill="1" applyBorder="1" applyAlignment="1">
      <alignment horizontal="center" vertical="center"/>
    </xf>
    <xf numFmtId="0" fontId="10" fillId="12" borderId="31" xfId="3" applyFont="1" applyFill="1" applyBorder="1" applyAlignment="1">
      <alignment horizontal="center" vertical="center"/>
    </xf>
    <xf numFmtId="0" fontId="10" fillId="15" borderId="31" xfId="3" applyFont="1" applyFill="1" applyBorder="1" applyAlignment="1">
      <alignment horizontal="center" vertical="center"/>
    </xf>
    <xf numFmtId="0" fontId="10" fillId="14" borderId="31" xfId="3" applyFont="1" applyFill="1" applyBorder="1" applyAlignment="1">
      <alignment horizontal="center" vertical="center"/>
    </xf>
    <xf numFmtId="0" fontId="10" fillId="13" borderId="31" xfId="3" applyFont="1" applyFill="1" applyBorder="1" applyAlignment="1">
      <alignment horizontal="center" vertical="center"/>
    </xf>
    <xf numFmtId="2" fontId="10" fillId="14" borderId="31" xfId="3" applyNumberFormat="1" applyFont="1" applyFill="1" applyBorder="1" applyAlignment="1">
      <alignment horizontal="center" vertical="center"/>
    </xf>
    <xf numFmtId="2" fontId="10" fillId="13" borderId="31" xfId="3" applyNumberFormat="1" applyFont="1" applyFill="1" applyBorder="1" applyAlignment="1">
      <alignment horizontal="center" vertical="center"/>
    </xf>
    <xf numFmtId="2" fontId="10" fillId="11" borderId="31" xfId="3" applyNumberFormat="1" applyFont="1" applyFill="1" applyBorder="1" applyAlignment="1">
      <alignment horizontal="center" vertical="center"/>
    </xf>
    <xf numFmtId="2" fontId="0" fillId="0" borderId="0" xfId="0" applyNumberFormat="1">
      <alignment vertical="center"/>
    </xf>
    <xf numFmtId="2" fontId="4" fillId="10" borderId="20" xfId="0" applyNumberFormat="1" applyFont="1" applyFill="1" applyBorder="1" applyAlignment="1">
      <alignment horizontal="center" vertical="center"/>
    </xf>
    <xf numFmtId="2" fontId="10" fillId="12" borderId="31" xfId="3" applyNumberFormat="1" applyFont="1" applyFill="1" applyBorder="1" applyAlignment="1">
      <alignment horizontal="center" vertical="center"/>
    </xf>
    <xf numFmtId="0" fontId="4" fillId="10" borderId="2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26" borderId="2" xfId="0" applyFont="1" applyFill="1" applyBorder="1" applyAlignment="1">
      <alignment horizontal="center" vertical="center"/>
    </xf>
    <xf numFmtId="41" fontId="11" fillId="26" borderId="2" xfId="1" applyFont="1" applyFill="1" applyBorder="1" applyAlignment="1">
      <alignment horizontal="center" vertical="center"/>
    </xf>
    <xf numFmtId="179" fontId="11" fillId="26" borderId="2" xfId="1" applyNumberFormat="1" applyFont="1" applyFill="1" applyBorder="1" applyAlignment="1">
      <alignment horizontal="center" vertical="center"/>
    </xf>
    <xf numFmtId="41" fontId="11" fillId="19" borderId="2" xfId="1" applyFont="1" applyFill="1" applyBorder="1" applyAlignment="1">
      <alignment horizontal="center" vertical="center"/>
    </xf>
    <xf numFmtId="0" fontId="11" fillId="27" borderId="2" xfId="0" applyFont="1" applyFill="1" applyBorder="1" applyAlignment="1">
      <alignment horizontal="center" vertical="center"/>
    </xf>
    <xf numFmtId="0" fontId="11" fillId="28" borderId="2" xfId="0" applyFont="1" applyFill="1" applyBorder="1" applyAlignment="1">
      <alignment horizontal="center" vertical="center"/>
    </xf>
    <xf numFmtId="41" fontId="11" fillId="28" borderId="2" xfId="1" applyFont="1" applyFill="1" applyBorder="1" applyAlignment="1">
      <alignment horizontal="center" vertical="center"/>
    </xf>
    <xf numFmtId="179" fontId="11" fillId="28" borderId="2" xfId="1" applyNumberFormat="1" applyFont="1" applyFill="1" applyBorder="1" applyAlignment="1">
      <alignment horizontal="center" vertical="center"/>
    </xf>
    <xf numFmtId="41" fontId="11" fillId="4" borderId="2" xfId="1" applyFont="1" applyFill="1" applyBorder="1" applyAlignment="1">
      <alignment horizontal="center" vertical="center"/>
    </xf>
    <xf numFmtId="181" fontId="11" fillId="4" borderId="2" xfId="0" applyNumberFormat="1" applyFont="1" applyFill="1" applyBorder="1" applyAlignment="1">
      <alignment horizontal="center" vertical="center"/>
    </xf>
    <xf numFmtId="181" fontId="11" fillId="27" borderId="2" xfId="0" applyNumberFormat="1" applyFont="1" applyFill="1" applyBorder="1" applyAlignment="1">
      <alignment horizontal="center" vertical="center"/>
    </xf>
    <xf numFmtId="177" fontId="11" fillId="18" borderId="2" xfId="0" applyNumberFormat="1" applyFont="1" applyFill="1" applyBorder="1" applyAlignment="1">
      <alignment horizontal="center" vertical="center"/>
    </xf>
    <xf numFmtId="180" fontId="11" fillId="19" borderId="2" xfId="1" applyNumberFormat="1" applyFont="1" applyFill="1" applyBorder="1" applyAlignment="1">
      <alignment horizontal="center" vertical="center"/>
    </xf>
    <xf numFmtId="0" fontId="10" fillId="29" borderId="31" xfId="3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8" fillId="2" borderId="8" xfId="0" applyFont="1" applyFill="1" applyBorder="1">
      <alignment vertical="center"/>
    </xf>
    <xf numFmtId="0" fontId="10" fillId="25" borderId="31" xfId="4" applyFont="1" applyFill="1" applyBorder="1" applyAlignment="1">
      <alignment horizontal="center" vertical="center"/>
    </xf>
    <xf numFmtId="0" fontId="17" fillId="25" borderId="31" xfId="4" applyFont="1" applyFill="1" applyBorder="1" applyAlignment="1">
      <alignment vertical="center"/>
    </xf>
    <xf numFmtId="0" fontId="17" fillId="25" borderId="31" xfId="6" applyFont="1" applyFill="1" applyBorder="1">
      <alignment vertical="center"/>
    </xf>
    <xf numFmtId="0" fontId="17" fillId="25" borderId="31" xfId="4" applyFont="1" applyFill="1" applyBorder="1" applyAlignment="1">
      <alignment horizontal="right" vertical="center"/>
    </xf>
    <xf numFmtId="0" fontId="17" fillId="14" borderId="31" xfId="5" applyFont="1" applyFill="1" applyBorder="1" applyAlignment="1">
      <alignment horizontal="center" vertical="center"/>
    </xf>
    <xf numFmtId="0" fontId="10" fillId="30" borderId="31" xfId="5" applyNumberFormat="1" applyFont="1" applyFill="1" applyBorder="1" applyAlignment="1">
      <alignment horizontal="center" vertical="center"/>
    </xf>
    <xf numFmtId="0" fontId="10" fillId="13" borderId="31" xfId="4" applyFont="1" applyFill="1" applyBorder="1" applyAlignment="1">
      <alignment horizontal="center" vertical="center"/>
    </xf>
    <xf numFmtId="41" fontId="0" fillId="0" borderId="0" xfId="0" applyNumberFormat="1">
      <alignment vertical="center"/>
    </xf>
    <xf numFmtId="0" fontId="4" fillId="2" borderId="31" xfId="0" applyFont="1" applyFill="1" applyBorder="1" applyAlignment="1">
      <alignment horizontal="center" vertical="center" wrapText="1"/>
    </xf>
    <xf numFmtId="176" fontId="5" fillId="3" borderId="31" xfId="1" applyNumberFormat="1" applyFont="1" applyFill="1" applyBorder="1">
      <alignment vertical="center"/>
    </xf>
    <xf numFmtId="0" fontId="4" fillId="10" borderId="4" xfId="0" applyFont="1" applyFill="1" applyBorder="1" applyAlignment="1">
      <alignment horizontal="center" vertical="center"/>
    </xf>
    <xf numFmtId="0" fontId="4" fillId="10" borderId="25" xfId="0" applyFont="1" applyFill="1" applyBorder="1" applyAlignment="1">
      <alignment horizontal="center" vertical="center"/>
    </xf>
    <xf numFmtId="0" fontId="4" fillId="10" borderId="5" xfId="0" applyFont="1" applyFill="1" applyBorder="1" applyAlignment="1">
      <alignment horizontal="center" vertical="center"/>
    </xf>
    <xf numFmtId="0" fontId="4" fillId="10" borderId="22" xfId="0" applyFont="1" applyFill="1" applyBorder="1" applyAlignment="1">
      <alignment horizontal="center" vertical="center" wrapText="1"/>
    </xf>
    <xf numFmtId="0" fontId="4" fillId="10" borderId="26" xfId="0" applyFont="1" applyFill="1" applyBorder="1" applyAlignment="1">
      <alignment horizontal="center" vertical="center"/>
    </xf>
    <xf numFmtId="0" fontId="4" fillId="10" borderId="32" xfId="0" applyFont="1" applyFill="1" applyBorder="1" applyAlignment="1">
      <alignment horizontal="center" vertical="center"/>
    </xf>
    <xf numFmtId="0" fontId="4" fillId="10" borderId="33" xfId="0" applyFont="1" applyFill="1" applyBorder="1" applyAlignment="1">
      <alignment horizontal="center" vertical="center"/>
    </xf>
    <xf numFmtId="0" fontId="4" fillId="10" borderId="34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12" fillId="0" borderId="0" xfId="0" applyFont="1">
      <alignment vertical="center"/>
    </xf>
  </cellXfs>
  <cellStyles count="7">
    <cellStyle name="20% - 강조색1 2" xfId="3"/>
    <cellStyle name="20% - 강조색1 2 2" xfId="5"/>
    <cellStyle name="백분율" xfId="2" builtinId="5"/>
    <cellStyle name="쉼표 [0]" xfId="1" builtinId="6"/>
    <cellStyle name="표준" xfId="0" builtinId="0"/>
    <cellStyle name="표준 2" xfId="4"/>
    <cellStyle name="표준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7"/>
  <sheetViews>
    <sheetView tabSelected="1" topLeftCell="A4" workbookViewId="0">
      <selection activeCell="E25" sqref="E25"/>
    </sheetView>
  </sheetViews>
  <sheetFormatPr defaultRowHeight="20.100000000000001" customHeight="1" x14ac:dyDescent="0.3"/>
  <cols>
    <col min="1" max="1" width="3.125" style="1" customWidth="1"/>
    <col min="2" max="2" width="25.875" style="1" customWidth="1"/>
    <col min="3" max="5" width="12.625" style="1" bestFit="1" customWidth="1"/>
    <col min="6" max="6" width="18.75" style="1" customWidth="1"/>
    <col min="7" max="7" width="25.625" style="1" bestFit="1" customWidth="1"/>
    <col min="8" max="13" width="10.75" style="1" bestFit="1" customWidth="1"/>
    <col min="14" max="14" width="9" style="1"/>
    <col min="15" max="15" width="40.625" style="1" bestFit="1" customWidth="1"/>
    <col min="16" max="16" width="40.625" style="1" customWidth="1"/>
    <col min="17" max="16384" width="9" style="1"/>
  </cols>
  <sheetData>
    <row r="1" spans="2:13" ht="16.5" customHeight="1" x14ac:dyDescent="0.3"/>
    <row r="2" spans="2:13" ht="20.100000000000001" customHeight="1" x14ac:dyDescent="0.3">
      <c r="B2" s="2"/>
      <c r="C2" s="3" t="s">
        <v>0</v>
      </c>
      <c r="D2" s="3" t="s">
        <v>1</v>
      </c>
      <c r="E2" s="3" t="s">
        <v>2</v>
      </c>
      <c r="G2" s="6" t="s">
        <v>12</v>
      </c>
      <c r="H2" s="4" t="s">
        <v>3</v>
      </c>
      <c r="I2" s="4" t="s">
        <v>4</v>
      </c>
      <c r="J2" s="4" t="s">
        <v>5</v>
      </c>
      <c r="K2" s="4" t="s">
        <v>6</v>
      </c>
      <c r="L2" s="4" t="s">
        <v>9</v>
      </c>
      <c r="M2" s="4" t="s">
        <v>7</v>
      </c>
    </row>
    <row r="3" spans="2:13" ht="20.100000000000001" customHeight="1" x14ac:dyDescent="0.3">
      <c r="B3" s="4" t="s">
        <v>312</v>
      </c>
      <c r="C3" s="5">
        <v>5000000</v>
      </c>
      <c r="D3" s="5">
        <v>4000000</v>
      </c>
      <c r="E3" s="5">
        <v>3000000</v>
      </c>
      <c r="G3" s="4" t="s">
        <v>8</v>
      </c>
      <c r="H3" s="5">
        <f>HLOOKUP(H$2,'일일 열쇠 획득'!$H$2:$L$9,8,FALSE)</f>
        <v>882</v>
      </c>
      <c r="I3" s="5">
        <f>HLOOKUP(I$2,'일일 열쇠 획득'!$H$2:$L$9,8,FALSE)</f>
        <v>994.59999999999991</v>
      </c>
      <c r="J3" s="5">
        <f>HLOOKUP(J$2,'일일 열쇠 획득'!$H$2:$L$9,8,FALSE)</f>
        <v>1107.2</v>
      </c>
      <c r="K3" s="5">
        <f>HLOOKUP(K$2,'일일 열쇠 획득'!$H$2:$L$9,8,FALSE)</f>
        <v>1276.0999999999999</v>
      </c>
      <c r="L3" s="5">
        <f>AVERAGE(H3:K3)</f>
        <v>1064.9749999999999</v>
      </c>
      <c r="M3" s="5">
        <f>HLOOKUP(M$2,'일일 열쇠 획득'!$H$2:$L$9,8,FALSE)</f>
        <v>1445</v>
      </c>
    </row>
    <row r="4" spans="2:13" ht="20.100000000000001" customHeight="1" x14ac:dyDescent="0.3">
      <c r="B4" s="4" t="s">
        <v>311</v>
      </c>
      <c r="C4" s="5">
        <v>100000</v>
      </c>
      <c r="D4" s="5">
        <v>100000</v>
      </c>
      <c r="E4" s="5">
        <v>100000</v>
      </c>
      <c r="G4" s="4" t="s">
        <v>10</v>
      </c>
      <c r="H4" s="5">
        <f>HLOOKUP(H$2,'균열 던전 강화 정수 및 골드 획득'!$C$3:$H$6,3,FALSE)+HLOOKUP(H$2,'초월 던전 강화 정수 및 골드 획득'!$C$3:$H$5,2,FALSE)+HLOOKUP(H$2,'일반 던전 강화 정수 및 골드 획득'!$C$3:$H$6,3,FALSE)</f>
        <v>7662.6516000000011</v>
      </c>
      <c r="I4" s="5">
        <f>HLOOKUP(I$2,'균열 던전 강화 정수 및 골드 획득'!$C$3:$H$6,3,FALSE)+HLOOKUP(I$2,'초월 던전 강화 정수 및 골드 획득'!$C$3:$H$5,2,FALSE)+HLOOKUP(I$2,'일반 던전 강화 정수 및 골드 획득'!$C$3:$H$6,3,FALSE)</f>
        <v>9292.5916800000014</v>
      </c>
      <c r="J4" s="5">
        <f>HLOOKUP(J$2,'균열 던전 강화 정수 및 골드 획득'!$C$3:$H$6,3,FALSE)+HLOOKUP(J$2,'초월 던전 강화 정수 및 골드 획득'!$C$3:$H$5,2,FALSE)+HLOOKUP(J$2,'일반 던전 강화 정수 및 골드 획득'!$C$3:$H$6,3,FALSE)</f>
        <v>10922.531760000002</v>
      </c>
      <c r="K4" s="5">
        <f>HLOOKUP(K$2,'균열 던전 강화 정수 및 골드 획득'!$C$3:$H$6,3,FALSE)+HLOOKUP(K$2,'초월 던전 강화 정수 및 골드 획득'!$C$3:$H$5,2,FALSE)+HLOOKUP(K$2,'일반 던전 강화 정수 및 골드 획득'!$C$3:$H$6,3,FALSE)</f>
        <v>13450.67088</v>
      </c>
      <c r="L4" s="5">
        <f>AVERAGE(H4:K4)</f>
        <v>10332.111480000001</v>
      </c>
      <c r="M4" s="5">
        <f>HLOOKUP(M$2,'균열 던전 강화 정수 및 골드 획득'!$C$3:$H$6,3,FALSE)+HLOOKUP(M$2,'초월 던전 강화 정수 및 골드 획득'!$C$3:$H$5,2,FALSE)+HLOOKUP(M$2,'일반 던전 강화 정수 및 골드 획득'!$C$3:$H$6,3,FALSE)</f>
        <v>18552.923999999999</v>
      </c>
    </row>
    <row r="5" spans="2:13" ht="20.100000000000001" customHeight="1" x14ac:dyDescent="0.3">
      <c r="B5" s="4" t="s">
        <v>310</v>
      </c>
      <c r="C5" s="5">
        <v>100</v>
      </c>
      <c r="D5" s="5">
        <v>100</v>
      </c>
      <c r="E5" s="5">
        <v>100</v>
      </c>
      <c r="G5" s="4" t="s">
        <v>11</v>
      </c>
      <c r="H5" s="5">
        <f>HLOOKUP(H$2,'균열 던전 강화 정수 및 골드 획득'!$C$3:$H$6,4,FALSE)+HLOOKUP(H$2,'초월 던전 강화 정수 및 골드 획득'!$C$3:$H$5,3,FALSE)+HLOOKUP(H$2,'일반 던전 강화 정수 및 골드 획득'!$C$3:$H$6,4,FALSE)</f>
        <v>190748</v>
      </c>
      <c r="I5" s="5">
        <f>HLOOKUP(I$2,'균열 던전 강화 정수 및 골드 획득'!$C$3:$H$6,4,FALSE)+HLOOKUP(I$2,'초월 던전 강화 정수 및 골드 획득'!$C$3:$H$5,3,FALSE)+HLOOKUP(I$2,'일반 던전 강화 정수 및 골드 획득'!$C$3:$H$6,4,FALSE)</f>
        <v>263008.40000000002</v>
      </c>
      <c r="J5" s="5">
        <f>HLOOKUP(J$2,'균열 던전 강화 정수 및 골드 획득'!$C$3:$H$6,4,FALSE)+HLOOKUP(J$2,'초월 던전 강화 정수 및 골드 획득'!$C$3:$H$5,3,FALSE)+HLOOKUP(J$2,'일반 던전 강화 정수 및 골드 획득'!$C$3:$H$6,4,FALSE)</f>
        <v>335268.8</v>
      </c>
      <c r="K5" s="5">
        <f>HLOOKUP(K$2,'균열 던전 강화 정수 및 골드 획득'!$C$3:$H$6,4,FALSE)+HLOOKUP(K$2,'초월 던전 강화 정수 및 골드 획득'!$C$3:$H$5,3,FALSE)+HLOOKUP(K$2,'일반 던전 강화 정수 및 골드 획득'!$C$3:$H$6,4,FALSE)</f>
        <v>435059.39999999997</v>
      </c>
      <c r="L5" s="5">
        <f>AVERAGE(H5:K5)</f>
        <v>306021.14999999997</v>
      </c>
      <c r="M5" s="5">
        <f>HLOOKUP(M$2,'균열 던전 강화 정수 및 골드 획득'!$C$3:$H$6,4,FALSE)+HLOOKUP(M$2,'초월 던전 강화 정수 및 골드 획득'!$C$3:$H$5,3,FALSE)+HLOOKUP(M$2,'일반 던전 강화 정수 및 골드 획득'!$C$3:$H$6,4,FALSE)</f>
        <v>665210</v>
      </c>
    </row>
    <row r="6" spans="2:13" ht="20.100000000000001" customHeight="1" x14ac:dyDescent="0.3">
      <c r="B6" s="4" t="s">
        <v>313</v>
      </c>
      <c r="C6" s="5">
        <v>200</v>
      </c>
      <c r="D6" s="5">
        <v>200</v>
      </c>
      <c r="E6" s="5">
        <v>200</v>
      </c>
      <c r="G6" s="4" t="s">
        <v>309</v>
      </c>
      <c r="H6" s="5">
        <f>HLOOKUP(H$2,'초월 던전 강화 정수 및 골드 획득'!$C$3:$H$6,4,FALSE)</f>
        <v>9.8000000000000007</v>
      </c>
      <c r="I6" s="5">
        <f>HLOOKUP(I$2,'초월 던전 강화 정수 및 골드 획득'!$C$3:$H$6,4,FALSE)</f>
        <v>19.600000000000001</v>
      </c>
      <c r="J6" s="5">
        <f>HLOOKUP(J$2,'초월 던전 강화 정수 및 골드 획득'!$C$3:$H$6,4,FALSE)</f>
        <v>29.4</v>
      </c>
      <c r="K6" s="5">
        <f>HLOOKUP(K$2,'초월 던전 강화 정수 및 골드 획득'!$C$3:$H$6,4,FALSE)</f>
        <v>44.1</v>
      </c>
      <c r="L6" s="5">
        <f>AVERAGE(H6:K6)</f>
        <v>25.725000000000001</v>
      </c>
      <c r="M6" s="5">
        <f>HLOOKUP(M$2,'초월 던전 강화 정수 및 골드 획득'!$C$3:$H$6,4,FALSE)</f>
        <v>88.2</v>
      </c>
    </row>
    <row r="7" spans="2:13" ht="17.25" x14ac:dyDescent="0.3">
      <c r="B7" s="4" t="s">
        <v>325</v>
      </c>
      <c r="C7" s="5">
        <v>5000000</v>
      </c>
      <c r="D7" s="5">
        <v>4000000</v>
      </c>
      <c r="E7" s="5">
        <v>3000000</v>
      </c>
      <c r="G7" s="141" t="s">
        <v>316</v>
      </c>
    </row>
    <row r="8" spans="2:13" ht="20.100000000000001" customHeight="1" x14ac:dyDescent="0.3">
      <c r="B8" s="4" t="s">
        <v>326</v>
      </c>
      <c r="C8" s="5">
        <v>100</v>
      </c>
      <c r="D8" s="5">
        <v>100</v>
      </c>
      <c r="E8" s="5">
        <v>100</v>
      </c>
      <c r="G8" s="141"/>
    </row>
    <row r="9" spans="2:13" ht="20.100000000000001" customHeight="1" x14ac:dyDescent="0.3">
      <c r="B9" s="197" t="s">
        <v>319</v>
      </c>
      <c r="C9" s="198">
        <v>3</v>
      </c>
      <c r="D9" s="198">
        <v>3</v>
      </c>
      <c r="E9" s="198">
        <v>3</v>
      </c>
      <c r="G9" s="6" t="s">
        <v>13</v>
      </c>
      <c r="H9" s="4" t="s">
        <v>3</v>
      </c>
      <c r="I9" s="4" t="s">
        <v>4</v>
      </c>
      <c r="J9" s="4" t="s">
        <v>5</v>
      </c>
      <c r="K9" s="4" t="s">
        <v>6</v>
      </c>
      <c r="L9" s="4" t="s">
        <v>9</v>
      </c>
      <c r="M9" s="4" t="s">
        <v>7</v>
      </c>
    </row>
    <row r="10" spans="2:13" ht="31.5" customHeight="1" x14ac:dyDescent="0.3">
      <c r="B10" s="4" t="s">
        <v>314</v>
      </c>
      <c r="C10" s="5">
        <v>62552</v>
      </c>
      <c r="D10" s="5">
        <v>62552</v>
      </c>
      <c r="E10" s="5">
        <v>62552</v>
      </c>
      <c r="G10" s="4" t="s">
        <v>8</v>
      </c>
      <c r="H10" s="5">
        <f>HLOOKUP(H$2,'일일 열쇠 획득'!$H$2:$L$9,8,FALSE)</f>
        <v>882</v>
      </c>
      <c r="I10" s="5">
        <f>HLOOKUP(I$2,'일일 열쇠 획득'!$H$2:$L$9,8,FALSE)</f>
        <v>994.59999999999991</v>
      </c>
      <c r="J10" s="5">
        <f>HLOOKUP(J$2,'일일 열쇠 획득'!$H$2:$L$9,8,FALSE)</f>
        <v>1107.2</v>
      </c>
      <c r="K10" s="5">
        <f>HLOOKUP(K$2,'일일 열쇠 획득'!$H$2:$L$9,8,FALSE)</f>
        <v>1276.0999999999999</v>
      </c>
      <c r="L10" s="5">
        <f>AVERAGE(H10:K10)</f>
        <v>1064.9749999999999</v>
      </c>
      <c r="M10" s="5">
        <f>HLOOKUP(M$2,'일일 열쇠 획득'!$H$2:$L$9,8,FALSE)</f>
        <v>1445</v>
      </c>
    </row>
    <row r="11" spans="2:13" ht="20.100000000000001" customHeight="1" x14ac:dyDescent="0.3">
      <c r="B11" s="4" t="s">
        <v>315</v>
      </c>
      <c r="C11" s="5">
        <v>2409260</v>
      </c>
      <c r="D11" s="5">
        <v>2068430</v>
      </c>
      <c r="E11" s="5">
        <v>1796900</v>
      </c>
      <c r="G11" s="4" t="s">
        <v>10</v>
      </c>
      <c r="H11" s="5">
        <f>HLOOKUP(H$2,'균열 던전 강화 정수 및 골드 획득'!$C$8:$H$11,3,FALSE)+HLOOKUP(H$2,'초월 던전 강화 정수 및 골드 획득'!$C$8:$H$10,2,FALSE)+HLOOKUP(H$2,'일반 던전 강화 정수 및 골드 획득'!$C$3:$H$6,3,FALSE)</f>
        <v>7417.6836000000012</v>
      </c>
      <c r="I11" s="5">
        <f>HLOOKUP(I$2,'균열 던전 강화 정수 및 골드 획득'!$C$8:$H$11,3,FALSE)+HLOOKUP(I$2,'초월 던전 강화 정수 및 골드 획득'!$C$8:$H$10,2,FALSE)+HLOOKUP(I$2,'일반 던전 강화 정수 및 골드 획득'!$C$3:$H$6,3,FALSE)</f>
        <v>8802.6556799999998</v>
      </c>
      <c r="J11" s="5">
        <f>HLOOKUP(J$2,'균열 던전 강화 정수 및 골드 획득'!$C$8:$H$11,3,FALSE)+HLOOKUP(J$2,'초월 던전 강화 정수 및 골드 획득'!$C$8:$H$10,2,FALSE)+HLOOKUP(J$2,'일반 던전 강화 정수 및 골드 획득'!$C$3:$H$6,3,FALSE)</f>
        <v>10187.627759999999</v>
      </c>
      <c r="K11" s="5">
        <f>HLOOKUP(K$2,'균열 던전 강화 정수 및 골드 획득'!$C$8:$H$11,3,FALSE)+HLOOKUP(K$2,'초월 던전 강화 정수 및 골드 획득'!$C$8:$H$10,2,FALSE)+HLOOKUP(K$2,'일반 던전 강화 정수 및 골드 획득'!$C$3:$H$6,3,FALSE)</f>
        <v>12371.867879999998</v>
      </c>
      <c r="L11" s="5">
        <f>AVERAGE(H11:K11)</f>
        <v>9694.9587299999985</v>
      </c>
      <c r="M11" s="5">
        <f>HLOOKUP(M$2,'균열 던전 강화 정수 및 골드 획득'!$C$8:$H$11,3,FALSE)+HLOOKUP(M$2,'초월 던전 강화 정수 및 골드 획득'!$C$8:$H$10,2,FALSE)+HLOOKUP(M$2,'일반 던전 강화 정수 및 골드 획득'!$C$3:$H$6,3,FALSE)</f>
        <v>16489.53</v>
      </c>
    </row>
    <row r="12" spans="2:13" ht="20.100000000000001" customHeight="1" x14ac:dyDescent="0.3">
      <c r="B12" s="141" t="s">
        <v>324</v>
      </c>
      <c r="G12" s="4" t="s">
        <v>11</v>
      </c>
      <c r="H12" s="5">
        <f>HLOOKUP(H$2,'균열 던전 강화 정수 및 골드 획득'!$C$8:$H$11,4,FALSE)+HLOOKUP(H$2,'초월 던전 강화 정수 및 골드 획득'!$C$8:$H$10,3,FALSE)+HLOOKUP(H$2,'일반 던전 강화 정수 및 골드 획득'!$C$3:$H$6,4,FALSE)</f>
        <v>169178</v>
      </c>
      <c r="I12" s="5">
        <f>HLOOKUP(I$2,'균열 던전 강화 정수 및 골드 획득'!$C$8:$H$11,4,FALSE)+HLOOKUP(I$2,'초월 던전 강화 정수 및 골드 획득'!$C$8:$H$10,3,FALSE)+HLOOKUP(I$2,'일반 던전 강화 정수 및 골드 획득'!$C$3:$H$6,4,FALSE)</f>
        <v>219868.4</v>
      </c>
      <c r="J12" s="5">
        <f>HLOOKUP(J$2,'균열 던전 강화 정수 및 골드 획득'!$C$8:$H$11,4,FALSE)+HLOOKUP(J$2,'초월 던전 강화 정수 및 골드 획득'!$C$8:$H$10,3,FALSE)+HLOOKUP(J$2,'일반 던전 강화 정수 및 골드 획득'!$C$3:$H$6,4,FALSE)</f>
        <v>270558.8</v>
      </c>
      <c r="K12" s="5">
        <f>HLOOKUP(K$2,'균열 던전 강화 정수 및 골드 획득'!$C$8:$H$11,4,FALSE)+HLOOKUP(K$2,'초월 던전 강화 정수 및 골드 획득'!$C$8:$H$10,3,FALSE)+HLOOKUP(K$2,'일반 던전 강화 정수 및 골드 획득'!$C$3:$H$6,4,FALSE)</f>
        <v>341154.39999999997</v>
      </c>
      <c r="L12" s="5">
        <f>AVERAGE(H12:K12)</f>
        <v>250189.89999999997</v>
      </c>
      <c r="M12" s="5">
        <f>HLOOKUP(M$2,'균열 던전 강화 정수 및 골드 획득'!$C$8:$H$11,4,FALSE)+HLOOKUP(M$2,'초월 던전 강화 정수 및 골드 획득'!$C$8:$H$10,3,FALSE)+HLOOKUP(M$2,'일반 던전 강화 정수 및 골드 획득'!$C$3:$H$6,4,FALSE)</f>
        <v>490040</v>
      </c>
    </row>
    <row r="13" spans="2:13" ht="20.100000000000001" customHeight="1" x14ac:dyDescent="0.3">
      <c r="B13" s="141" t="s">
        <v>320</v>
      </c>
      <c r="G13" s="4" t="s">
        <v>309</v>
      </c>
      <c r="H13" s="5">
        <f>HLOOKUP(H$2,'초월 던전 강화 정수 및 골드 획득'!$C$8:$H$11,4,FALSE)</f>
        <v>7</v>
      </c>
      <c r="I13" s="5">
        <f>HLOOKUP(I$2,'초월 던전 강화 정수 및 골드 획득'!$C$8:$H$11,4,FALSE)</f>
        <v>14</v>
      </c>
      <c r="J13" s="5">
        <f>HLOOKUP(J$2,'초월 던전 강화 정수 및 골드 획득'!$C$8:$H$11,4,FALSE)</f>
        <v>21</v>
      </c>
      <c r="K13" s="5">
        <f>HLOOKUP(K$2,'초월 던전 강화 정수 및 골드 획득'!$C$8:$H$11,4,FALSE)</f>
        <v>31.499999999999996</v>
      </c>
      <c r="L13" s="5">
        <f>AVERAGE(H13:K13)</f>
        <v>18.375</v>
      </c>
      <c r="M13" s="5">
        <f>HLOOKUP(M$2,'초월 던전 강화 정수 및 골드 획득'!$C$8:$H$11,4,FALSE)</f>
        <v>62.999999999999993</v>
      </c>
    </row>
    <row r="14" spans="2:13" ht="20.100000000000001" customHeight="1" x14ac:dyDescent="0.3">
      <c r="B14" s="141" t="s">
        <v>322</v>
      </c>
      <c r="G14" s="141" t="s">
        <v>317</v>
      </c>
    </row>
    <row r="15" spans="2:13" ht="20.100000000000001" customHeight="1" x14ac:dyDescent="0.3">
      <c r="B15" s="141" t="s">
        <v>323</v>
      </c>
      <c r="G15" s="141"/>
    </row>
    <row r="16" spans="2:13" ht="20.100000000000001" customHeight="1" x14ac:dyDescent="0.3">
      <c r="B16" s="141" t="s">
        <v>321</v>
      </c>
    </row>
    <row r="17" spans="2:8" ht="20.100000000000001" customHeight="1" x14ac:dyDescent="0.3">
      <c r="G17" s="1">
        <v>5</v>
      </c>
      <c r="H17" s="1">
        <v>1000</v>
      </c>
    </row>
    <row r="18" spans="2:8" ht="20.100000000000001" customHeight="1" x14ac:dyDescent="0.3">
      <c r="B18" s="6" t="s">
        <v>12</v>
      </c>
      <c r="C18" s="4" t="s">
        <v>327</v>
      </c>
      <c r="D18" s="4" t="s">
        <v>328</v>
      </c>
      <c r="E18" s="4" t="s">
        <v>340</v>
      </c>
      <c r="F18" s="4" t="s">
        <v>336</v>
      </c>
    </row>
    <row r="19" spans="2:8" ht="20.100000000000001" customHeight="1" x14ac:dyDescent="0.3">
      <c r="B19" s="4" t="s">
        <v>329</v>
      </c>
      <c r="C19" s="5">
        <v>500</v>
      </c>
      <c r="D19" s="5">
        <v>50</v>
      </c>
      <c r="E19" s="5">
        <v>1</v>
      </c>
      <c r="F19" s="5" t="s">
        <v>337</v>
      </c>
    </row>
    <row r="20" spans="2:8" ht="20.100000000000001" customHeight="1" x14ac:dyDescent="0.3">
      <c r="B20" s="4" t="s">
        <v>330</v>
      </c>
      <c r="C20" s="5">
        <v>2500</v>
      </c>
      <c r="D20" s="5">
        <v>250</v>
      </c>
      <c r="E20" s="5">
        <v>2</v>
      </c>
      <c r="F20" s="5">
        <f>D20/D19</f>
        <v>5</v>
      </c>
    </row>
    <row r="21" spans="2:8" ht="20.100000000000001" customHeight="1" x14ac:dyDescent="0.3">
      <c r="B21" s="4" t="s">
        <v>331</v>
      </c>
      <c r="C21" s="5">
        <v>12500</v>
      </c>
      <c r="D21" s="5">
        <v>1250</v>
      </c>
      <c r="E21" s="5">
        <v>5</v>
      </c>
      <c r="F21" s="5">
        <f t="shared" ref="F21:F25" si="0">D21/D20</f>
        <v>5</v>
      </c>
    </row>
    <row r="22" spans="2:8" ht="20.100000000000001" customHeight="1" x14ac:dyDescent="0.3">
      <c r="B22" s="4" t="s">
        <v>332</v>
      </c>
      <c r="C22" s="5">
        <v>37500</v>
      </c>
      <c r="D22" s="5">
        <v>3750</v>
      </c>
      <c r="E22" s="5">
        <v>10</v>
      </c>
      <c r="F22" s="5">
        <f t="shared" si="0"/>
        <v>3</v>
      </c>
    </row>
    <row r="23" spans="2:8" ht="20.100000000000001" customHeight="1" x14ac:dyDescent="0.3">
      <c r="B23" s="4" t="s">
        <v>333</v>
      </c>
      <c r="C23" s="5">
        <v>112500</v>
      </c>
      <c r="D23" s="5">
        <v>11250</v>
      </c>
      <c r="E23" s="5">
        <v>25</v>
      </c>
      <c r="F23" s="5">
        <f t="shared" si="0"/>
        <v>3</v>
      </c>
    </row>
    <row r="24" spans="2:8" ht="20.100000000000001" customHeight="1" x14ac:dyDescent="0.3">
      <c r="B24" s="4" t="s">
        <v>334</v>
      </c>
      <c r="C24" s="5">
        <v>337500</v>
      </c>
      <c r="D24" s="5">
        <v>33750</v>
      </c>
      <c r="E24" s="5">
        <v>50</v>
      </c>
      <c r="F24" s="5">
        <f t="shared" si="0"/>
        <v>3</v>
      </c>
    </row>
    <row r="25" spans="2:8" ht="20.100000000000001" customHeight="1" x14ac:dyDescent="0.3">
      <c r="B25" s="4" t="s">
        <v>335</v>
      </c>
      <c r="C25" s="5">
        <v>1012500</v>
      </c>
      <c r="D25" s="5">
        <v>101250</v>
      </c>
      <c r="E25" s="5">
        <v>100</v>
      </c>
      <c r="F25" s="5">
        <f t="shared" si="0"/>
        <v>3</v>
      </c>
    </row>
    <row r="26" spans="2:8" ht="20.100000000000001" customHeight="1" x14ac:dyDescent="0.3">
      <c r="B26" s="141" t="s">
        <v>338</v>
      </c>
    </row>
    <row r="27" spans="2:8" ht="20.100000000000001" customHeight="1" x14ac:dyDescent="0.3">
      <c r="B27" s="220" t="s">
        <v>339</v>
      </c>
    </row>
  </sheetData>
  <phoneticPr fontId="3" type="noConversion"/>
  <pageMargins left="0.25" right="0.25" top="0.75" bottom="0.75" header="0.3" footer="0.3"/>
  <pageSetup paperSize="9" scale="77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J104"/>
  <sheetViews>
    <sheetView workbookViewId="0"/>
  </sheetViews>
  <sheetFormatPr defaultRowHeight="16.5" customHeight="1" x14ac:dyDescent="0.3"/>
  <cols>
    <col min="2" max="2" width="26.25" customWidth="1"/>
    <col min="3" max="8" width="18.625" customWidth="1"/>
    <col min="11" max="11" width="8.5" bestFit="1" customWidth="1"/>
    <col min="12" max="13" width="10.875" customWidth="1"/>
    <col min="14" max="14" width="3.625" customWidth="1"/>
    <col min="20" max="20" width="13.875" bestFit="1" customWidth="1"/>
    <col min="21" max="21" width="3.625" customWidth="1"/>
    <col min="22" max="22" width="11.375" bestFit="1" customWidth="1"/>
    <col min="23" max="23" width="4.75" bestFit="1" customWidth="1"/>
    <col min="24" max="24" width="8.625" bestFit="1" customWidth="1"/>
    <col min="25" max="25" width="5.875" bestFit="1" customWidth="1"/>
    <col min="26" max="26" width="3.625" customWidth="1"/>
    <col min="27" max="27" width="7.875" bestFit="1" customWidth="1"/>
    <col min="28" max="28" width="4.75" bestFit="1" customWidth="1"/>
    <col min="29" max="29" width="8.625" bestFit="1" customWidth="1"/>
    <col min="30" max="30" width="5.375" bestFit="1" customWidth="1"/>
    <col min="31" max="31" width="3.625" customWidth="1"/>
    <col min="32" max="32" width="7.875" bestFit="1" customWidth="1"/>
    <col min="33" max="33" width="4.75" bestFit="1" customWidth="1"/>
    <col min="34" max="34" width="8.625" bestFit="1" customWidth="1"/>
    <col min="35" max="35" width="5.375" bestFit="1" customWidth="1"/>
    <col min="36" max="36" width="3.625" customWidth="1"/>
  </cols>
  <sheetData>
    <row r="2" spans="2:36" ht="16.5" customHeight="1" thickBot="1" x14ac:dyDescent="0.35">
      <c r="B2" s="7" t="s">
        <v>114</v>
      </c>
      <c r="J2" s="7" t="s">
        <v>85</v>
      </c>
      <c r="K2" s="7"/>
      <c r="O2" s="7" t="s">
        <v>100</v>
      </c>
      <c r="V2" s="7" t="s">
        <v>103</v>
      </c>
    </row>
    <row r="3" spans="2:36" ht="16.5" customHeight="1" thickBot="1" x14ac:dyDescent="0.35">
      <c r="B3" s="6" t="s">
        <v>12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9</v>
      </c>
      <c r="H3" s="4" t="s">
        <v>7</v>
      </c>
      <c r="J3" s="42" t="s">
        <v>86</v>
      </c>
      <c r="K3" s="43" t="s">
        <v>87</v>
      </c>
      <c r="L3" s="43" t="s">
        <v>88</v>
      </c>
      <c r="M3" s="44" t="s">
        <v>96</v>
      </c>
      <c r="O3" s="199" t="s">
        <v>86</v>
      </c>
      <c r="P3" s="201" t="s">
        <v>101</v>
      </c>
      <c r="Q3" s="201"/>
      <c r="R3" s="201"/>
      <c r="S3" s="201"/>
      <c r="T3" s="202" t="s">
        <v>102</v>
      </c>
      <c r="V3" s="37" t="s">
        <v>98</v>
      </c>
      <c r="W3" s="38" t="s">
        <v>99</v>
      </c>
      <c r="X3" s="38" t="s">
        <v>96</v>
      </c>
      <c r="Y3" s="39" t="s">
        <v>97</v>
      </c>
      <c r="AA3" s="42" t="s">
        <v>98</v>
      </c>
      <c r="AB3" s="43" t="s">
        <v>99</v>
      </c>
      <c r="AC3" s="43" t="s">
        <v>96</v>
      </c>
      <c r="AD3" s="44" t="s">
        <v>97</v>
      </c>
      <c r="AF3" s="37" t="s">
        <v>98</v>
      </c>
      <c r="AG3" s="38" t="s">
        <v>99</v>
      </c>
      <c r="AH3" s="38" t="s">
        <v>96</v>
      </c>
      <c r="AI3" s="39" t="s">
        <v>97</v>
      </c>
    </row>
    <row r="4" spans="2:36" ht="16.5" customHeight="1" thickBot="1" x14ac:dyDescent="0.35">
      <c r="B4" s="4" t="s">
        <v>129</v>
      </c>
      <c r="C4" s="5">
        <f>$C$25*6</f>
        <v>60</v>
      </c>
      <c r="D4" s="5">
        <f>$C$26*6</f>
        <v>120</v>
      </c>
      <c r="E4" s="5">
        <f>$C$27*6</f>
        <v>180</v>
      </c>
      <c r="F4" s="5">
        <f>$C$28*6</f>
        <v>240</v>
      </c>
      <c r="G4" s="5">
        <f>AVERAGE(C4:F4)</f>
        <v>150</v>
      </c>
      <c r="H4" s="5">
        <f>$C$29*6</f>
        <v>360</v>
      </c>
      <c r="J4" s="63">
        <v>1</v>
      </c>
      <c r="K4" s="64" t="s">
        <v>44</v>
      </c>
      <c r="L4" s="65">
        <v>893</v>
      </c>
      <c r="M4" s="66">
        <v>4001</v>
      </c>
      <c r="O4" s="200"/>
      <c r="P4" s="67">
        <v>1</v>
      </c>
      <c r="Q4" s="67">
        <v>2</v>
      </c>
      <c r="R4" s="67">
        <v>3</v>
      </c>
      <c r="S4" s="67">
        <v>4</v>
      </c>
      <c r="T4" s="203"/>
      <c r="V4" s="82" t="s">
        <v>89</v>
      </c>
      <c r="W4" s="83">
        <v>1</v>
      </c>
      <c r="X4" s="84">
        <v>4001</v>
      </c>
      <c r="Y4" s="85">
        <v>18</v>
      </c>
      <c r="Z4" s="41"/>
      <c r="AA4" s="82" t="s">
        <v>90</v>
      </c>
      <c r="AB4" s="83">
        <v>2</v>
      </c>
      <c r="AC4" s="89">
        <v>4001</v>
      </c>
      <c r="AD4" s="85">
        <v>2</v>
      </c>
      <c r="AE4" s="41"/>
      <c r="AF4" s="75" t="s">
        <v>94</v>
      </c>
      <c r="AG4" s="71">
        <v>3</v>
      </c>
      <c r="AH4" s="72">
        <v>4016</v>
      </c>
      <c r="AI4" s="76">
        <v>0.5</v>
      </c>
      <c r="AJ4" s="41"/>
    </row>
    <row r="5" spans="2:36" ht="16.5" customHeight="1" x14ac:dyDescent="0.3">
      <c r="B5" s="4" t="s">
        <v>10</v>
      </c>
      <c r="C5" s="5">
        <f>$C$25*$T$19</f>
        <v>303.99</v>
      </c>
      <c r="D5" s="5">
        <f>$C$26*$T$19</f>
        <v>607.98</v>
      </c>
      <c r="E5" s="5">
        <f>$C$27*$T$19</f>
        <v>911.97</v>
      </c>
      <c r="F5" s="5">
        <f>$C$28*$T$19</f>
        <v>1215.96</v>
      </c>
      <c r="G5" s="5">
        <f>AVERAGE(C5:F5)</f>
        <v>759.97500000000002</v>
      </c>
      <c r="H5" s="5">
        <f>$C$29*$T$19</f>
        <v>1823.94</v>
      </c>
      <c r="J5" s="60">
        <v>2</v>
      </c>
      <c r="K5" s="61" t="s">
        <v>45</v>
      </c>
      <c r="L5" s="58">
        <v>928</v>
      </c>
      <c r="M5" s="62">
        <v>4001</v>
      </c>
      <c r="O5" s="103">
        <v>4001</v>
      </c>
      <c r="P5" s="68">
        <f t="shared" ref="P5:P13" si="0">VLOOKUP($O5,$X$4:$Y$23,2,FALSE)+VLOOKUP($O5,$X$26:$Y$42,2,FALSE)</f>
        <v>91.5</v>
      </c>
      <c r="Q5" s="107">
        <f t="shared" ref="Q5:Q13" si="1">VLOOKUP($O5,$AC$4:$AD$23,2,FALSE)+VLOOKUP($O5,$AC$26:$AD$45,2,FALSE)</f>
        <v>8</v>
      </c>
      <c r="R5" s="107">
        <f t="shared" ref="R5:R19" si="2">VLOOKUP($O5,$AH$11:$AI$30,2,FALSE)</f>
        <v>0.48</v>
      </c>
      <c r="S5" s="107">
        <v>0</v>
      </c>
      <c r="T5" s="122">
        <f>(($P5*'강화 정수 정보'!$P$5)+($Q5*'강화 정수 정보'!$P$6)+($R5*'강화 정수 정보'!$P$7)+($S5*'강화 정수 정보'!$P$8))/100</f>
        <v>13.797599999999999</v>
      </c>
      <c r="V5" s="75" t="s">
        <v>89</v>
      </c>
      <c r="W5" s="71">
        <v>1</v>
      </c>
      <c r="X5" s="70">
        <v>4002</v>
      </c>
      <c r="Y5" s="76">
        <v>17.5</v>
      </c>
      <c r="AA5" s="75" t="s">
        <v>90</v>
      </c>
      <c r="AB5" s="71">
        <v>2</v>
      </c>
      <c r="AC5" s="72">
        <v>4002</v>
      </c>
      <c r="AD5" s="76">
        <v>2.5</v>
      </c>
      <c r="AF5" s="75" t="s">
        <v>94</v>
      </c>
      <c r="AG5" s="71">
        <v>3</v>
      </c>
      <c r="AH5" s="72">
        <v>4017</v>
      </c>
      <c r="AI5" s="76">
        <v>1</v>
      </c>
    </row>
    <row r="6" spans="2:36" ht="16.5" customHeight="1" x14ac:dyDescent="0.3">
      <c r="B6" s="4" t="s">
        <v>11</v>
      </c>
      <c r="C6" s="5">
        <f>$C$25*$L$32</f>
        <v>26440</v>
      </c>
      <c r="D6" s="5">
        <f>$C$26*$L$32</f>
        <v>52880</v>
      </c>
      <c r="E6" s="5">
        <f>$C$27*$L$32</f>
        <v>79320</v>
      </c>
      <c r="F6" s="5">
        <f>$C$28*$L$32</f>
        <v>105760</v>
      </c>
      <c r="G6" s="5">
        <f>AVERAGE(C6:F6)</f>
        <v>66100</v>
      </c>
      <c r="H6" s="5">
        <f>$C$29*$L$32</f>
        <v>158640</v>
      </c>
      <c r="J6" s="45">
        <v>3</v>
      </c>
      <c r="K6" s="46" t="s">
        <v>46</v>
      </c>
      <c r="L6" s="47">
        <v>965</v>
      </c>
      <c r="M6" s="48">
        <v>4002</v>
      </c>
      <c r="O6" s="60">
        <v>4002</v>
      </c>
      <c r="P6" s="61">
        <f t="shared" si="0"/>
        <v>86.5</v>
      </c>
      <c r="Q6" s="108">
        <f t="shared" si="1"/>
        <v>12.52</v>
      </c>
      <c r="R6" s="108">
        <f t="shared" si="2"/>
        <v>1.02</v>
      </c>
      <c r="S6" s="108">
        <v>0</v>
      </c>
      <c r="T6" s="123">
        <f>(($P6*'강화 정수 정보'!$P$5)+($Q6*'강화 정수 정보'!$P$6)+($R6*'강화 정수 정보'!$P$7)+($S6*'강화 정수 정보'!$P$8))/100</f>
        <v>15.023399999999999</v>
      </c>
      <c r="V6" s="75" t="s">
        <v>89</v>
      </c>
      <c r="W6" s="71">
        <v>1</v>
      </c>
      <c r="X6" s="70">
        <v>4003</v>
      </c>
      <c r="Y6" s="76">
        <v>17</v>
      </c>
      <c r="AA6" s="75" t="s">
        <v>90</v>
      </c>
      <c r="AB6" s="71">
        <v>2</v>
      </c>
      <c r="AC6" s="72">
        <v>4003</v>
      </c>
      <c r="AD6" s="76">
        <v>3</v>
      </c>
      <c r="AF6" s="75" t="s">
        <v>94</v>
      </c>
      <c r="AG6" s="71">
        <v>3</v>
      </c>
      <c r="AH6" s="72">
        <v>4018</v>
      </c>
      <c r="AI6" s="76">
        <v>1.5</v>
      </c>
    </row>
    <row r="7" spans="2:36" ht="16.5" customHeight="1" x14ac:dyDescent="0.3">
      <c r="B7" s="1"/>
      <c r="C7" s="1"/>
      <c r="D7" s="1"/>
      <c r="E7" s="1"/>
      <c r="F7" s="1"/>
      <c r="G7" s="1"/>
      <c r="H7" s="1"/>
      <c r="J7" s="49">
        <v>4</v>
      </c>
      <c r="K7" s="50" t="s">
        <v>47</v>
      </c>
      <c r="L7" s="47">
        <v>1003</v>
      </c>
      <c r="M7" s="51">
        <v>4002</v>
      </c>
      <c r="O7" s="60">
        <v>4003</v>
      </c>
      <c r="P7" s="61">
        <f t="shared" si="0"/>
        <v>81.5</v>
      </c>
      <c r="Q7" s="108">
        <f t="shared" si="1"/>
        <v>16.98</v>
      </c>
      <c r="R7" s="108">
        <f t="shared" si="2"/>
        <v>1.5</v>
      </c>
      <c r="S7" s="108">
        <v>0</v>
      </c>
      <c r="T7" s="123">
        <f>(($P7*'강화 정수 정보'!$P$5)+($Q7*'강화 정수 정보'!$P$6)+($R7*'강화 정수 정보'!$P$7)+($S7*'강화 정수 정보'!$P$8))/100</f>
        <v>16.179000000000002</v>
      </c>
      <c r="V7" s="75" t="s">
        <v>89</v>
      </c>
      <c r="W7" s="71">
        <v>1</v>
      </c>
      <c r="X7" s="70">
        <v>4004</v>
      </c>
      <c r="Y7" s="76">
        <v>16.5</v>
      </c>
      <c r="AA7" s="75" t="s">
        <v>90</v>
      </c>
      <c r="AB7" s="71">
        <v>2</v>
      </c>
      <c r="AC7" s="72">
        <v>4004</v>
      </c>
      <c r="AD7" s="76">
        <v>3.5</v>
      </c>
      <c r="AF7" s="75" t="s">
        <v>94</v>
      </c>
      <c r="AG7" s="71">
        <v>3</v>
      </c>
      <c r="AH7" s="72">
        <v>4019</v>
      </c>
      <c r="AI7" s="76">
        <v>2</v>
      </c>
    </row>
    <row r="8" spans="2:36" ht="16.5" customHeight="1" thickBot="1" x14ac:dyDescent="0.35">
      <c r="B8" s="6" t="s">
        <v>13</v>
      </c>
      <c r="C8" s="4" t="s">
        <v>3</v>
      </c>
      <c r="D8" s="4" t="s">
        <v>4</v>
      </c>
      <c r="E8" s="4" t="s">
        <v>5</v>
      </c>
      <c r="F8" s="4" t="s">
        <v>6</v>
      </c>
      <c r="G8" s="4" t="s">
        <v>9</v>
      </c>
      <c r="H8" s="4" t="s">
        <v>7</v>
      </c>
      <c r="J8" s="56">
        <v>5</v>
      </c>
      <c r="K8" s="57" t="s">
        <v>48</v>
      </c>
      <c r="L8" s="58">
        <v>1043</v>
      </c>
      <c r="M8" s="59">
        <v>4003</v>
      </c>
      <c r="O8" s="60">
        <v>4004</v>
      </c>
      <c r="P8" s="61">
        <f t="shared" si="0"/>
        <v>76.5</v>
      </c>
      <c r="Q8" s="108">
        <f t="shared" si="1"/>
        <v>21.5</v>
      </c>
      <c r="R8" s="108">
        <f t="shared" si="2"/>
        <v>1.98</v>
      </c>
      <c r="S8" s="108">
        <v>0</v>
      </c>
      <c r="T8" s="123">
        <f>(($P8*'강화 정수 정보'!$P$5)+($Q8*'강화 정수 정보'!$P$6)+($R8*'강화 정수 정보'!$P$7)+($S8*'강화 정수 정보'!$P$8))/100</f>
        <v>17.352599999999999</v>
      </c>
      <c r="V8" s="75" t="s">
        <v>89</v>
      </c>
      <c r="W8" s="71">
        <v>1</v>
      </c>
      <c r="X8" s="70">
        <v>4005</v>
      </c>
      <c r="Y8" s="76">
        <v>16</v>
      </c>
      <c r="AA8" s="75" t="s">
        <v>90</v>
      </c>
      <c r="AB8" s="71">
        <v>2</v>
      </c>
      <c r="AC8" s="72">
        <v>4005</v>
      </c>
      <c r="AD8" s="76">
        <v>4</v>
      </c>
      <c r="AF8" s="86" t="s">
        <v>94</v>
      </c>
      <c r="AG8" s="87">
        <v>3</v>
      </c>
      <c r="AH8" s="81">
        <v>4020</v>
      </c>
      <c r="AI8" s="88">
        <v>2.5</v>
      </c>
    </row>
    <row r="9" spans="2:36" ht="16.5" customHeight="1" thickBot="1" x14ac:dyDescent="0.35">
      <c r="B9" s="4" t="s">
        <v>129</v>
      </c>
      <c r="C9" s="5">
        <f>$C$25*6</f>
        <v>60</v>
      </c>
      <c r="D9" s="5">
        <f>$C$26*6</f>
        <v>120</v>
      </c>
      <c r="E9" s="5">
        <f>$C$27*6</f>
        <v>180</v>
      </c>
      <c r="F9" s="5">
        <f>$C$28*6</f>
        <v>240</v>
      </c>
      <c r="G9" s="5">
        <f>AVERAGE(C9:F9)</f>
        <v>150</v>
      </c>
      <c r="H9" s="5">
        <f>$C$29*6</f>
        <v>360</v>
      </c>
      <c r="J9" s="60">
        <v>6</v>
      </c>
      <c r="K9" s="61" t="s">
        <v>49</v>
      </c>
      <c r="L9" s="58">
        <v>1084</v>
      </c>
      <c r="M9" s="62">
        <v>4003</v>
      </c>
      <c r="O9" s="60">
        <v>4005</v>
      </c>
      <c r="P9" s="61">
        <f t="shared" si="0"/>
        <v>71.5</v>
      </c>
      <c r="Q9" s="108">
        <f t="shared" si="1"/>
        <v>26.02</v>
      </c>
      <c r="R9" s="108">
        <f t="shared" si="2"/>
        <v>2.52</v>
      </c>
      <c r="S9" s="108">
        <v>0</v>
      </c>
      <c r="T9" s="123">
        <f>(($P9*'강화 정수 정보'!$P$5)+($Q9*'강화 정수 정보'!$P$6)+($R9*'강화 정수 정보'!$P$7)+($S9*'강화 정수 정보'!$P$8))/100</f>
        <v>18.578399999999998</v>
      </c>
      <c r="V9" s="75" t="s">
        <v>89</v>
      </c>
      <c r="W9" s="71">
        <v>1</v>
      </c>
      <c r="X9" s="70">
        <v>4006</v>
      </c>
      <c r="Y9" s="76">
        <v>15.5</v>
      </c>
      <c r="Z9" s="41"/>
      <c r="AA9" s="75" t="s">
        <v>90</v>
      </c>
      <c r="AB9" s="71">
        <v>2</v>
      </c>
      <c r="AC9" s="72">
        <v>4006</v>
      </c>
      <c r="AD9" s="76">
        <v>4.5</v>
      </c>
      <c r="AE9" s="41"/>
      <c r="AF9" s="41"/>
      <c r="AG9" s="41"/>
      <c r="AH9" s="41"/>
      <c r="AI9" s="41"/>
      <c r="AJ9" s="41"/>
    </row>
    <row r="10" spans="2:36" ht="16.5" customHeight="1" thickBot="1" x14ac:dyDescent="0.35">
      <c r="B10" s="4" t="s">
        <v>10</v>
      </c>
      <c r="C10" s="5">
        <f>$C$25*$T$15</f>
        <v>256.88400000000001</v>
      </c>
      <c r="D10" s="5">
        <f>$C$26*$T$15</f>
        <v>513.76800000000003</v>
      </c>
      <c r="E10" s="5">
        <f>$C$27*$T$15</f>
        <v>770.65200000000004</v>
      </c>
      <c r="F10" s="5">
        <f>$C$28*$T$15</f>
        <v>1027.5360000000001</v>
      </c>
      <c r="G10" s="5">
        <f>AVERAGE(C10:F10)</f>
        <v>642.21</v>
      </c>
      <c r="H10" s="5">
        <f>$C$29*$T$15</f>
        <v>1541.3040000000001</v>
      </c>
      <c r="J10" s="45">
        <v>7</v>
      </c>
      <c r="K10" s="46" t="s">
        <v>50</v>
      </c>
      <c r="L10" s="47">
        <v>1125</v>
      </c>
      <c r="M10" s="48">
        <v>4004</v>
      </c>
      <c r="O10" s="60">
        <v>4006</v>
      </c>
      <c r="P10" s="61">
        <f t="shared" si="0"/>
        <v>66.5</v>
      </c>
      <c r="Q10" s="108">
        <f t="shared" si="1"/>
        <v>30.48</v>
      </c>
      <c r="R10" s="108">
        <f t="shared" si="2"/>
        <v>3</v>
      </c>
      <c r="S10" s="108">
        <v>0</v>
      </c>
      <c r="T10" s="123">
        <f>(($P10*'강화 정수 정보'!$P$5)+($Q10*'강화 정수 정보'!$P$6)+($R10*'강화 정수 정보'!$P$7)+($S10*'강화 정수 정보'!$P$8))/100</f>
        <v>19.734000000000002</v>
      </c>
      <c r="V10" s="75" t="s">
        <v>89</v>
      </c>
      <c r="W10" s="71">
        <v>1</v>
      </c>
      <c r="X10" s="70">
        <v>4007</v>
      </c>
      <c r="Y10" s="76">
        <v>15</v>
      </c>
      <c r="AA10" s="75" t="s">
        <v>90</v>
      </c>
      <c r="AB10" s="71">
        <v>2</v>
      </c>
      <c r="AC10" s="72">
        <v>4007</v>
      </c>
      <c r="AD10" s="76">
        <v>5</v>
      </c>
      <c r="AF10" s="37" t="s">
        <v>98</v>
      </c>
      <c r="AG10" s="38" t="s">
        <v>99</v>
      </c>
      <c r="AH10" s="38" t="s">
        <v>96</v>
      </c>
      <c r="AI10" s="39" t="s">
        <v>97</v>
      </c>
    </row>
    <row r="11" spans="2:36" ht="16.5" customHeight="1" x14ac:dyDescent="0.3">
      <c r="B11" s="4" t="s">
        <v>11</v>
      </c>
      <c r="C11" s="5">
        <f>$C$25*$L$25</f>
        <v>20120</v>
      </c>
      <c r="D11" s="5">
        <f>$C$26*$L$25</f>
        <v>40240</v>
      </c>
      <c r="E11" s="5">
        <f>$C$27*$L$25</f>
        <v>60360</v>
      </c>
      <c r="F11" s="5">
        <f>$C$28*$L$25</f>
        <v>80480</v>
      </c>
      <c r="G11" s="5">
        <f>AVERAGE(C11:F11)</f>
        <v>50300</v>
      </c>
      <c r="H11" s="5">
        <f>$C$29*$L$25</f>
        <v>120720</v>
      </c>
      <c r="J11" s="49">
        <v>8</v>
      </c>
      <c r="K11" s="50" t="s">
        <v>51</v>
      </c>
      <c r="L11" s="47">
        <v>1169</v>
      </c>
      <c r="M11" s="51">
        <v>4004</v>
      </c>
      <c r="O11" s="60">
        <v>4007</v>
      </c>
      <c r="P11" s="61">
        <f t="shared" si="0"/>
        <v>61.5</v>
      </c>
      <c r="Q11" s="108">
        <f t="shared" si="1"/>
        <v>35</v>
      </c>
      <c r="R11" s="108">
        <f t="shared" si="2"/>
        <v>3.4799999999999995</v>
      </c>
      <c r="S11" s="108">
        <v>0</v>
      </c>
      <c r="T11" s="123">
        <f>(($P11*'강화 정수 정보'!$P$5)+($Q11*'강화 정수 정보'!$P$6)+($R11*'강화 정수 정보'!$P$7)+($S11*'강화 정수 정보'!$P$8))/100</f>
        <v>20.907599999999999</v>
      </c>
      <c r="V11" s="75" t="s">
        <v>89</v>
      </c>
      <c r="W11" s="71">
        <v>1</v>
      </c>
      <c r="X11" s="70">
        <v>4008</v>
      </c>
      <c r="Y11" s="76">
        <v>14.5</v>
      </c>
      <c r="AA11" s="75" t="s">
        <v>90</v>
      </c>
      <c r="AB11" s="71">
        <v>2</v>
      </c>
      <c r="AC11" s="72">
        <v>4008</v>
      </c>
      <c r="AD11" s="76">
        <v>5.5</v>
      </c>
      <c r="AF11" s="94" t="s">
        <v>93</v>
      </c>
      <c r="AG11" s="95">
        <v>3</v>
      </c>
      <c r="AH11" s="89">
        <v>4001</v>
      </c>
      <c r="AI11" s="96">
        <v>0.48</v>
      </c>
    </row>
    <row r="12" spans="2:36" ht="16.5" customHeight="1" x14ac:dyDescent="0.3">
      <c r="B12" s="141" t="s">
        <v>127</v>
      </c>
      <c r="J12" s="56">
        <v>9</v>
      </c>
      <c r="K12" s="57" t="s">
        <v>52</v>
      </c>
      <c r="L12" s="58">
        <v>1216</v>
      </c>
      <c r="M12" s="59">
        <v>4005</v>
      </c>
      <c r="O12" s="60">
        <v>4008</v>
      </c>
      <c r="P12" s="61">
        <f t="shared" si="0"/>
        <v>56.5</v>
      </c>
      <c r="Q12" s="108">
        <f t="shared" si="1"/>
        <v>39.519999999999996</v>
      </c>
      <c r="R12" s="108">
        <f t="shared" si="2"/>
        <v>4.0200000000000005</v>
      </c>
      <c r="S12" s="108">
        <v>0</v>
      </c>
      <c r="T12" s="123">
        <f>(($P12*'강화 정수 정보'!$P$5)+($Q12*'강화 정수 정보'!$P$6)+($R12*'강화 정수 정보'!$P$7)+($S12*'강화 정수 정보'!$P$8))/100</f>
        <v>22.133400000000002</v>
      </c>
      <c r="V12" s="75" t="s">
        <v>89</v>
      </c>
      <c r="W12" s="71">
        <v>1</v>
      </c>
      <c r="X12" s="70">
        <v>4009</v>
      </c>
      <c r="Y12" s="76">
        <v>14</v>
      </c>
      <c r="AA12" s="75" t="s">
        <v>90</v>
      </c>
      <c r="AB12" s="71">
        <v>2</v>
      </c>
      <c r="AC12" s="72">
        <v>4009</v>
      </c>
      <c r="AD12" s="76">
        <v>6</v>
      </c>
      <c r="AF12" s="77" t="s">
        <v>93</v>
      </c>
      <c r="AG12" s="73">
        <v>3</v>
      </c>
      <c r="AH12" s="72">
        <v>4002</v>
      </c>
      <c r="AI12" s="91">
        <v>1.02</v>
      </c>
    </row>
    <row r="13" spans="2:36" ht="16.5" customHeight="1" x14ac:dyDescent="0.3">
      <c r="B13" s="141" t="s">
        <v>128</v>
      </c>
      <c r="J13" s="60">
        <v>10</v>
      </c>
      <c r="K13" s="61" t="s">
        <v>53</v>
      </c>
      <c r="L13" s="58">
        <v>1263</v>
      </c>
      <c r="M13" s="62">
        <v>4005</v>
      </c>
      <c r="O13" s="60">
        <v>4009</v>
      </c>
      <c r="P13" s="61">
        <f t="shared" si="0"/>
        <v>51.5</v>
      </c>
      <c r="Q13" s="108">
        <f t="shared" si="1"/>
        <v>43.980000000000004</v>
      </c>
      <c r="R13" s="108">
        <f t="shared" si="2"/>
        <v>4.5</v>
      </c>
      <c r="S13" s="108">
        <v>0</v>
      </c>
      <c r="T13" s="123">
        <f>(($P13*'강화 정수 정보'!$P$5)+($Q13*'강화 정수 정보'!$P$6)+($R13*'강화 정수 정보'!$P$7)+($S13*'강화 정수 정보'!$P$8))/100</f>
        <v>23.289000000000001</v>
      </c>
      <c r="V13" s="75" t="s">
        <v>89</v>
      </c>
      <c r="W13" s="71">
        <v>1</v>
      </c>
      <c r="X13" s="70">
        <v>4010</v>
      </c>
      <c r="Y13" s="76">
        <v>13.5</v>
      </c>
      <c r="AA13" s="75" t="s">
        <v>90</v>
      </c>
      <c r="AB13" s="71">
        <v>2</v>
      </c>
      <c r="AC13" s="72">
        <v>4010</v>
      </c>
      <c r="AD13" s="76">
        <v>6.5</v>
      </c>
      <c r="AF13" s="77" t="s">
        <v>93</v>
      </c>
      <c r="AG13" s="73">
        <v>3</v>
      </c>
      <c r="AH13" s="72">
        <v>4003</v>
      </c>
      <c r="AI13" s="91">
        <v>1.5</v>
      </c>
    </row>
    <row r="14" spans="2:36" ht="16.5" customHeight="1" x14ac:dyDescent="0.3">
      <c r="J14" s="45">
        <v>11</v>
      </c>
      <c r="K14" s="46" t="s">
        <v>54</v>
      </c>
      <c r="L14" s="47">
        <v>1313</v>
      </c>
      <c r="M14" s="48">
        <v>4006</v>
      </c>
      <c r="O14" s="60">
        <v>4010</v>
      </c>
      <c r="P14" s="61">
        <f t="shared" ref="P14" si="3">VLOOKUP($O14,$X$4:$Y$23,2,FALSE)+VLOOKUP($O14,$X$26:$Y$42,2,FALSE)</f>
        <v>46.5</v>
      </c>
      <c r="Q14" s="108">
        <f t="shared" ref="Q14" si="4">VLOOKUP($O14,$AC$4:$AD$23,2,FALSE)+VLOOKUP($O14,$AC$26:$AD$45,2,FALSE)</f>
        <v>48.5</v>
      </c>
      <c r="R14" s="108">
        <f t="shared" si="2"/>
        <v>4.9799999999999995</v>
      </c>
      <c r="S14" s="108">
        <v>0</v>
      </c>
      <c r="T14" s="123">
        <f>(($P14*'강화 정수 정보'!$P$5)+($Q14*'강화 정수 정보'!$P$6)+($R14*'강화 정수 정보'!$P$7)+($S14*'강화 정수 정보'!$P$8))/100</f>
        <v>24.462599999999998</v>
      </c>
      <c r="V14" s="75" t="s">
        <v>89</v>
      </c>
      <c r="W14" s="71">
        <v>1</v>
      </c>
      <c r="X14" s="70">
        <v>4011</v>
      </c>
      <c r="Y14" s="76">
        <v>13</v>
      </c>
      <c r="Z14" s="41"/>
      <c r="AA14" s="75" t="s">
        <v>90</v>
      </c>
      <c r="AB14" s="71">
        <v>2</v>
      </c>
      <c r="AC14" s="72">
        <v>4011</v>
      </c>
      <c r="AD14" s="76">
        <v>7</v>
      </c>
      <c r="AE14" s="41"/>
      <c r="AF14" s="77" t="s">
        <v>93</v>
      </c>
      <c r="AG14" s="73">
        <v>3</v>
      </c>
      <c r="AH14" s="72">
        <v>4004</v>
      </c>
      <c r="AI14" s="91">
        <v>1.98</v>
      </c>
      <c r="AJ14" s="41"/>
    </row>
    <row r="15" spans="2:36" ht="16.5" customHeight="1" thickBot="1" x14ac:dyDescent="0.35">
      <c r="B15" s="7" t="s">
        <v>37</v>
      </c>
      <c r="C15" s="1"/>
      <c r="J15" s="49">
        <v>12</v>
      </c>
      <c r="K15" s="50" t="s">
        <v>55</v>
      </c>
      <c r="L15" s="47">
        <v>1366</v>
      </c>
      <c r="M15" s="51">
        <v>4006</v>
      </c>
      <c r="O15" s="60">
        <v>4011</v>
      </c>
      <c r="P15" s="61">
        <f t="shared" ref="P15:P21" si="5">VLOOKUP($O15,$X$4:$Y$23,2,FALSE)+VLOOKUP($O15,$X$26:$Y$42,2,FALSE)</f>
        <v>41.5</v>
      </c>
      <c r="Q15" s="108">
        <f t="shared" ref="Q15:Q24" si="6">VLOOKUP($O15,$AC$4:$AD$23,2,FALSE)+VLOOKUP($O15,$AC$26:$AD$45,2,FALSE)</f>
        <v>53.019999999999996</v>
      </c>
      <c r="R15" s="108">
        <f t="shared" si="2"/>
        <v>5.5200000000000005</v>
      </c>
      <c r="S15" s="108">
        <v>0</v>
      </c>
      <c r="T15" s="123">
        <f>(($P15*'강화 정수 정보'!$P$5)+($Q15*'강화 정수 정보'!$P$6)+($R15*'강화 정수 정보'!$P$7)+($S15*'강화 정수 정보'!$P$8))/100</f>
        <v>25.688400000000001</v>
      </c>
      <c r="V15" s="75" t="s">
        <v>89</v>
      </c>
      <c r="W15" s="71">
        <v>1</v>
      </c>
      <c r="X15" s="70">
        <v>4012</v>
      </c>
      <c r="Y15" s="76">
        <v>12.5</v>
      </c>
      <c r="AA15" s="75" t="s">
        <v>90</v>
      </c>
      <c r="AB15" s="71">
        <v>2</v>
      </c>
      <c r="AC15" s="72">
        <v>4012</v>
      </c>
      <c r="AD15" s="76">
        <v>7.5</v>
      </c>
      <c r="AF15" s="77" t="s">
        <v>93</v>
      </c>
      <c r="AG15" s="73">
        <v>3</v>
      </c>
      <c r="AH15" s="72">
        <v>4005</v>
      </c>
      <c r="AI15" s="91">
        <v>2.52</v>
      </c>
    </row>
    <row r="16" spans="2:36" ht="16.5" customHeight="1" x14ac:dyDescent="0.3">
      <c r="B16" s="146" t="s">
        <v>38</v>
      </c>
      <c r="C16" s="126">
        <v>1000</v>
      </c>
      <c r="D16" s="185" t="s">
        <v>42</v>
      </c>
      <c r="E16" s="186">
        <v>3550</v>
      </c>
      <c r="J16" s="56">
        <v>13</v>
      </c>
      <c r="K16" s="57" t="s">
        <v>56</v>
      </c>
      <c r="L16" s="58">
        <v>1419</v>
      </c>
      <c r="M16" s="59">
        <v>4007</v>
      </c>
      <c r="O16" s="60">
        <v>4012</v>
      </c>
      <c r="P16" s="61">
        <f t="shared" si="5"/>
        <v>36.5</v>
      </c>
      <c r="Q16" s="108">
        <f t="shared" si="6"/>
        <v>57.480000000000004</v>
      </c>
      <c r="R16" s="108">
        <f t="shared" si="2"/>
        <v>6</v>
      </c>
      <c r="S16" s="108">
        <v>0</v>
      </c>
      <c r="T16" s="123">
        <f>(($P16*'강화 정수 정보'!$P$5)+($Q16*'강화 정수 정보'!$P$6)+($R16*'강화 정수 정보'!$P$7)+($S16*'강화 정수 정보'!$P$8))/100</f>
        <v>26.844000000000001</v>
      </c>
      <c r="V16" s="75" t="s">
        <v>89</v>
      </c>
      <c r="W16" s="71">
        <v>1</v>
      </c>
      <c r="X16" s="70">
        <v>4013</v>
      </c>
      <c r="Y16" s="76">
        <v>12</v>
      </c>
      <c r="AA16" s="75" t="s">
        <v>90</v>
      </c>
      <c r="AB16" s="71">
        <v>2</v>
      </c>
      <c r="AC16" s="72">
        <v>4013</v>
      </c>
      <c r="AD16" s="76">
        <v>8</v>
      </c>
      <c r="AF16" s="77" t="s">
        <v>93</v>
      </c>
      <c r="AG16" s="73">
        <v>3</v>
      </c>
      <c r="AH16" s="72">
        <v>4006</v>
      </c>
      <c r="AI16" s="91">
        <v>3</v>
      </c>
    </row>
    <row r="17" spans="2:36" ht="16.5" customHeight="1" x14ac:dyDescent="0.3">
      <c r="B17" s="147" t="s">
        <v>39</v>
      </c>
      <c r="C17" s="127">
        <v>50</v>
      </c>
      <c r="D17" s="187" t="s">
        <v>43</v>
      </c>
      <c r="E17" s="188">
        <v>40</v>
      </c>
      <c r="J17" s="60">
        <v>14</v>
      </c>
      <c r="K17" s="61" t="s">
        <v>57</v>
      </c>
      <c r="L17" s="58">
        <v>1475</v>
      </c>
      <c r="M17" s="62">
        <v>4007</v>
      </c>
      <c r="O17" s="60">
        <v>4013</v>
      </c>
      <c r="P17" s="61">
        <f t="shared" si="5"/>
        <v>31.5</v>
      </c>
      <c r="Q17" s="108">
        <f t="shared" si="6"/>
        <v>62</v>
      </c>
      <c r="R17" s="108">
        <f t="shared" si="2"/>
        <v>6.48</v>
      </c>
      <c r="S17" s="108">
        <v>0</v>
      </c>
      <c r="T17" s="123">
        <f>(($P17*'강화 정수 정보'!$P$5)+($Q17*'강화 정수 정보'!$P$6)+($R17*'강화 정수 정보'!$P$7)+($S17*'강화 정수 정보'!$P$8))/100</f>
        <v>28.017600000000002</v>
      </c>
      <c r="V17" s="75" t="s">
        <v>89</v>
      </c>
      <c r="W17" s="71">
        <v>1</v>
      </c>
      <c r="X17" s="70">
        <v>4014</v>
      </c>
      <c r="Y17" s="76">
        <v>11.5</v>
      </c>
      <c r="AA17" s="75" t="s">
        <v>90</v>
      </c>
      <c r="AB17" s="71">
        <v>2</v>
      </c>
      <c r="AC17" s="72">
        <v>4014</v>
      </c>
      <c r="AD17" s="76">
        <v>8.5</v>
      </c>
      <c r="AF17" s="77" t="s">
        <v>93</v>
      </c>
      <c r="AG17" s="73">
        <v>3</v>
      </c>
      <c r="AH17" s="72">
        <v>4007</v>
      </c>
      <c r="AI17" s="91">
        <v>3.4799999999999995</v>
      </c>
    </row>
    <row r="18" spans="2:36" ht="16.5" customHeight="1" x14ac:dyDescent="0.3">
      <c r="B18" s="147" t="s">
        <v>40</v>
      </c>
      <c r="C18" s="28">
        <f>(ROUNDUP((($C$16+($C$17-19)*50)/$E$16*$E$17),0)-1)*5+1</f>
        <v>141</v>
      </c>
      <c r="D18" s="144" t="s">
        <v>84</v>
      </c>
      <c r="E18" s="40" t="str">
        <f>VLOOKUP($C$19,$J$4:$L$43,2,)</f>
        <v>지옥 Ⅳ</v>
      </c>
      <c r="J18" s="45">
        <v>15</v>
      </c>
      <c r="K18" s="46" t="s">
        <v>58</v>
      </c>
      <c r="L18" s="47">
        <v>1533</v>
      </c>
      <c r="M18" s="48">
        <v>4008</v>
      </c>
      <c r="O18" s="60">
        <v>4014</v>
      </c>
      <c r="P18" s="61">
        <f t="shared" si="5"/>
        <v>26.5</v>
      </c>
      <c r="Q18" s="108">
        <f t="shared" si="6"/>
        <v>66.52</v>
      </c>
      <c r="R18" s="108">
        <f t="shared" si="2"/>
        <v>7.02</v>
      </c>
      <c r="S18" s="108">
        <v>0</v>
      </c>
      <c r="T18" s="123">
        <f>(($P18*'강화 정수 정보'!$P$5)+($Q18*'강화 정수 정보'!$P$6)+($R18*'강화 정수 정보'!$P$7)+($S18*'강화 정수 정보'!$P$8))/100</f>
        <v>29.243400000000001</v>
      </c>
      <c r="V18" s="75" t="s">
        <v>89</v>
      </c>
      <c r="W18" s="71">
        <v>1</v>
      </c>
      <c r="X18" s="70">
        <v>4015</v>
      </c>
      <c r="Y18" s="76">
        <v>11</v>
      </c>
      <c r="AA18" s="75" t="s">
        <v>90</v>
      </c>
      <c r="AB18" s="71">
        <v>2</v>
      </c>
      <c r="AC18" s="72">
        <v>4015</v>
      </c>
      <c r="AD18" s="76">
        <v>9</v>
      </c>
      <c r="AF18" s="77" t="s">
        <v>93</v>
      </c>
      <c r="AG18" s="73">
        <v>3</v>
      </c>
      <c r="AH18" s="72">
        <v>4008</v>
      </c>
      <c r="AI18" s="91">
        <v>4.0200000000000005</v>
      </c>
    </row>
    <row r="19" spans="2:36" ht="16.5" customHeight="1" x14ac:dyDescent="0.3">
      <c r="B19" s="147" t="s">
        <v>41</v>
      </c>
      <c r="C19" s="128">
        <f>($C$18+4)/5</f>
        <v>29</v>
      </c>
      <c r="D19" s="144" t="s">
        <v>116</v>
      </c>
      <c r="E19" s="142">
        <f>VLOOKUP($C$19,$J$4:$L$43,3,)</f>
        <v>2644</v>
      </c>
      <c r="J19" s="49">
        <v>16</v>
      </c>
      <c r="K19" s="50" t="s">
        <v>59</v>
      </c>
      <c r="L19" s="47">
        <v>1593</v>
      </c>
      <c r="M19" s="51">
        <v>4008</v>
      </c>
      <c r="O19" s="60">
        <v>4015</v>
      </c>
      <c r="P19" s="61">
        <f t="shared" si="5"/>
        <v>21.5</v>
      </c>
      <c r="Q19" s="108">
        <f t="shared" si="6"/>
        <v>70.98</v>
      </c>
      <c r="R19" s="108">
        <f t="shared" si="2"/>
        <v>7.5</v>
      </c>
      <c r="S19" s="108">
        <v>0</v>
      </c>
      <c r="T19" s="123">
        <f>(($P19*'강화 정수 정보'!$P$5)+($Q19*'강화 정수 정보'!$P$6)+($R19*'강화 정수 정보'!$P$7)+($S19*'강화 정수 정보'!$P$8))/100</f>
        <v>30.399000000000001</v>
      </c>
      <c r="V19" s="75" t="s">
        <v>89</v>
      </c>
      <c r="W19" s="71">
        <v>1</v>
      </c>
      <c r="X19" s="70">
        <v>4016</v>
      </c>
      <c r="Y19" s="76">
        <v>10.5</v>
      </c>
      <c r="Z19" s="41"/>
      <c r="AA19" s="75" t="s">
        <v>90</v>
      </c>
      <c r="AB19" s="71">
        <v>2</v>
      </c>
      <c r="AC19" s="72">
        <v>4016</v>
      </c>
      <c r="AD19" s="76">
        <v>9</v>
      </c>
      <c r="AE19" s="41"/>
      <c r="AF19" s="77" t="s">
        <v>93</v>
      </c>
      <c r="AG19" s="73">
        <v>3</v>
      </c>
      <c r="AH19" s="72">
        <v>4009</v>
      </c>
      <c r="AI19" s="91">
        <v>4.5</v>
      </c>
      <c r="AJ19" s="41"/>
    </row>
    <row r="20" spans="2:36" ht="16.5" customHeight="1" thickBot="1" x14ac:dyDescent="0.35">
      <c r="B20" s="148" t="s">
        <v>130</v>
      </c>
      <c r="C20" s="36">
        <f>VLOOKUP($E$18,$K$4:$M$43,3,FALSE)</f>
        <v>4015</v>
      </c>
      <c r="D20" s="145" t="s">
        <v>131</v>
      </c>
      <c r="E20" s="143">
        <f>VLOOKUP($C$20,$O$5:$T$24,6,FALSE)</f>
        <v>30.399000000000001</v>
      </c>
      <c r="J20" s="56">
        <v>17</v>
      </c>
      <c r="K20" s="57" t="s">
        <v>60</v>
      </c>
      <c r="L20" s="58">
        <v>1657</v>
      </c>
      <c r="M20" s="59">
        <v>4009</v>
      </c>
      <c r="O20" s="60">
        <v>4016</v>
      </c>
      <c r="P20" s="61">
        <f t="shared" si="5"/>
        <v>16.5</v>
      </c>
      <c r="Q20" s="108">
        <f t="shared" si="6"/>
        <v>75</v>
      </c>
      <c r="R20" s="108">
        <f>VLOOKUP($O20,$AH$4:$AI$8,2,FALSE)+VLOOKUP($O20,$AH$11:$AI$30,2,FALSE)</f>
        <v>8.48</v>
      </c>
      <c r="S20" s="108">
        <v>0</v>
      </c>
      <c r="T20" s="123">
        <f>(($P20*'강화 정수 정보'!$P$5)+($Q20*'강화 정수 정보'!$P$6)+($R20*'강화 정수 정보'!$P$7)+($S20*'강화 정수 정보'!$P$8))/100</f>
        <v>31.857600000000001</v>
      </c>
      <c r="V20" s="75" t="s">
        <v>89</v>
      </c>
      <c r="W20" s="71">
        <v>1</v>
      </c>
      <c r="X20" s="70">
        <v>4017</v>
      </c>
      <c r="Y20" s="76">
        <v>10</v>
      </c>
      <c r="AA20" s="75" t="s">
        <v>90</v>
      </c>
      <c r="AB20" s="71">
        <v>2</v>
      </c>
      <c r="AC20" s="72">
        <v>4017</v>
      </c>
      <c r="AD20" s="76">
        <v>9</v>
      </c>
      <c r="AF20" s="77" t="s">
        <v>93</v>
      </c>
      <c r="AG20" s="73">
        <v>3</v>
      </c>
      <c r="AH20" s="72">
        <v>4010</v>
      </c>
      <c r="AI20" s="91">
        <v>4.9799999999999995</v>
      </c>
    </row>
    <row r="21" spans="2:36" ht="16.5" customHeight="1" x14ac:dyDescent="0.3">
      <c r="B21" s="125" t="s">
        <v>299</v>
      </c>
      <c r="J21" s="60">
        <v>18</v>
      </c>
      <c r="K21" s="61" t="s">
        <v>61</v>
      </c>
      <c r="L21" s="58">
        <v>1724</v>
      </c>
      <c r="M21" s="62">
        <v>4009</v>
      </c>
      <c r="O21" s="60">
        <v>4017</v>
      </c>
      <c r="P21" s="61">
        <f t="shared" si="5"/>
        <v>11.5</v>
      </c>
      <c r="Q21" s="108">
        <f t="shared" si="6"/>
        <v>79.02</v>
      </c>
      <c r="R21" s="108">
        <f>VLOOKUP($O21,$AH$4:$AI$8,2,FALSE)+VLOOKUP($O21,$AH$11:$AI$30,2,FALSE)</f>
        <v>9.52</v>
      </c>
      <c r="S21" s="108">
        <v>0</v>
      </c>
      <c r="T21" s="123">
        <f>(($P21*'강화 정수 정보'!$P$5)+($Q21*'강화 정수 정보'!$P$6)+($R21*'강화 정수 정보'!$P$7)+($S21*'강화 정수 정보'!$P$8))/100</f>
        <v>33.368400000000001</v>
      </c>
      <c r="V21" s="75" t="s">
        <v>89</v>
      </c>
      <c r="W21" s="71">
        <v>1</v>
      </c>
      <c r="X21" s="70">
        <v>4018</v>
      </c>
      <c r="Y21" s="76">
        <v>9.5</v>
      </c>
      <c r="AA21" s="75" t="s">
        <v>90</v>
      </c>
      <c r="AB21" s="71">
        <v>2</v>
      </c>
      <c r="AC21" s="72">
        <v>4018</v>
      </c>
      <c r="AD21" s="76">
        <v>9</v>
      </c>
      <c r="AF21" s="77" t="s">
        <v>93</v>
      </c>
      <c r="AG21" s="73">
        <v>3</v>
      </c>
      <c r="AH21" s="72">
        <v>4011</v>
      </c>
      <c r="AI21" s="91">
        <v>5.5200000000000005</v>
      </c>
    </row>
    <row r="22" spans="2:36" ht="16.5" customHeight="1" x14ac:dyDescent="0.3">
      <c r="J22" s="45">
        <v>19</v>
      </c>
      <c r="K22" s="46" t="s">
        <v>62</v>
      </c>
      <c r="L22" s="47">
        <v>1791</v>
      </c>
      <c r="M22" s="48">
        <v>4010</v>
      </c>
      <c r="O22" s="60">
        <v>4018</v>
      </c>
      <c r="P22" s="61">
        <f>VLOOKUP($O22,$X$4:$Y$23,2,FALSE)</f>
        <v>9.5</v>
      </c>
      <c r="Q22" s="108">
        <f t="shared" si="6"/>
        <v>79.02</v>
      </c>
      <c r="R22" s="108">
        <f>VLOOKUP($O22,$AH$4:$AI$8,2,FALSE)+VLOOKUP($O22,$AH$11:$AI$30,2,FALSE)</f>
        <v>10.5</v>
      </c>
      <c r="S22" s="108">
        <f>VLOOKUP($O22,$AH$33:$AI$35,2,FALSE)</f>
        <v>1.02</v>
      </c>
      <c r="T22" s="123">
        <f>(($P22*'강화 정수 정보'!$P$5)+($Q22*'강화 정수 정보'!$P$6)+($R22*'강화 정수 정보'!$P$7)+($S22*'강화 정수 정보'!$P$8))/100</f>
        <v>36.133199999999995</v>
      </c>
      <c r="V22" s="75" t="s">
        <v>89</v>
      </c>
      <c r="W22" s="71">
        <v>1</v>
      </c>
      <c r="X22" s="70">
        <v>4019</v>
      </c>
      <c r="Y22" s="76">
        <v>9</v>
      </c>
      <c r="AA22" s="75" t="s">
        <v>90</v>
      </c>
      <c r="AB22" s="71">
        <v>2</v>
      </c>
      <c r="AC22" s="72">
        <v>4019</v>
      </c>
      <c r="AD22" s="76">
        <v>9</v>
      </c>
      <c r="AF22" s="77" t="s">
        <v>93</v>
      </c>
      <c r="AG22" s="73">
        <v>3</v>
      </c>
      <c r="AH22" s="72">
        <v>4012</v>
      </c>
      <c r="AI22" s="91">
        <v>6</v>
      </c>
    </row>
    <row r="23" spans="2:36" ht="16.5" customHeight="1" thickBot="1" x14ac:dyDescent="0.35">
      <c r="B23" s="7" t="s">
        <v>115</v>
      </c>
      <c r="J23" s="49">
        <v>20</v>
      </c>
      <c r="K23" s="50" t="s">
        <v>63</v>
      </c>
      <c r="L23" s="47">
        <v>1862</v>
      </c>
      <c r="M23" s="51">
        <v>4010</v>
      </c>
      <c r="O23" s="60">
        <v>4019</v>
      </c>
      <c r="P23" s="61">
        <f>VLOOKUP($O23,$X$4:$Y$23,2,FALSE)</f>
        <v>9</v>
      </c>
      <c r="Q23" s="108">
        <f t="shared" si="6"/>
        <v>74.52</v>
      </c>
      <c r="R23" s="108">
        <f>VLOOKUP($O23,$AH$4:$AI$8,2,FALSE)+VLOOKUP($O23,$AH$11:$AI$30,2,FALSE)</f>
        <v>15.02</v>
      </c>
      <c r="S23" s="108">
        <f t="shared" ref="S23:S24" si="7">VLOOKUP($O23,$AH$33:$AI$35,2,FALSE)</f>
        <v>1.5</v>
      </c>
      <c r="T23" s="123">
        <f>(($P23*'강화 정수 정보'!$P$5)+($Q23*'강화 정수 정보'!$P$6)+($R23*'강화 정수 정보'!$P$7)+($S23*'강화 정수 정보'!$P$8))/100</f>
        <v>39.668399999999998</v>
      </c>
      <c r="V23" s="86" t="s">
        <v>89</v>
      </c>
      <c r="W23" s="87">
        <v>1</v>
      </c>
      <c r="X23" s="90">
        <v>4020</v>
      </c>
      <c r="Y23" s="88">
        <v>8.5</v>
      </c>
      <c r="AA23" s="86" t="s">
        <v>90</v>
      </c>
      <c r="AB23" s="87">
        <v>2</v>
      </c>
      <c r="AC23" s="81">
        <v>4020</v>
      </c>
      <c r="AD23" s="88">
        <v>9</v>
      </c>
      <c r="AF23" s="77" t="s">
        <v>93</v>
      </c>
      <c r="AG23" s="73">
        <v>3</v>
      </c>
      <c r="AH23" s="72">
        <v>4013</v>
      </c>
      <c r="AI23" s="91">
        <v>6.48</v>
      </c>
    </row>
    <row r="24" spans="2:36" ht="16.5" customHeight="1" thickBot="1" x14ac:dyDescent="0.35">
      <c r="B24" s="137"/>
      <c r="C24" s="132" t="s">
        <v>132</v>
      </c>
      <c r="D24" s="133" t="s">
        <v>126</v>
      </c>
      <c r="J24" s="56">
        <v>21</v>
      </c>
      <c r="K24" s="57" t="s">
        <v>64</v>
      </c>
      <c r="L24" s="58">
        <v>1935</v>
      </c>
      <c r="M24" s="59">
        <v>4011</v>
      </c>
      <c r="O24" s="104">
        <v>4020</v>
      </c>
      <c r="P24" s="69">
        <f>VLOOKUP($O24,$X$4:$Y$23,2,FALSE)</f>
        <v>8.5</v>
      </c>
      <c r="Q24" s="109">
        <f t="shared" si="6"/>
        <v>70.02</v>
      </c>
      <c r="R24" s="109">
        <f>VLOOKUP($O24,$AH$4:$AI$8,2,FALSE)+VLOOKUP($O24,$AH$11:$AI$30,2,FALSE)</f>
        <v>19.48</v>
      </c>
      <c r="S24" s="109">
        <f t="shared" si="7"/>
        <v>1.98</v>
      </c>
      <c r="T24" s="124">
        <f>(($P24*'강화 정수 정보'!$P$5)+($Q24*'강화 정수 정보'!$P$6)+($R24*'강화 정수 정보'!$P$7)+($S24*'강화 정수 정보'!$P$8))/100</f>
        <v>43.151399999999995</v>
      </c>
      <c r="Z24" s="41"/>
      <c r="AA24" s="41"/>
      <c r="AB24" s="41"/>
      <c r="AC24" s="41"/>
      <c r="AD24" s="41"/>
      <c r="AE24" s="41"/>
      <c r="AF24" s="77" t="s">
        <v>93</v>
      </c>
      <c r="AG24" s="73">
        <v>3</v>
      </c>
      <c r="AH24" s="72">
        <v>4014</v>
      </c>
      <c r="AI24" s="91">
        <v>7.02</v>
      </c>
      <c r="AJ24" s="41"/>
    </row>
    <row r="25" spans="2:36" ht="16.5" customHeight="1" thickBot="1" x14ac:dyDescent="0.35">
      <c r="B25" s="138" t="s">
        <v>118</v>
      </c>
      <c r="C25" s="134">
        <v>10</v>
      </c>
      <c r="D25" s="131">
        <v>10</v>
      </c>
      <c r="J25" s="60">
        <v>22</v>
      </c>
      <c r="K25" s="61" t="s">
        <v>65</v>
      </c>
      <c r="L25" s="58">
        <v>2012</v>
      </c>
      <c r="M25" s="62">
        <v>4011</v>
      </c>
      <c r="V25" s="37" t="s">
        <v>98</v>
      </c>
      <c r="W25" s="38" t="s">
        <v>99</v>
      </c>
      <c r="X25" s="38" t="s">
        <v>96</v>
      </c>
      <c r="Y25" s="39" t="s">
        <v>97</v>
      </c>
      <c r="Z25" s="41"/>
      <c r="AA25" s="37" t="s">
        <v>98</v>
      </c>
      <c r="AB25" s="38" t="s">
        <v>99</v>
      </c>
      <c r="AC25" s="38" t="s">
        <v>96</v>
      </c>
      <c r="AD25" s="39" t="s">
        <v>97</v>
      </c>
      <c r="AF25" s="77" t="s">
        <v>93</v>
      </c>
      <c r="AG25" s="73">
        <v>3</v>
      </c>
      <c r="AH25" s="72">
        <v>4015</v>
      </c>
      <c r="AI25" s="91">
        <v>7.5</v>
      </c>
    </row>
    <row r="26" spans="2:36" ht="16.5" customHeight="1" x14ac:dyDescent="0.3">
      <c r="B26" s="139" t="s">
        <v>120</v>
      </c>
      <c r="C26" s="135">
        <v>20</v>
      </c>
      <c r="D26" s="129">
        <v>20</v>
      </c>
      <c r="J26" s="45">
        <v>23</v>
      </c>
      <c r="K26" s="46" t="s">
        <v>66</v>
      </c>
      <c r="L26" s="47">
        <v>2092</v>
      </c>
      <c r="M26" s="48">
        <v>4012</v>
      </c>
      <c r="V26" s="94" t="s">
        <v>91</v>
      </c>
      <c r="W26" s="95">
        <v>1</v>
      </c>
      <c r="X26" s="89">
        <v>4001</v>
      </c>
      <c r="Y26" s="96">
        <v>73.5</v>
      </c>
      <c r="AA26" s="97" t="s">
        <v>92</v>
      </c>
      <c r="AB26" s="98">
        <v>2</v>
      </c>
      <c r="AC26" s="98">
        <v>4001</v>
      </c>
      <c r="AD26" s="99">
        <v>6</v>
      </c>
      <c r="AF26" s="77" t="s">
        <v>93</v>
      </c>
      <c r="AG26" s="73">
        <v>3</v>
      </c>
      <c r="AH26" s="72">
        <v>4016</v>
      </c>
      <c r="AI26" s="91">
        <v>7.98</v>
      </c>
    </row>
    <row r="27" spans="2:36" ht="16.5" customHeight="1" x14ac:dyDescent="0.3">
      <c r="B27" s="139" t="s">
        <v>122</v>
      </c>
      <c r="C27" s="135">
        <v>30</v>
      </c>
      <c r="D27" s="129">
        <v>30</v>
      </c>
      <c r="J27" s="49">
        <v>24</v>
      </c>
      <c r="K27" s="50" t="s">
        <v>67</v>
      </c>
      <c r="L27" s="47">
        <v>2175</v>
      </c>
      <c r="M27" s="51">
        <v>4012</v>
      </c>
      <c r="V27" s="77" t="s">
        <v>91</v>
      </c>
      <c r="W27" s="73">
        <v>1</v>
      </c>
      <c r="X27" s="72">
        <v>4002</v>
      </c>
      <c r="Y27" s="91">
        <v>69</v>
      </c>
      <c r="AA27" s="78" t="s">
        <v>92</v>
      </c>
      <c r="AB27" s="74">
        <v>2</v>
      </c>
      <c r="AC27" s="74">
        <v>4002</v>
      </c>
      <c r="AD27" s="92">
        <v>10.02</v>
      </c>
      <c r="AF27" s="77" t="s">
        <v>93</v>
      </c>
      <c r="AG27" s="73">
        <v>3</v>
      </c>
      <c r="AH27" s="72">
        <v>4017</v>
      </c>
      <c r="AI27" s="91">
        <v>8.52</v>
      </c>
    </row>
    <row r="28" spans="2:36" ht="16.5" customHeight="1" x14ac:dyDescent="0.3">
      <c r="B28" s="139" t="s">
        <v>124</v>
      </c>
      <c r="C28" s="135">
        <v>40</v>
      </c>
      <c r="D28" s="129">
        <v>45</v>
      </c>
      <c r="J28" s="56">
        <v>25</v>
      </c>
      <c r="K28" s="57" t="s">
        <v>68</v>
      </c>
      <c r="L28" s="58">
        <v>2262</v>
      </c>
      <c r="M28" s="59">
        <v>4013</v>
      </c>
      <c r="V28" s="77" t="s">
        <v>91</v>
      </c>
      <c r="W28" s="73">
        <v>1</v>
      </c>
      <c r="X28" s="72">
        <v>4003</v>
      </c>
      <c r="Y28" s="91">
        <v>64.5</v>
      </c>
      <c r="AA28" s="78" t="s">
        <v>92</v>
      </c>
      <c r="AB28" s="74">
        <v>2</v>
      </c>
      <c r="AC28" s="74">
        <v>4003</v>
      </c>
      <c r="AD28" s="92">
        <v>13.98</v>
      </c>
      <c r="AF28" s="78" t="s">
        <v>93</v>
      </c>
      <c r="AG28" s="74">
        <v>3</v>
      </c>
      <c r="AH28" s="74">
        <v>4018</v>
      </c>
      <c r="AI28" s="92">
        <v>9</v>
      </c>
    </row>
    <row r="29" spans="2:36" ht="16.5" customHeight="1" thickBot="1" x14ac:dyDescent="0.35">
      <c r="B29" s="140" t="s">
        <v>125</v>
      </c>
      <c r="C29" s="136">
        <v>60</v>
      </c>
      <c r="D29" s="130">
        <v>90</v>
      </c>
      <c r="J29" s="60">
        <v>26</v>
      </c>
      <c r="K29" s="61" t="s">
        <v>69</v>
      </c>
      <c r="L29" s="58">
        <v>2353</v>
      </c>
      <c r="M29" s="62">
        <v>4013</v>
      </c>
      <c r="V29" s="77" t="s">
        <v>91</v>
      </c>
      <c r="W29" s="73">
        <v>1</v>
      </c>
      <c r="X29" s="72">
        <v>4004</v>
      </c>
      <c r="Y29" s="91">
        <v>60</v>
      </c>
      <c r="AA29" s="78" t="s">
        <v>92</v>
      </c>
      <c r="AB29" s="74">
        <v>2</v>
      </c>
      <c r="AC29" s="74">
        <v>4004</v>
      </c>
      <c r="AD29" s="92">
        <v>18</v>
      </c>
      <c r="AE29" s="41"/>
      <c r="AF29" s="78" t="s">
        <v>93</v>
      </c>
      <c r="AG29" s="74">
        <v>3</v>
      </c>
      <c r="AH29" s="74">
        <v>4019</v>
      </c>
      <c r="AI29" s="92">
        <v>13.02</v>
      </c>
      <c r="AJ29" s="41"/>
    </row>
    <row r="30" spans="2:36" ht="16.5" customHeight="1" thickBot="1" x14ac:dyDescent="0.35">
      <c r="J30" s="45">
        <v>27</v>
      </c>
      <c r="K30" s="46" t="s">
        <v>70</v>
      </c>
      <c r="L30" s="47">
        <v>2447</v>
      </c>
      <c r="M30" s="48">
        <v>4014</v>
      </c>
      <c r="V30" s="77" t="s">
        <v>91</v>
      </c>
      <c r="W30" s="73">
        <v>1</v>
      </c>
      <c r="X30" s="72">
        <v>4005</v>
      </c>
      <c r="Y30" s="91">
        <v>55.5</v>
      </c>
      <c r="Z30" s="41"/>
      <c r="AA30" s="78" t="s">
        <v>92</v>
      </c>
      <c r="AB30" s="74">
        <v>2</v>
      </c>
      <c r="AC30" s="74">
        <v>4005</v>
      </c>
      <c r="AD30" s="92">
        <v>22.02</v>
      </c>
      <c r="AF30" s="100" t="s">
        <v>93</v>
      </c>
      <c r="AG30" s="101">
        <v>3</v>
      </c>
      <c r="AH30" s="101">
        <v>4020</v>
      </c>
      <c r="AI30" s="102">
        <v>16.98</v>
      </c>
    </row>
    <row r="31" spans="2:36" ht="16.5" customHeight="1" thickBot="1" x14ac:dyDescent="0.35">
      <c r="J31" s="49">
        <v>28</v>
      </c>
      <c r="K31" s="50" t="s">
        <v>71</v>
      </c>
      <c r="L31" s="47">
        <v>2542</v>
      </c>
      <c r="M31" s="51">
        <v>4014</v>
      </c>
      <c r="V31" s="77" t="s">
        <v>91</v>
      </c>
      <c r="W31" s="73">
        <v>1</v>
      </c>
      <c r="X31" s="72">
        <v>4006</v>
      </c>
      <c r="Y31" s="91">
        <v>51</v>
      </c>
      <c r="AA31" s="78" t="s">
        <v>92</v>
      </c>
      <c r="AB31" s="74">
        <v>2</v>
      </c>
      <c r="AC31" s="74">
        <v>4006</v>
      </c>
      <c r="AD31" s="92">
        <v>25.98</v>
      </c>
    </row>
    <row r="32" spans="2:36" ht="16.5" customHeight="1" thickBot="1" x14ac:dyDescent="0.35">
      <c r="J32" s="56">
        <v>29</v>
      </c>
      <c r="K32" s="57" t="s">
        <v>72</v>
      </c>
      <c r="L32" s="58">
        <v>2644</v>
      </c>
      <c r="M32" s="59">
        <v>4015</v>
      </c>
      <c r="V32" s="77" t="s">
        <v>91</v>
      </c>
      <c r="W32" s="73">
        <v>1</v>
      </c>
      <c r="X32" s="72">
        <v>4007</v>
      </c>
      <c r="Y32" s="91">
        <v>46.5</v>
      </c>
      <c r="AA32" s="78" t="s">
        <v>92</v>
      </c>
      <c r="AB32" s="74">
        <v>2</v>
      </c>
      <c r="AC32" s="74">
        <v>4007</v>
      </c>
      <c r="AD32" s="92">
        <v>30</v>
      </c>
      <c r="AF32" s="37" t="s">
        <v>98</v>
      </c>
      <c r="AG32" s="38" t="s">
        <v>99</v>
      </c>
      <c r="AH32" s="38" t="s">
        <v>96</v>
      </c>
      <c r="AI32" s="39" t="s">
        <v>97</v>
      </c>
    </row>
    <row r="33" spans="10:36" ht="16.5" customHeight="1" x14ac:dyDescent="0.3">
      <c r="J33" s="60">
        <v>30</v>
      </c>
      <c r="K33" s="61" t="s">
        <v>73</v>
      </c>
      <c r="L33" s="58">
        <v>2751</v>
      </c>
      <c r="M33" s="62">
        <v>4015</v>
      </c>
      <c r="V33" s="77" t="s">
        <v>91</v>
      </c>
      <c r="W33" s="73">
        <v>1</v>
      </c>
      <c r="X33" s="72">
        <v>4008</v>
      </c>
      <c r="Y33" s="91">
        <v>42</v>
      </c>
      <c r="AA33" s="78" t="s">
        <v>92</v>
      </c>
      <c r="AB33" s="74">
        <v>2</v>
      </c>
      <c r="AC33" s="74">
        <v>4008</v>
      </c>
      <c r="AD33" s="92">
        <v>34.019999999999996</v>
      </c>
      <c r="AF33" s="77" t="s">
        <v>95</v>
      </c>
      <c r="AG33" s="73">
        <v>4</v>
      </c>
      <c r="AH33" s="72">
        <v>4018</v>
      </c>
      <c r="AI33" s="91">
        <v>1.02</v>
      </c>
    </row>
    <row r="34" spans="10:36" ht="16.5" customHeight="1" x14ac:dyDescent="0.3">
      <c r="J34" s="45">
        <v>31</v>
      </c>
      <c r="K34" s="46" t="s">
        <v>74</v>
      </c>
      <c r="L34" s="47">
        <v>2860</v>
      </c>
      <c r="M34" s="48">
        <v>4016</v>
      </c>
      <c r="V34" s="77" t="s">
        <v>91</v>
      </c>
      <c r="W34" s="73">
        <v>1</v>
      </c>
      <c r="X34" s="72">
        <v>4009</v>
      </c>
      <c r="Y34" s="91">
        <v>37.5</v>
      </c>
      <c r="AA34" s="78" t="s">
        <v>92</v>
      </c>
      <c r="AB34" s="74">
        <v>2</v>
      </c>
      <c r="AC34" s="74">
        <v>4009</v>
      </c>
      <c r="AD34" s="92">
        <v>37.980000000000004</v>
      </c>
      <c r="AE34" s="41"/>
      <c r="AF34" s="77" t="s">
        <v>95</v>
      </c>
      <c r="AG34" s="73">
        <v>4</v>
      </c>
      <c r="AH34" s="72">
        <v>4019</v>
      </c>
      <c r="AI34" s="91">
        <v>1.5</v>
      </c>
      <c r="AJ34" s="41"/>
    </row>
    <row r="35" spans="10:36" ht="16.5" customHeight="1" thickBot="1" x14ac:dyDescent="0.35">
      <c r="J35" s="49">
        <v>32</v>
      </c>
      <c r="K35" s="50" t="s">
        <v>75</v>
      </c>
      <c r="L35" s="47">
        <v>2974</v>
      </c>
      <c r="M35" s="51">
        <v>4016</v>
      </c>
      <c r="V35" s="77" t="s">
        <v>91</v>
      </c>
      <c r="W35" s="73">
        <v>1</v>
      </c>
      <c r="X35" s="72">
        <v>4010</v>
      </c>
      <c r="Y35" s="91">
        <v>33</v>
      </c>
      <c r="Z35" s="41"/>
      <c r="AA35" s="78" t="s">
        <v>92</v>
      </c>
      <c r="AB35" s="74">
        <v>2</v>
      </c>
      <c r="AC35" s="74">
        <v>4010</v>
      </c>
      <c r="AD35" s="92">
        <v>42</v>
      </c>
      <c r="AF35" s="79" t="s">
        <v>95</v>
      </c>
      <c r="AG35" s="80">
        <v>4</v>
      </c>
      <c r="AH35" s="81">
        <v>4020</v>
      </c>
      <c r="AI35" s="93">
        <v>1.98</v>
      </c>
    </row>
    <row r="36" spans="10:36" ht="16.5" customHeight="1" x14ac:dyDescent="0.3">
      <c r="J36" s="56">
        <v>33</v>
      </c>
      <c r="K36" s="57" t="s">
        <v>76</v>
      </c>
      <c r="L36" s="58">
        <v>3094</v>
      </c>
      <c r="M36" s="59">
        <v>4017</v>
      </c>
      <c r="V36" s="77" t="s">
        <v>91</v>
      </c>
      <c r="W36" s="73">
        <v>1</v>
      </c>
      <c r="X36" s="72">
        <v>4011</v>
      </c>
      <c r="Y36" s="91">
        <v>28.5</v>
      </c>
      <c r="AA36" s="78" t="s">
        <v>92</v>
      </c>
      <c r="AB36" s="74">
        <v>2</v>
      </c>
      <c r="AC36" s="74">
        <v>4011</v>
      </c>
      <c r="AD36" s="92">
        <v>46.019999999999996</v>
      </c>
    </row>
    <row r="37" spans="10:36" ht="16.5" customHeight="1" x14ac:dyDescent="0.3">
      <c r="J37" s="60">
        <v>34</v>
      </c>
      <c r="K37" s="61" t="s">
        <v>77</v>
      </c>
      <c r="L37" s="58">
        <v>3216</v>
      </c>
      <c r="M37" s="62">
        <v>4017</v>
      </c>
      <c r="V37" s="77" t="s">
        <v>91</v>
      </c>
      <c r="W37" s="73">
        <v>1</v>
      </c>
      <c r="X37" s="72">
        <v>4012</v>
      </c>
      <c r="Y37" s="91">
        <v>24</v>
      </c>
      <c r="AA37" s="78" t="s">
        <v>92</v>
      </c>
      <c r="AB37" s="74">
        <v>2</v>
      </c>
      <c r="AC37" s="74">
        <v>4012</v>
      </c>
      <c r="AD37" s="92">
        <v>49.980000000000004</v>
      </c>
    </row>
    <row r="38" spans="10:36" ht="16.5" customHeight="1" x14ac:dyDescent="0.3">
      <c r="J38" s="45">
        <v>35</v>
      </c>
      <c r="K38" s="46" t="s">
        <v>78</v>
      </c>
      <c r="L38" s="47">
        <v>3345</v>
      </c>
      <c r="M38" s="48">
        <v>4018</v>
      </c>
      <c r="V38" s="77" t="s">
        <v>91</v>
      </c>
      <c r="W38" s="73">
        <v>1</v>
      </c>
      <c r="X38" s="72">
        <v>4013</v>
      </c>
      <c r="Y38" s="91">
        <v>19.5</v>
      </c>
      <c r="AA38" s="78" t="s">
        <v>92</v>
      </c>
      <c r="AB38" s="74">
        <v>2</v>
      </c>
      <c r="AC38" s="74">
        <v>4013</v>
      </c>
      <c r="AD38" s="92">
        <v>54</v>
      </c>
    </row>
    <row r="39" spans="10:36" ht="16.5" customHeight="1" x14ac:dyDescent="0.3">
      <c r="J39" s="49">
        <v>36</v>
      </c>
      <c r="K39" s="50" t="s">
        <v>79</v>
      </c>
      <c r="L39" s="47">
        <v>3477</v>
      </c>
      <c r="M39" s="51">
        <v>4018</v>
      </c>
      <c r="V39" s="77" t="s">
        <v>91</v>
      </c>
      <c r="W39" s="73">
        <v>1</v>
      </c>
      <c r="X39" s="72">
        <v>4014</v>
      </c>
      <c r="Y39" s="91">
        <v>15</v>
      </c>
      <c r="AA39" s="78" t="s">
        <v>92</v>
      </c>
      <c r="AB39" s="74">
        <v>2</v>
      </c>
      <c r="AC39" s="74">
        <v>4014</v>
      </c>
      <c r="AD39" s="92">
        <v>58.019999999999996</v>
      </c>
      <c r="AE39" s="41"/>
      <c r="AJ39" s="41"/>
    </row>
    <row r="40" spans="10:36" ht="16.5" customHeight="1" x14ac:dyDescent="0.3">
      <c r="J40" s="56">
        <v>37</v>
      </c>
      <c r="K40" s="57" t="s">
        <v>80</v>
      </c>
      <c r="L40" s="58">
        <v>3615</v>
      </c>
      <c r="M40" s="59">
        <v>4019</v>
      </c>
      <c r="V40" s="77" t="s">
        <v>91</v>
      </c>
      <c r="W40" s="73">
        <v>1</v>
      </c>
      <c r="X40" s="72">
        <v>4015</v>
      </c>
      <c r="Y40" s="91">
        <v>10.5</v>
      </c>
      <c r="Z40" s="41"/>
      <c r="AA40" s="78" t="s">
        <v>92</v>
      </c>
      <c r="AB40" s="74">
        <v>2</v>
      </c>
      <c r="AC40" s="74">
        <v>4015</v>
      </c>
      <c r="AD40" s="92">
        <v>61.980000000000004</v>
      </c>
      <c r="AF40" s="41"/>
      <c r="AG40" s="41"/>
      <c r="AH40" s="41"/>
      <c r="AI40" s="41"/>
    </row>
    <row r="41" spans="10:36" ht="16.5" customHeight="1" x14ac:dyDescent="0.3">
      <c r="J41" s="60">
        <v>38</v>
      </c>
      <c r="K41" s="61" t="s">
        <v>81</v>
      </c>
      <c r="L41" s="58">
        <v>3759</v>
      </c>
      <c r="M41" s="62">
        <v>4019</v>
      </c>
      <c r="V41" s="77" t="s">
        <v>91</v>
      </c>
      <c r="W41" s="73">
        <v>1</v>
      </c>
      <c r="X41" s="72">
        <v>4016</v>
      </c>
      <c r="Y41" s="91">
        <v>6</v>
      </c>
      <c r="AA41" s="78" t="s">
        <v>92</v>
      </c>
      <c r="AB41" s="74">
        <v>2</v>
      </c>
      <c r="AC41" s="74">
        <v>4016</v>
      </c>
      <c r="AD41" s="92">
        <v>66</v>
      </c>
    </row>
    <row r="42" spans="10:36" ht="16.5" customHeight="1" thickBot="1" x14ac:dyDescent="0.35">
      <c r="J42" s="45">
        <v>39</v>
      </c>
      <c r="K42" s="46" t="s">
        <v>82</v>
      </c>
      <c r="L42" s="47">
        <v>3909</v>
      </c>
      <c r="M42" s="48">
        <v>4020</v>
      </c>
      <c r="V42" s="79" t="s">
        <v>91</v>
      </c>
      <c r="W42" s="80">
        <v>1</v>
      </c>
      <c r="X42" s="81">
        <v>4017</v>
      </c>
      <c r="Y42" s="93">
        <v>1.5</v>
      </c>
      <c r="AA42" s="78" t="s">
        <v>92</v>
      </c>
      <c r="AB42" s="74">
        <v>2</v>
      </c>
      <c r="AC42" s="74">
        <v>4017</v>
      </c>
      <c r="AD42" s="92">
        <v>70.02</v>
      </c>
    </row>
    <row r="43" spans="10:36" ht="16.5" customHeight="1" thickBot="1" x14ac:dyDescent="0.35">
      <c r="J43" s="52">
        <v>40</v>
      </c>
      <c r="K43" s="53" t="s">
        <v>83</v>
      </c>
      <c r="L43" s="54">
        <v>4064</v>
      </c>
      <c r="M43" s="55">
        <v>4020</v>
      </c>
      <c r="AA43" s="77" t="s">
        <v>92</v>
      </c>
      <c r="AB43" s="73">
        <v>2</v>
      </c>
      <c r="AC43" s="72">
        <v>4018</v>
      </c>
      <c r="AD43" s="91">
        <v>70.02</v>
      </c>
    </row>
    <row r="44" spans="10:36" ht="16.5" customHeight="1" x14ac:dyDescent="0.3">
      <c r="AA44" s="77" t="s">
        <v>92</v>
      </c>
      <c r="AB44" s="73">
        <v>2</v>
      </c>
      <c r="AC44" s="72">
        <v>4019</v>
      </c>
      <c r="AD44" s="91">
        <v>65.52</v>
      </c>
      <c r="AE44" s="41"/>
      <c r="AJ44" s="41"/>
    </row>
    <row r="45" spans="10:36" ht="16.5" customHeight="1" thickBot="1" x14ac:dyDescent="0.35">
      <c r="Z45" s="41"/>
      <c r="AA45" s="79" t="s">
        <v>92</v>
      </c>
      <c r="AB45" s="80">
        <v>2</v>
      </c>
      <c r="AC45" s="81">
        <v>4020</v>
      </c>
      <c r="AD45" s="93">
        <v>61.019999999999996</v>
      </c>
      <c r="AF45" s="41"/>
      <c r="AG45" s="41"/>
      <c r="AH45" s="41"/>
      <c r="AI45" s="41"/>
    </row>
    <row r="49" spans="26:36" ht="16.5" customHeight="1" x14ac:dyDescent="0.3">
      <c r="AE49" s="41"/>
      <c r="AJ49" s="41"/>
    </row>
    <row r="50" spans="26:36" ht="16.5" customHeight="1" x14ac:dyDescent="0.3">
      <c r="Z50" s="41"/>
      <c r="AA50" s="41"/>
      <c r="AB50" s="41"/>
      <c r="AC50" s="41"/>
      <c r="AD50" s="41"/>
      <c r="AF50" s="41"/>
      <c r="AG50" s="41"/>
      <c r="AH50" s="41"/>
      <c r="AI50" s="41"/>
    </row>
    <row r="54" spans="26:36" ht="16.5" customHeight="1" x14ac:dyDescent="0.3">
      <c r="AE54" s="41"/>
      <c r="AJ54" s="41"/>
    </row>
    <row r="55" spans="26:36" ht="16.5" customHeight="1" x14ac:dyDescent="0.3">
      <c r="Z55" s="41"/>
      <c r="AA55" s="41"/>
      <c r="AB55" s="41"/>
      <c r="AC55" s="41"/>
      <c r="AD55" s="41"/>
      <c r="AF55" s="41"/>
      <c r="AG55" s="41"/>
      <c r="AH55" s="41"/>
      <c r="AI55" s="41"/>
    </row>
    <row r="59" spans="26:36" ht="16.5" customHeight="1" x14ac:dyDescent="0.3">
      <c r="AE59" s="41"/>
      <c r="AJ59" s="41"/>
    </row>
    <row r="60" spans="26:36" ht="16.5" customHeight="1" x14ac:dyDescent="0.3">
      <c r="Z60" s="41"/>
      <c r="AA60" s="41"/>
      <c r="AB60" s="41"/>
      <c r="AC60" s="41"/>
      <c r="AD60" s="41"/>
      <c r="AF60" s="41"/>
      <c r="AG60" s="41"/>
      <c r="AH60" s="41"/>
      <c r="AI60" s="41"/>
    </row>
    <row r="64" spans="26:36" ht="16.5" customHeight="1" x14ac:dyDescent="0.3">
      <c r="AE64" s="41"/>
      <c r="AJ64" s="41"/>
    </row>
    <row r="65" spans="26:36" ht="16.5" customHeight="1" x14ac:dyDescent="0.3">
      <c r="Z65" s="41"/>
      <c r="AA65" s="41"/>
      <c r="AB65" s="41"/>
      <c r="AC65" s="41"/>
      <c r="AD65" s="41"/>
      <c r="AF65" s="41"/>
      <c r="AG65" s="41"/>
      <c r="AH65" s="41"/>
      <c r="AI65" s="41"/>
    </row>
    <row r="69" spans="26:36" ht="16.5" customHeight="1" x14ac:dyDescent="0.3">
      <c r="AE69" s="41"/>
      <c r="AJ69" s="41"/>
    </row>
    <row r="70" spans="26:36" ht="16.5" customHeight="1" x14ac:dyDescent="0.3">
      <c r="Z70" s="41"/>
      <c r="AA70" s="41"/>
      <c r="AB70" s="41"/>
      <c r="AC70" s="41"/>
      <c r="AD70" s="41"/>
      <c r="AF70" s="41"/>
      <c r="AG70" s="41"/>
      <c r="AH70" s="41"/>
      <c r="AI70" s="41"/>
    </row>
    <row r="74" spans="26:36" ht="16.5" customHeight="1" x14ac:dyDescent="0.3">
      <c r="AE74" s="41"/>
      <c r="AJ74" s="41"/>
    </row>
    <row r="75" spans="26:36" ht="16.5" customHeight="1" x14ac:dyDescent="0.3">
      <c r="Z75" s="41"/>
      <c r="AA75" s="41"/>
      <c r="AB75" s="41"/>
      <c r="AC75" s="41"/>
      <c r="AD75" s="41"/>
      <c r="AF75" s="41"/>
      <c r="AG75" s="41"/>
      <c r="AH75" s="41"/>
      <c r="AI75" s="41"/>
    </row>
    <row r="79" spans="26:36" ht="16.5" customHeight="1" x14ac:dyDescent="0.3">
      <c r="AE79" s="41"/>
      <c r="AJ79" s="41"/>
    </row>
    <row r="80" spans="26:36" ht="16.5" customHeight="1" x14ac:dyDescent="0.3">
      <c r="Z80" s="41"/>
      <c r="AA80" s="41"/>
      <c r="AB80" s="41"/>
      <c r="AC80" s="41"/>
      <c r="AD80" s="41"/>
      <c r="AF80" s="41"/>
      <c r="AG80" s="41"/>
      <c r="AH80" s="41"/>
      <c r="AI80" s="41"/>
    </row>
    <row r="85" spans="26:36" ht="16.5" customHeight="1" x14ac:dyDescent="0.3">
      <c r="AE85" s="41"/>
      <c r="AJ85" s="41"/>
    </row>
    <row r="86" spans="26:36" ht="16.5" customHeight="1" x14ac:dyDescent="0.3">
      <c r="Z86" s="41"/>
      <c r="AA86" s="41"/>
      <c r="AB86" s="41"/>
      <c r="AC86" s="41"/>
      <c r="AD86" s="41"/>
      <c r="AF86" s="41"/>
      <c r="AG86" s="41"/>
      <c r="AH86" s="41"/>
      <c r="AI86" s="41"/>
    </row>
    <row r="91" spans="26:36" ht="16.5" customHeight="1" x14ac:dyDescent="0.3">
      <c r="AE91" s="41"/>
      <c r="AJ91" s="41"/>
    </row>
    <row r="92" spans="26:36" ht="16.5" customHeight="1" x14ac:dyDescent="0.3">
      <c r="Z92" s="41"/>
      <c r="AA92" s="41"/>
      <c r="AB92" s="41"/>
      <c r="AC92" s="41"/>
      <c r="AD92" s="41"/>
      <c r="AF92" s="41"/>
      <c r="AG92" s="41"/>
      <c r="AH92" s="41"/>
      <c r="AI92" s="41"/>
    </row>
    <row r="97" spans="26:36" ht="16.5" customHeight="1" x14ac:dyDescent="0.3">
      <c r="AE97" s="41"/>
      <c r="AJ97" s="41"/>
    </row>
    <row r="98" spans="26:36" ht="16.5" customHeight="1" x14ac:dyDescent="0.3">
      <c r="Z98" s="41"/>
      <c r="AA98" s="41"/>
      <c r="AB98" s="41"/>
      <c r="AC98" s="41"/>
      <c r="AD98" s="41"/>
      <c r="AF98" s="41"/>
      <c r="AG98" s="41"/>
      <c r="AH98" s="41"/>
      <c r="AI98" s="41"/>
    </row>
    <row r="103" spans="26:36" ht="16.5" customHeight="1" x14ac:dyDescent="0.3">
      <c r="AE103" s="41"/>
      <c r="AJ103" s="41"/>
    </row>
    <row r="104" spans="26:36" ht="16.5" customHeight="1" x14ac:dyDescent="0.3">
      <c r="Z104" s="41"/>
      <c r="AA104" s="41"/>
      <c r="AB104" s="41"/>
      <c r="AC104" s="41"/>
      <c r="AD104" s="41"/>
      <c r="AF104" s="41"/>
      <c r="AG104" s="41"/>
      <c r="AH104" s="41"/>
      <c r="AI104" s="41"/>
    </row>
  </sheetData>
  <mergeCells count="3">
    <mergeCell ref="O3:O4"/>
    <mergeCell ref="P3:S3"/>
    <mergeCell ref="T3:T4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T133"/>
  <sheetViews>
    <sheetView workbookViewId="0"/>
  </sheetViews>
  <sheetFormatPr defaultRowHeight="16.5" x14ac:dyDescent="0.3"/>
  <cols>
    <col min="2" max="2" width="25.375" customWidth="1"/>
    <col min="3" max="8" width="18.625" customWidth="1"/>
    <col min="16" max="16" width="11.625" customWidth="1"/>
    <col min="18" max="18" width="4" customWidth="1"/>
    <col min="19" max="19" width="15" bestFit="1" customWidth="1"/>
    <col min="20" max="20" width="10.25" bestFit="1" customWidth="1"/>
    <col min="21" max="21" width="8.625" bestFit="1" customWidth="1"/>
    <col min="22" max="22" width="5.625" customWidth="1"/>
    <col min="24" max="24" width="4.75" bestFit="1" customWidth="1"/>
    <col min="25" max="25" width="8.625" bestFit="1" customWidth="1"/>
    <col min="26" max="26" width="7.125" bestFit="1" customWidth="1"/>
    <col min="27" max="27" width="5.625" customWidth="1"/>
    <col min="28" max="28" width="6.375" bestFit="1" customWidth="1"/>
    <col min="29" max="29" width="4.75" bestFit="1" customWidth="1"/>
    <col min="30" max="30" width="8.625" bestFit="1" customWidth="1"/>
    <col min="31" max="31" width="8" bestFit="1" customWidth="1"/>
    <col min="32" max="32" width="5.625" customWidth="1"/>
    <col min="33" max="33" width="6.375" bestFit="1" customWidth="1"/>
    <col min="34" max="34" width="4.75" bestFit="1" customWidth="1"/>
    <col min="35" max="35" width="8.625" bestFit="1" customWidth="1"/>
    <col min="36" max="36" width="7.125" style="166" bestFit="1" customWidth="1"/>
    <col min="37" max="37" width="5.625" customWidth="1"/>
    <col min="38" max="38" width="11.5" bestFit="1" customWidth="1"/>
    <col min="39" max="39" width="4.75" bestFit="1" customWidth="1"/>
    <col min="40" max="40" width="8.625" bestFit="1" customWidth="1"/>
    <col min="41" max="41" width="6.25" style="166" bestFit="1" customWidth="1"/>
    <col min="42" max="42" width="5.625" customWidth="1"/>
    <col min="43" max="43" width="11.5" bestFit="1" customWidth="1"/>
    <col min="44" max="44" width="4.75" bestFit="1" customWidth="1"/>
    <col min="45" max="45" width="8.625" bestFit="1" customWidth="1"/>
    <col min="46" max="46" width="4.75" bestFit="1" customWidth="1"/>
  </cols>
  <sheetData>
    <row r="2" spans="2:46" ht="17.25" thickBot="1" x14ac:dyDescent="0.35">
      <c r="B2" s="7" t="s">
        <v>114</v>
      </c>
      <c r="J2" s="7" t="s">
        <v>318</v>
      </c>
      <c r="R2" s="7" t="s">
        <v>263</v>
      </c>
      <c r="S2" s="7"/>
      <c r="W2" s="7" t="s">
        <v>270</v>
      </c>
    </row>
    <row r="3" spans="2:46" ht="17.25" customHeight="1" thickBot="1" x14ac:dyDescent="0.35">
      <c r="B3" s="6" t="s">
        <v>12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9</v>
      </c>
      <c r="H3" s="4" t="s">
        <v>7</v>
      </c>
      <c r="J3" s="199" t="s">
        <v>86</v>
      </c>
      <c r="K3" s="204" t="s">
        <v>99</v>
      </c>
      <c r="L3" s="205"/>
      <c r="M3" s="205"/>
      <c r="N3" s="205"/>
      <c r="O3" s="206"/>
      <c r="P3" s="202" t="s">
        <v>102</v>
      </c>
      <c r="R3" s="42" t="s">
        <v>86</v>
      </c>
      <c r="S3" s="43" t="s">
        <v>87</v>
      </c>
      <c r="T3" s="43" t="s">
        <v>88</v>
      </c>
      <c r="U3" s="44" t="s">
        <v>96</v>
      </c>
      <c r="W3" s="37" t="s">
        <v>98</v>
      </c>
      <c r="X3" s="38" t="s">
        <v>99</v>
      </c>
      <c r="Y3" s="38" t="s">
        <v>96</v>
      </c>
      <c r="Z3" s="39" t="s">
        <v>97</v>
      </c>
      <c r="AB3" s="37" t="s">
        <v>98</v>
      </c>
      <c r="AC3" s="38" t="s">
        <v>99</v>
      </c>
      <c r="AD3" s="38" t="s">
        <v>96</v>
      </c>
      <c r="AE3" s="39" t="s">
        <v>97</v>
      </c>
      <c r="AG3" s="37" t="s">
        <v>98</v>
      </c>
      <c r="AH3" s="38" t="s">
        <v>99</v>
      </c>
      <c r="AI3" s="38" t="s">
        <v>96</v>
      </c>
      <c r="AJ3" s="167" t="s">
        <v>97</v>
      </c>
      <c r="AL3" s="37" t="s">
        <v>98</v>
      </c>
      <c r="AM3" s="38" t="s">
        <v>99</v>
      </c>
      <c r="AN3" s="38" t="s">
        <v>96</v>
      </c>
      <c r="AO3" s="167" t="s">
        <v>97</v>
      </c>
      <c r="AQ3" s="37" t="s">
        <v>98</v>
      </c>
      <c r="AR3" s="38" t="s">
        <v>99</v>
      </c>
      <c r="AS3" s="38" t="s">
        <v>96</v>
      </c>
      <c r="AT3" s="167" t="s">
        <v>97</v>
      </c>
    </row>
    <row r="4" spans="2:46" ht="17.25" x14ac:dyDescent="0.3">
      <c r="B4" s="4" t="s">
        <v>10</v>
      </c>
      <c r="C4" s="5">
        <f>VLOOKUP(C$3,'균열 던전 강화 정수 및 골드 획득'!$B$25:$D$29,3,FALSE)*$P$31</f>
        <v>913.524</v>
      </c>
      <c r="D4" s="5">
        <f>VLOOKUP(D$3,'균열 던전 강화 정수 및 골드 획득'!$B$25:$D$29,3,FALSE)*$P$31</f>
        <v>1827.048</v>
      </c>
      <c r="E4" s="5">
        <f>VLOOKUP(E$3,'균열 던전 강화 정수 및 골드 획득'!$B$25:$D$29,3,FALSE)*$P$31</f>
        <v>2740.5720000000001</v>
      </c>
      <c r="F4" s="5">
        <f>VLOOKUP(F$3,'균열 던전 강화 정수 및 골드 획득'!$B$25:$D$29,3,FALSE)*$P$31</f>
        <v>4110.8580000000002</v>
      </c>
      <c r="G4" s="5">
        <f>AVERAGE(C4:F4)</f>
        <v>2398.0005000000001</v>
      </c>
      <c r="H4" s="5">
        <f>VLOOKUP(H$3,'균열 던전 강화 정수 및 골드 획득'!$B$25:$D$29,3,FALSE)*$P$31</f>
        <v>8221.7160000000003</v>
      </c>
      <c r="J4" s="200"/>
      <c r="K4" s="67">
        <v>1</v>
      </c>
      <c r="L4" s="67">
        <v>2</v>
      </c>
      <c r="M4" s="67">
        <v>3</v>
      </c>
      <c r="N4" s="67">
        <v>4</v>
      </c>
      <c r="O4" s="169" t="s">
        <v>271</v>
      </c>
      <c r="P4" s="203"/>
      <c r="R4" s="149">
        <v>1</v>
      </c>
      <c r="S4" s="152" t="s">
        <v>133</v>
      </c>
      <c r="T4" s="156">
        <v>824</v>
      </c>
      <c r="U4" s="156">
        <v>5001</v>
      </c>
      <c r="W4" s="156" t="s">
        <v>264</v>
      </c>
      <c r="X4" s="160">
        <v>1</v>
      </c>
      <c r="Y4" s="156">
        <v>5001</v>
      </c>
      <c r="Z4" s="165">
        <v>18</v>
      </c>
      <c r="AB4" s="156" t="s">
        <v>265</v>
      </c>
      <c r="AC4" s="160">
        <v>2</v>
      </c>
      <c r="AD4" s="159">
        <v>5001</v>
      </c>
      <c r="AE4" s="165">
        <v>2</v>
      </c>
      <c r="AG4" s="156" t="s">
        <v>267</v>
      </c>
      <c r="AH4" s="160">
        <v>3</v>
      </c>
      <c r="AI4" s="159">
        <v>5016</v>
      </c>
      <c r="AJ4" s="165">
        <v>0.5</v>
      </c>
      <c r="AL4" s="156" t="s">
        <v>268</v>
      </c>
      <c r="AM4" s="160">
        <v>4</v>
      </c>
      <c r="AN4" s="159">
        <v>5036</v>
      </c>
      <c r="AO4" s="165">
        <v>0.5</v>
      </c>
      <c r="AQ4" s="156" t="s">
        <v>269</v>
      </c>
      <c r="AR4" s="160">
        <v>4</v>
      </c>
      <c r="AS4" s="159">
        <v>5036</v>
      </c>
      <c r="AT4" s="168">
        <v>0.5</v>
      </c>
    </row>
    <row r="5" spans="2:46" ht="17.25" x14ac:dyDescent="0.3">
      <c r="B5" s="4" t="s">
        <v>11</v>
      </c>
      <c r="C5" s="5">
        <f>VLOOKUP(C$3,'균열 던전 강화 정수 및 골드 획득'!$B$25:$D$29,3,FALSE)*$T$84</f>
        <v>37720</v>
      </c>
      <c r="D5" s="5">
        <f>VLOOKUP(D$3,'균열 던전 강화 정수 및 골드 획득'!$B$25:$D$29,3,FALSE)*$T$84</f>
        <v>75440</v>
      </c>
      <c r="E5" s="5">
        <f>VLOOKUP(E$3,'균열 던전 강화 정수 및 골드 획득'!$B$25:$D$29,3,FALSE)*$T$84</f>
        <v>113160</v>
      </c>
      <c r="F5" s="5">
        <f>VLOOKUP(F$3,'균열 던전 강화 정수 및 골드 획득'!$B$25:$D$29,3,FALSE)*$T$84</f>
        <v>169740</v>
      </c>
      <c r="G5" s="5">
        <f>AVERAGE(C5:F5)</f>
        <v>99015</v>
      </c>
      <c r="H5" s="5">
        <f>VLOOKUP(H$3,'균열 던전 강화 정수 및 골드 획득'!$B$25:$D$29,3,FALSE)*$T$84</f>
        <v>339480</v>
      </c>
      <c r="J5" s="61">
        <v>5001</v>
      </c>
      <c r="K5" s="61">
        <f t="shared" ref="K5:K11" si="0">VLOOKUP($J5,$Y$4:$Z$38,2,FALSE)+VLOOKUP($J5,$Y$41:$Z$47,2,FALSE)</f>
        <v>91.800000000000011</v>
      </c>
      <c r="L5" s="108">
        <f t="shared" ref="L5:L24" si="1">VLOOKUP($J5,$AD$4:$AE$46,2,FALSE)+VLOOKUP($J5,$AD$49:$AE$68,2,FALSE)</f>
        <v>8</v>
      </c>
      <c r="M5" s="108">
        <f t="shared" ref="M5:M19" si="2">VLOOKUP($J5,$AI$34:$AJ$76,2,FALSE)</f>
        <v>0.18</v>
      </c>
      <c r="N5" s="108">
        <v>0</v>
      </c>
      <c r="O5" s="105">
        <v>0</v>
      </c>
      <c r="P5" s="106">
        <f>($K5*'강화 정수 정보'!$P$5+$L5*'강화 정수 정보'!$P$6+$M5*'강화 정수 정보'!$P$7+$N5*'강화 정수 정보'!$P$8)/100</f>
        <v>13.572600000000001</v>
      </c>
      <c r="R5" s="149">
        <v>2</v>
      </c>
      <c r="S5" s="152" t="s">
        <v>134</v>
      </c>
      <c r="T5" s="149">
        <v>840</v>
      </c>
      <c r="U5" s="149">
        <v>5001</v>
      </c>
      <c r="W5" s="156" t="s">
        <v>264</v>
      </c>
      <c r="X5" s="160">
        <v>1</v>
      </c>
      <c r="Y5" s="156">
        <v>5002</v>
      </c>
      <c r="Z5" s="165">
        <v>17.5</v>
      </c>
      <c r="AB5" s="156" t="s">
        <v>265</v>
      </c>
      <c r="AC5" s="160">
        <v>2</v>
      </c>
      <c r="AD5" s="159">
        <v>5002</v>
      </c>
      <c r="AE5" s="165">
        <v>2.5</v>
      </c>
      <c r="AG5" s="156" t="s">
        <v>267</v>
      </c>
      <c r="AH5" s="160">
        <v>3</v>
      </c>
      <c r="AI5" s="159">
        <v>5017</v>
      </c>
      <c r="AJ5" s="165">
        <v>1</v>
      </c>
      <c r="AL5" s="156" t="s">
        <v>268</v>
      </c>
      <c r="AM5" s="160">
        <v>4</v>
      </c>
      <c r="AN5" s="159">
        <v>5037</v>
      </c>
      <c r="AO5" s="165">
        <v>1</v>
      </c>
      <c r="AQ5" s="156" t="s">
        <v>269</v>
      </c>
      <c r="AR5" s="160">
        <v>4</v>
      </c>
      <c r="AS5" s="159">
        <v>5037</v>
      </c>
      <c r="AT5" s="168">
        <v>1</v>
      </c>
    </row>
    <row r="6" spans="2:46" ht="17.25" x14ac:dyDescent="0.3">
      <c r="B6" s="4" t="s">
        <v>302</v>
      </c>
      <c r="C6" s="5">
        <f>VLOOKUP(C$3,'균열 던전 강화 정수 및 골드 획득'!$B$25:$D$29,3,FALSE)*$F$18</f>
        <v>9.8000000000000007</v>
      </c>
      <c r="D6" s="5">
        <f>VLOOKUP(D$3,'균열 던전 강화 정수 및 골드 획득'!$B$25:$D$29,3,FALSE)*$F$18</f>
        <v>19.600000000000001</v>
      </c>
      <c r="E6" s="5">
        <f>VLOOKUP(E$3,'균열 던전 강화 정수 및 골드 획득'!$B$25:$D$29,3,FALSE)*$F$18</f>
        <v>29.4</v>
      </c>
      <c r="F6" s="5">
        <f>VLOOKUP(F$3,'균열 던전 강화 정수 및 골드 획득'!$B$25:$D$29,3,FALSE)*$F$18</f>
        <v>44.1</v>
      </c>
      <c r="G6" s="5">
        <f>AVERAGE(C6:F6)</f>
        <v>25.725000000000001</v>
      </c>
      <c r="H6" s="5">
        <f>VLOOKUP(H$3,'균열 던전 강화 정수 및 골드 획득'!$B$25:$D$29,3,FALSE)*$F$18</f>
        <v>88.2</v>
      </c>
      <c r="J6" s="61">
        <v>5002</v>
      </c>
      <c r="K6" s="61">
        <f t="shared" si="0"/>
        <v>81.28</v>
      </c>
      <c r="L6" s="108">
        <f t="shared" si="1"/>
        <v>16.48</v>
      </c>
      <c r="M6" s="108">
        <f t="shared" si="2"/>
        <v>2.2199999999999998</v>
      </c>
      <c r="N6" s="108">
        <v>0</v>
      </c>
      <c r="O6" s="105">
        <v>0</v>
      </c>
      <c r="P6" s="106">
        <f>($K6*'강화 정수 정보'!$P$5+$L6*'강화 정수 정보'!$P$6+$M6*'강화 정수 정보'!$P$7+$N6*'강화 정수 정보'!$P$8)/100</f>
        <v>16.629000000000001</v>
      </c>
      <c r="R6" s="149">
        <v>3</v>
      </c>
      <c r="S6" s="152" t="s">
        <v>135</v>
      </c>
      <c r="T6" s="149">
        <v>856</v>
      </c>
      <c r="U6" s="149">
        <v>5001</v>
      </c>
      <c r="W6" s="156" t="s">
        <v>264</v>
      </c>
      <c r="X6" s="160">
        <v>1</v>
      </c>
      <c r="Y6" s="156">
        <v>5003</v>
      </c>
      <c r="Z6" s="165">
        <v>17</v>
      </c>
      <c r="AB6" s="156" t="s">
        <v>265</v>
      </c>
      <c r="AC6" s="160">
        <v>2</v>
      </c>
      <c r="AD6" s="159">
        <v>5003</v>
      </c>
      <c r="AE6" s="165">
        <v>3</v>
      </c>
      <c r="AG6" s="156" t="s">
        <v>267</v>
      </c>
      <c r="AH6" s="160">
        <v>3</v>
      </c>
      <c r="AI6" s="159">
        <v>5018</v>
      </c>
      <c r="AJ6" s="165">
        <v>1.5</v>
      </c>
      <c r="AL6" s="156" t="s">
        <v>268</v>
      </c>
      <c r="AM6" s="160">
        <v>4</v>
      </c>
      <c r="AN6" s="159">
        <v>5038</v>
      </c>
      <c r="AO6" s="165">
        <v>1.5</v>
      </c>
      <c r="AQ6" s="156" t="s">
        <v>269</v>
      </c>
      <c r="AR6" s="160">
        <v>4</v>
      </c>
      <c r="AS6" s="159">
        <v>5038</v>
      </c>
      <c r="AT6" s="168">
        <v>1.5</v>
      </c>
    </row>
    <row r="7" spans="2:46" x14ac:dyDescent="0.3">
      <c r="B7" s="1"/>
      <c r="C7" s="1"/>
      <c r="D7" s="1"/>
      <c r="E7" s="1"/>
      <c r="F7" s="1"/>
      <c r="G7" s="1"/>
      <c r="H7" s="1"/>
      <c r="J7" s="61">
        <v>5003</v>
      </c>
      <c r="K7" s="61">
        <f t="shared" si="0"/>
        <v>70.820000000000007</v>
      </c>
      <c r="L7" s="108">
        <f t="shared" si="1"/>
        <v>25.02</v>
      </c>
      <c r="M7" s="108">
        <f t="shared" si="2"/>
        <v>4.1999999999999993</v>
      </c>
      <c r="N7" s="108">
        <v>0</v>
      </c>
      <c r="O7" s="105">
        <v>0</v>
      </c>
      <c r="P7" s="106">
        <f>($K7*'강화 정수 정보'!$P$5+$L7*'강화 정수 정보'!$P$6+$M7*'강화 정수 정보'!$P$7+$N7*'강화 정수 정보'!$P$8)/100</f>
        <v>19.6584</v>
      </c>
      <c r="R7" s="149">
        <v>4</v>
      </c>
      <c r="S7" s="152" t="s">
        <v>136</v>
      </c>
      <c r="T7" s="149">
        <v>872</v>
      </c>
      <c r="U7" s="156">
        <v>5002</v>
      </c>
      <c r="W7" s="156" t="s">
        <v>264</v>
      </c>
      <c r="X7" s="160">
        <v>1</v>
      </c>
      <c r="Y7" s="156">
        <v>5004</v>
      </c>
      <c r="Z7" s="165">
        <v>16.5</v>
      </c>
      <c r="AB7" s="156" t="s">
        <v>265</v>
      </c>
      <c r="AC7" s="160">
        <v>2</v>
      </c>
      <c r="AD7" s="159">
        <v>5004</v>
      </c>
      <c r="AE7" s="165">
        <v>3.5</v>
      </c>
      <c r="AG7" s="156" t="s">
        <v>267</v>
      </c>
      <c r="AH7" s="160">
        <v>3</v>
      </c>
      <c r="AI7" s="159">
        <v>5019</v>
      </c>
      <c r="AJ7" s="165">
        <v>2</v>
      </c>
      <c r="AL7" s="156" t="s">
        <v>268</v>
      </c>
      <c r="AM7" s="160">
        <v>4</v>
      </c>
      <c r="AN7" s="159">
        <v>5039</v>
      </c>
      <c r="AO7" s="165">
        <v>2</v>
      </c>
      <c r="AQ7" s="156" t="s">
        <v>269</v>
      </c>
      <c r="AR7" s="160">
        <v>4</v>
      </c>
      <c r="AS7" s="159">
        <v>5039</v>
      </c>
      <c r="AT7" s="168">
        <v>2</v>
      </c>
    </row>
    <row r="8" spans="2:46" x14ac:dyDescent="0.3">
      <c r="B8" s="6" t="s">
        <v>13</v>
      </c>
      <c r="C8" s="4" t="s">
        <v>3</v>
      </c>
      <c r="D8" s="4" t="s">
        <v>4</v>
      </c>
      <c r="E8" s="4" t="s">
        <v>5</v>
      </c>
      <c r="F8" s="4" t="s">
        <v>6</v>
      </c>
      <c r="G8" s="4" t="s">
        <v>9</v>
      </c>
      <c r="H8" s="4" t="s">
        <v>7</v>
      </c>
      <c r="J8" s="61">
        <v>5004</v>
      </c>
      <c r="K8" s="61">
        <f t="shared" si="0"/>
        <v>60.3</v>
      </c>
      <c r="L8" s="108">
        <f t="shared" si="1"/>
        <v>33.5</v>
      </c>
      <c r="M8" s="108">
        <f t="shared" si="2"/>
        <v>6.18</v>
      </c>
      <c r="N8" s="108">
        <v>0</v>
      </c>
      <c r="O8" s="105">
        <v>0</v>
      </c>
      <c r="P8" s="106">
        <f>($K8*'강화 정수 정보'!$P$5+$L8*'강화 정수 정보'!$P$6+$M8*'강화 정수 정보'!$P$7+$N8*'강화 정수 정보'!$P$8)/100</f>
        <v>22.662599999999998</v>
      </c>
      <c r="R8" s="149">
        <v>5</v>
      </c>
      <c r="S8" s="152" t="s">
        <v>137</v>
      </c>
      <c r="T8" s="149">
        <v>889</v>
      </c>
      <c r="U8" s="149">
        <v>5002</v>
      </c>
      <c r="W8" s="156" t="s">
        <v>264</v>
      </c>
      <c r="X8" s="160">
        <v>1</v>
      </c>
      <c r="Y8" s="156">
        <v>5005</v>
      </c>
      <c r="Z8" s="165">
        <v>16</v>
      </c>
      <c r="AB8" s="156" t="s">
        <v>265</v>
      </c>
      <c r="AC8" s="160">
        <v>2</v>
      </c>
      <c r="AD8" s="159">
        <v>5005</v>
      </c>
      <c r="AE8" s="165">
        <v>4</v>
      </c>
      <c r="AG8" s="156" t="s">
        <v>267</v>
      </c>
      <c r="AH8" s="160">
        <v>3</v>
      </c>
      <c r="AI8" s="159">
        <v>5020</v>
      </c>
      <c r="AJ8" s="165">
        <v>2.5</v>
      </c>
      <c r="AL8" s="156" t="s">
        <v>268</v>
      </c>
      <c r="AM8" s="160">
        <v>4</v>
      </c>
      <c r="AN8" s="159">
        <v>5040</v>
      </c>
      <c r="AO8" s="165">
        <v>2.5</v>
      </c>
      <c r="AQ8" s="156" t="s">
        <v>269</v>
      </c>
      <c r="AR8" s="160">
        <v>4</v>
      </c>
      <c r="AS8" s="159">
        <v>5040</v>
      </c>
      <c r="AT8" s="168">
        <v>2.5</v>
      </c>
    </row>
    <row r="9" spans="2:46" ht="17.25" x14ac:dyDescent="0.3">
      <c r="B9" s="4" t="s">
        <v>10</v>
      </c>
      <c r="C9" s="5">
        <f>VLOOKUP(C$3,'균열 던전 강화 정수 및 골드 획득'!$B$25:$D$29,3,FALSE)*$P$22</f>
        <v>715.66199999999992</v>
      </c>
      <c r="D9" s="5">
        <f>VLOOKUP(D$3,'균열 던전 강화 정수 및 골드 획득'!$B$25:$D$29,3,FALSE)*$P$22</f>
        <v>1431.3239999999998</v>
      </c>
      <c r="E9" s="5">
        <f>VLOOKUP(E$3,'균열 던전 강화 정수 및 골드 획득'!$B$25:$D$29,3,FALSE)*$P$22</f>
        <v>2146.9859999999999</v>
      </c>
      <c r="F9" s="5">
        <f>VLOOKUP(F$3,'균열 던전 강화 정수 및 골드 획득'!$B$25:$D$29,3,FALSE)*$P$22</f>
        <v>3220.4789999999998</v>
      </c>
      <c r="G9" s="5">
        <f>AVERAGE(C9:F9)</f>
        <v>1878.6127499999998</v>
      </c>
      <c r="H9" s="5">
        <f>VLOOKUP(H$3,'균열 던전 강화 정수 및 골드 획득'!$B$25:$D$29,3,FALSE)*$P$22</f>
        <v>6440.9579999999996</v>
      </c>
      <c r="J9" s="61">
        <v>5005</v>
      </c>
      <c r="K9" s="61">
        <f t="shared" si="0"/>
        <v>49.78</v>
      </c>
      <c r="L9" s="108">
        <f t="shared" si="1"/>
        <v>41.980000000000004</v>
      </c>
      <c r="M9" s="108">
        <f t="shared" si="2"/>
        <v>8.2200000000000006</v>
      </c>
      <c r="N9" s="108">
        <v>0</v>
      </c>
      <c r="O9" s="105">
        <v>0</v>
      </c>
      <c r="P9" s="106">
        <f>($K9*'강화 정수 정보'!$P$5+$L9*'강화 정수 정보'!$P$6+$M9*'강화 정수 정보'!$P$7+$N9*'강화 정수 정보'!$P$8)/100</f>
        <v>25.719000000000005</v>
      </c>
      <c r="R9" s="149">
        <v>6</v>
      </c>
      <c r="S9" s="152" t="s">
        <v>138</v>
      </c>
      <c r="T9" s="149">
        <v>906</v>
      </c>
      <c r="U9" s="149">
        <v>5002</v>
      </c>
      <c r="W9" s="156" t="s">
        <v>264</v>
      </c>
      <c r="X9" s="160">
        <v>1</v>
      </c>
      <c r="Y9" s="156">
        <v>5006</v>
      </c>
      <c r="Z9" s="165">
        <v>15.5</v>
      </c>
      <c r="AB9" s="156" t="s">
        <v>265</v>
      </c>
      <c r="AC9" s="160">
        <v>2</v>
      </c>
      <c r="AD9" s="159">
        <v>5006</v>
      </c>
      <c r="AE9" s="165">
        <v>4.5</v>
      </c>
      <c r="AG9" s="156" t="s">
        <v>267</v>
      </c>
      <c r="AH9" s="160">
        <v>3</v>
      </c>
      <c r="AI9" s="159">
        <v>5021</v>
      </c>
      <c r="AJ9" s="165">
        <v>3</v>
      </c>
      <c r="AL9" s="156" t="s">
        <v>268</v>
      </c>
      <c r="AM9" s="160">
        <v>4</v>
      </c>
      <c r="AN9" s="159">
        <v>5041</v>
      </c>
      <c r="AO9" s="165">
        <v>0.5</v>
      </c>
      <c r="AQ9" s="156" t="s">
        <v>269</v>
      </c>
      <c r="AR9" s="160">
        <v>4</v>
      </c>
      <c r="AS9" s="159">
        <v>5041</v>
      </c>
      <c r="AT9" s="168">
        <v>0.5</v>
      </c>
    </row>
    <row r="10" spans="2:46" ht="17.25" x14ac:dyDescent="0.3">
      <c r="B10" s="4" t="s">
        <v>11</v>
      </c>
      <c r="C10" s="5">
        <f>VLOOKUP(C$3,'균열 던전 강화 정수 및 골드 획득'!$B$25:$D$29,3,FALSE)*$T$57</f>
        <v>22470</v>
      </c>
      <c r="D10" s="5">
        <f>VLOOKUP(D$3,'균열 던전 강화 정수 및 골드 획득'!$B$25:$D$29,3,FALSE)*$T$57</f>
        <v>44940</v>
      </c>
      <c r="E10" s="5">
        <f>VLOOKUP(E$3,'균열 던전 강화 정수 및 골드 획득'!$B$25:$D$29,3,FALSE)*$T$57</f>
        <v>67410</v>
      </c>
      <c r="F10" s="5">
        <f>VLOOKUP(F$3,'균열 던전 강화 정수 및 골드 획득'!$B$25:$D$29,3,FALSE)*$T$57</f>
        <v>101115</v>
      </c>
      <c r="G10" s="5">
        <f>AVERAGE(C10:F10)</f>
        <v>58983.75</v>
      </c>
      <c r="H10" s="5">
        <f>VLOOKUP(H$3,'균열 던전 강화 정수 및 골드 획득'!$B$25:$D$29,3,FALSE)*$T$57</f>
        <v>202230</v>
      </c>
      <c r="J10" s="61">
        <v>5006</v>
      </c>
      <c r="K10" s="61">
        <f t="shared" si="0"/>
        <v>39.32</v>
      </c>
      <c r="L10" s="108">
        <f t="shared" si="1"/>
        <v>50.519999999999996</v>
      </c>
      <c r="M10" s="108">
        <f t="shared" si="2"/>
        <v>10.199999999999999</v>
      </c>
      <c r="N10" s="108">
        <v>0</v>
      </c>
      <c r="O10" s="105">
        <v>0</v>
      </c>
      <c r="P10" s="106">
        <f>($K10*'강화 정수 정보'!$P$5+$L10*'강화 정수 정보'!$P$6+$M10*'강화 정수 정보'!$P$7+$N10*'강화 정수 정보'!$P$8)/100</f>
        <v>28.7484</v>
      </c>
      <c r="R10" s="149">
        <v>7</v>
      </c>
      <c r="S10" s="152" t="s">
        <v>139</v>
      </c>
      <c r="T10" s="149">
        <v>923</v>
      </c>
      <c r="U10" s="156">
        <v>5003</v>
      </c>
      <c r="W10" s="156" t="s">
        <v>264</v>
      </c>
      <c r="X10" s="160">
        <v>1</v>
      </c>
      <c r="Y10" s="156">
        <v>5007</v>
      </c>
      <c r="Z10" s="165">
        <v>15</v>
      </c>
      <c r="AB10" s="156" t="s">
        <v>265</v>
      </c>
      <c r="AC10" s="160">
        <v>2</v>
      </c>
      <c r="AD10" s="159">
        <v>5007</v>
      </c>
      <c r="AE10" s="165">
        <v>5</v>
      </c>
      <c r="AG10" s="156" t="s">
        <v>267</v>
      </c>
      <c r="AH10" s="160">
        <v>3</v>
      </c>
      <c r="AI10" s="159">
        <v>5022</v>
      </c>
      <c r="AJ10" s="165">
        <v>3.5</v>
      </c>
      <c r="AL10" s="156" t="s">
        <v>268</v>
      </c>
      <c r="AM10" s="160">
        <v>4</v>
      </c>
      <c r="AN10" s="159">
        <v>5042</v>
      </c>
      <c r="AO10" s="165">
        <v>1</v>
      </c>
      <c r="AQ10" s="156" t="s">
        <v>269</v>
      </c>
      <c r="AR10" s="160">
        <v>4</v>
      </c>
      <c r="AS10" s="159">
        <v>5042</v>
      </c>
      <c r="AT10" s="168">
        <v>1</v>
      </c>
    </row>
    <row r="11" spans="2:46" ht="17.25" x14ac:dyDescent="0.3">
      <c r="B11" s="4" t="s">
        <v>302</v>
      </c>
      <c r="C11" s="5">
        <f>VLOOKUP(C$3,'균열 던전 강화 정수 및 골드 획득'!$B$25:$D$29,3,FALSE)*$F$17</f>
        <v>7</v>
      </c>
      <c r="D11" s="5">
        <f>VLOOKUP(D$3,'균열 던전 강화 정수 및 골드 획득'!$B$25:$D$29,3,FALSE)*$F$17</f>
        <v>14</v>
      </c>
      <c r="E11" s="5">
        <f>VLOOKUP(E$3,'균열 던전 강화 정수 및 골드 획득'!$B$25:$D$29,3,FALSE)*$F$17</f>
        <v>21</v>
      </c>
      <c r="F11" s="5">
        <f>VLOOKUP(F$3,'균열 던전 강화 정수 및 골드 획득'!$B$25:$D$29,3,FALSE)*$F$17</f>
        <v>31.499999999999996</v>
      </c>
      <c r="G11" s="5">
        <f>AVERAGE(C11:F11)</f>
        <v>18.375</v>
      </c>
      <c r="H11" s="5">
        <f>VLOOKUP(H$3,'균열 던전 강화 정수 및 골드 획득'!$B$25:$D$29,3,FALSE)*$F$17</f>
        <v>62.999999999999993</v>
      </c>
      <c r="J11" s="61">
        <v>5007</v>
      </c>
      <c r="K11" s="61">
        <f t="shared" si="0"/>
        <v>28.799999999999997</v>
      </c>
      <c r="L11" s="108">
        <f t="shared" si="1"/>
        <v>59</v>
      </c>
      <c r="M11" s="108">
        <f t="shared" si="2"/>
        <v>12.18</v>
      </c>
      <c r="N11" s="108">
        <v>0</v>
      </c>
      <c r="O11" s="105">
        <v>0</v>
      </c>
      <c r="P11" s="106">
        <f>($K11*'강화 정수 정보'!$P$5+$L11*'강화 정수 정보'!$P$6+$M11*'강화 정수 정보'!$P$7+$N11*'강화 정수 정보'!$P$8)/100</f>
        <v>31.752600000000001</v>
      </c>
      <c r="R11" s="149">
        <v>8</v>
      </c>
      <c r="S11" s="152" t="s">
        <v>140</v>
      </c>
      <c r="T11" s="149">
        <v>940</v>
      </c>
      <c r="U11" s="149">
        <v>5003</v>
      </c>
      <c r="W11" s="156" t="s">
        <v>264</v>
      </c>
      <c r="X11" s="160">
        <v>1</v>
      </c>
      <c r="Y11" s="156">
        <v>5008</v>
      </c>
      <c r="Z11" s="165">
        <v>14.5</v>
      </c>
      <c r="AB11" s="156" t="s">
        <v>265</v>
      </c>
      <c r="AC11" s="160">
        <v>2</v>
      </c>
      <c r="AD11" s="159">
        <v>5008</v>
      </c>
      <c r="AE11" s="165">
        <v>5.5</v>
      </c>
      <c r="AG11" s="156" t="s">
        <v>267</v>
      </c>
      <c r="AH11" s="160">
        <v>3</v>
      </c>
      <c r="AI11" s="159">
        <v>5023</v>
      </c>
      <c r="AJ11" s="165">
        <v>4</v>
      </c>
      <c r="AL11" s="156" t="s">
        <v>268</v>
      </c>
      <c r="AM11" s="160">
        <v>4</v>
      </c>
      <c r="AN11" s="159">
        <v>5043</v>
      </c>
      <c r="AO11" s="165">
        <v>1.5</v>
      </c>
      <c r="AQ11" s="156" t="s">
        <v>269</v>
      </c>
      <c r="AR11" s="160">
        <v>4</v>
      </c>
      <c r="AS11" s="159">
        <v>5043</v>
      </c>
      <c r="AT11" s="168">
        <v>1.5</v>
      </c>
    </row>
    <row r="12" spans="2:46" ht="17.25" thickBot="1" x14ac:dyDescent="0.35">
      <c r="B12" s="141" t="s">
        <v>273</v>
      </c>
      <c r="J12" s="61">
        <v>5008</v>
      </c>
      <c r="K12" s="61">
        <f t="shared" ref="K12:K39" si="3">VLOOKUP($J12,$Y$4:$Z$38,2,FALSE)</f>
        <v>14.5</v>
      </c>
      <c r="L12" s="108">
        <f t="shared" si="1"/>
        <v>70.48</v>
      </c>
      <c r="M12" s="108">
        <f t="shared" si="2"/>
        <v>13.98</v>
      </c>
      <c r="N12" s="108">
        <f t="shared" ref="N12:N39" si="4">VLOOKUP($J12,$AN$14:$AO$49,2,FALSE)</f>
        <v>1.02</v>
      </c>
      <c r="O12" s="105">
        <v>0</v>
      </c>
      <c r="P12" s="106">
        <f>($K12*'강화 정수 정보'!$P$5+$L12*'강화 정수 정보'!$P$6+$M12*'강화 정수 정보'!$P$7+$N12*'강화 정수 정보'!$P$8)/100</f>
        <v>37.198799999999999</v>
      </c>
      <c r="R12" s="149">
        <v>9</v>
      </c>
      <c r="S12" s="152" t="s">
        <v>141</v>
      </c>
      <c r="T12" s="149">
        <v>958</v>
      </c>
      <c r="U12" s="149">
        <v>5003</v>
      </c>
      <c r="W12" s="156" t="s">
        <v>264</v>
      </c>
      <c r="X12" s="160">
        <v>1</v>
      </c>
      <c r="Y12" s="156">
        <v>5009</v>
      </c>
      <c r="Z12" s="165">
        <v>14</v>
      </c>
      <c r="AB12" s="156" t="s">
        <v>265</v>
      </c>
      <c r="AC12" s="160">
        <v>2</v>
      </c>
      <c r="AD12" s="159">
        <v>5009</v>
      </c>
      <c r="AE12" s="165">
        <v>6</v>
      </c>
      <c r="AG12" s="156" t="s">
        <v>267</v>
      </c>
      <c r="AH12" s="160">
        <v>3</v>
      </c>
      <c r="AI12" s="159">
        <v>5024</v>
      </c>
      <c r="AJ12" s="165">
        <v>4.5</v>
      </c>
    </row>
    <row r="13" spans="2:46" ht="17.25" thickBot="1" x14ac:dyDescent="0.35">
      <c r="B13" s="141" t="s">
        <v>274</v>
      </c>
      <c r="J13" s="61">
        <v>5009</v>
      </c>
      <c r="K13" s="61">
        <f t="shared" si="3"/>
        <v>14</v>
      </c>
      <c r="L13" s="108">
        <f t="shared" si="1"/>
        <v>66.48</v>
      </c>
      <c r="M13" s="108">
        <f t="shared" si="2"/>
        <v>18</v>
      </c>
      <c r="N13" s="108">
        <f t="shared" si="4"/>
        <v>1.5</v>
      </c>
      <c r="O13" s="105">
        <v>0</v>
      </c>
      <c r="P13" s="106">
        <f>($K13*'강화 정수 정보'!$P$5+$L13*'강화 정수 정보'!$P$6+$M13*'강화 정수 정보'!$P$7+$N13*'강화 정수 정보'!$P$8)/100</f>
        <v>40.448999999999998</v>
      </c>
      <c r="R13" s="149">
        <v>10</v>
      </c>
      <c r="S13" s="152" t="s">
        <v>142</v>
      </c>
      <c r="T13" s="149">
        <v>976</v>
      </c>
      <c r="U13" s="156">
        <v>5004</v>
      </c>
      <c r="W13" s="156" t="s">
        <v>264</v>
      </c>
      <c r="X13" s="160">
        <v>1</v>
      </c>
      <c r="Y13" s="156">
        <v>5010</v>
      </c>
      <c r="Z13" s="165">
        <v>13.5</v>
      </c>
      <c r="AB13" s="156" t="s">
        <v>265</v>
      </c>
      <c r="AC13" s="160">
        <v>2</v>
      </c>
      <c r="AD13" s="159">
        <v>5010</v>
      </c>
      <c r="AE13" s="165">
        <v>6.5</v>
      </c>
      <c r="AG13" s="156" t="s">
        <v>267</v>
      </c>
      <c r="AH13" s="160">
        <v>3</v>
      </c>
      <c r="AI13" s="159">
        <v>5025</v>
      </c>
      <c r="AJ13" s="165">
        <v>5</v>
      </c>
      <c r="AL13" s="37" t="s">
        <v>98</v>
      </c>
      <c r="AM13" s="38" t="s">
        <v>99</v>
      </c>
      <c r="AN13" s="38" t="s">
        <v>96</v>
      </c>
      <c r="AO13" s="167" t="s">
        <v>97</v>
      </c>
      <c r="AQ13" s="37" t="s">
        <v>98</v>
      </c>
      <c r="AR13" s="38" t="s">
        <v>99</v>
      </c>
      <c r="AS13" s="38" t="s">
        <v>96</v>
      </c>
      <c r="AT13" s="167" t="s">
        <v>97</v>
      </c>
    </row>
    <row r="14" spans="2:46" x14ac:dyDescent="0.3">
      <c r="J14" s="61">
        <v>5010</v>
      </c>
      <c r="K14" s="61">
        <f t="shared" si="3"/>
        <v>13.5</v>
      </c>
      <c r="L14" s="108">
        <f t="shared" si="1"/>
        <v>62.480000000000004</v>
      </c>
      <c r="M14" s="108">
        <f t="shared" si="2"/>
        <v>22.02</v>
      </c>
      <c r="N14" s="108">
        <f t="shared" si="4"/>
        <v>1.98</v>
      </c>
      <c r="O14" s="105">
        <v>0</v>
      </c>
      <c r="P14" s="106">
        <f>($K14*'강화 정수 정보'!$P$5+$L14*'강화 정수 정보'!$P$6+$M14*'강화 정수 정보'!$P$7+$N14*'강화 정수 정보'!$P$8)/100</f>
        <v>43.699199999999998</v>
      </c>
      <c r="R14" s="150">
        <v>11</v>
      </c>
      <c r="S14" s="153" t="s">
        <v>143</v>
      </c>
      <c r="T14" s="150">
        <v>995</v>
      </c>
      <c r="U14" s="150">
        <v>5004</v>
      </c>
      <c r="W14" s="156" t="s">
        <v>264</v>
      </c>
      <c r="X14" s="160">
        <v>1</v>
      </c>
      <c r="Y14" s="156">
        <v>5011</v>
      </c>
      <c r="Z14" s="165">
        <v>13</v>
      </c>
      <c r="AB14" s="156" t="s">
        <v>265</v>
      </c>
      <c r="AC14" s="160">
        <v>2</v>
      </c>
      <c r="AD14" s="159">
        <v>5011</v>
      </c>
      <c r="AE14" s="165">
        <v>7</v>
      </c>
      <c r="AG14" s="156" t="s">
        <v>267</v>
      </c>
      <c r="AH14" s="160">
        <v>3</v>
      </c>
      <c r="AI14" s="159">
        <v>5026</v>
      </c>
      <c r="AJ14" s="165">
        <v>5.5</v>
      </c>
      <c r="AL14" s="159" t="s">
        <v>95</v>
      </c>
      <c r="AM14" s="161">
        <v>4</v>
      </c>
      <c r="AN14" s="159">
        <v>5008</v>
      </c>
      <c r="AO14" s="163">
        <v>1.02</v>
      </c>
      <c r="AQ14" s="162" t="s">
        <v>266</v>
      </c>
      <c r="AR14" s="162">
        <v>4</v>
      </c>
      <c r="AS14" s="162">
        <v>5011</v>
      </c>
      <c r="AT14" s="164">
        <v>1.2E-2</v>
      </c>
    </row>
    <row r="15" spans="2:46" x14ac:dyDescent="0.3">
      <c r="B15" s="7" t="s">
        <v>303</v>
      </c>
      <c r="J15" s="61">
        <v>5011</v>
      </c>
      <c r="K15" s="61">
        <f t="shared" si="3"/>
        <v>13</v>
      </c>
      <c r="L15" s="108">
        <f t="shared" si="1"/>
        <v>58.42</v>
      </c>
      <c r="M15" s="108">
        <f t="shared" si="2"/>
        <v>25.98</v>
      </c>
      <c r="N15" s="108">
        <f t="shared" si="4"/>
        <v>2.52</v>
      </c>
      <c r="O15" s="105">
        <f t="shared" ref="O15:O39" si="5">VLOOKUP($J15,$AS$14:$AT$46,2,FALSE)</f>
        <v>1.2E-2</v>
      </c>
      <c r="P15" s="106">
        <f>($K15*'강화 정수 정보'!$P$5+$L15*'강화 정수 정보'!$P$6+$M15*'강화 정수 정보'!$P$7+$N15*'강화 정수 정보'!$P$8)/100</f>
        <v>47.005800000000008</v>
      </c>
      <c r="R15" s="150">
        <v>12</v>
      </c>
      <c r="S15" s="153" t="s">
        <v>144</v>
      </c>
      <c r="T15" s="150">
        <v>1014</v>
      </c>
      <c r="U15" s="150">
        <v>5004</v>
      </c>
      <c r="W15" s="156" t="s">
        <v>264</v>
      </c>
      <c r="X15" s="160">
        <v>1</v>
      </c>
      <c r="Y15" s="156">
        <v>5012</v>
      </c>
      <c r="Z15" s="165">
        <v>12.5</v>
      </c>
      <c r="AB15" s="156" t="s">
        <v>265</v>
      </c>
      <c r="AC15" s="160">
        <v>2</v>
      </c>
      <c r="AD15" s="159">
        <v>5012</v>
      </c>
      <c r="AE15" s="165">
        <v>7.5</v>
      </c>
      <c r="AG15" s="156" t="s">
        <v>267</v>
      </c>
      <c r="AH15" s="160">
        <v>3</v>
      </c>
      <c r="AI15" s="159">
        <v>5027</v>
      </c>
      <c r="AJ15" s="165">
        <v>6</v>
      </c>
      <c r="AL15" s="159" t="s">
        <v>95</v>
      </c>
      <c r="AM15" s="161">
        <v>4</v>
      </c>
      <c r="AN15" s="159">
        <v>5009</v>
      </c>
      <c r="AO15" s="163">
        <v>1.5</v>
      </c>
      <c r="AQ15" s="162" t="s">
        <v>266</v>
      </c>
      <c r="AR15" s="162">
        <v>4</v>
      </c>
      <c r="AS15" s="162">
        <v>5012</v>
      </c>
      <c r="AT15" s="164">
        <v>1.2E-2</v>
      </c>
    </row>
    <row r="16" spans="2:46" x14ac:dyDescent="0.3">
      <c r="B16" s="4" t="s">
        <v>304</v>
      </c>
      <c r="C16" s="4" t="s">
        <v>305</v>
      </c>
      <c r="D16" s="4" t="s">
        <v>306</v>
      </c>
      <c r="E16" s="4" t="s">
        <v>307</v>
      </c>
      <c r="F16" s="4" t="s">
        <v>308</v>
      </c>
      <c r="J16" s="61">
        <v>5012</v>
      </c>
      <c r="K16" s="61">
        <f t="shared" si="3"/>
        <v>12.5</v>
      </c>
      <c r="L16" s="108">
        <f t="shared" si="1"/>
        <v>54.42</v>
      </c>
      <c r="M16" s="108">
        <f t="shared" si="2"/>
        <v>30</v>
      </c>
      <c r="N16" s="108">
        <f t="shared" si="4"/>
        <v>3</v>
      </c>
      <c r="O16" s="105">
        <f t="shared" si="5"/>
        <v>1.2E-2</v>
      </c>
      <c r="P16" s="106">
        <f>($K16*'강화 정수 정보'!$P$5+$L16*'강화 정수 정보'!$P$6+$M16*'강화 정수 정보'!$P$7+$N16*'강화 정수 정보'!$P$8)/100</f>
        <v>50.256</v>
      </c>
      <c r="R16" s="150">
        <v>13</v>
      </c>
      <c r="S16" s="153" t="s">
        <v>145</v>
      </c>
      <c r="T16" s="150">
        <v>1033</v>
      </c>
      <c r="U16" s="156">
        <v>5005</v>
      </c>
      <c r="W16" s="156" t="s">
        <v>264</v>
      </c>
      <c r="X16" s="160">
        <v>1</v>
      </c>
      <c r="Y16" s="156">
        <v>5013</v>
      </c>
      <c r="Z16" s="165">
        <v>12</v>
      </c>
      <c r="AB16" s="156" t="s">
        <v>265</v>
      </c>
      <c r="AC16" s="160">
        <v>2</v>
      </c>
      <c r="AD16" s="159">
        <v>5013</v>
      </c>
      <c r="AE16" s="165">
        <v>8</v>
      </c>
      <c r="AG16" s="156" t="s">
        <v>267</v>
      </c>
      <c r="AH16" s="160">
        <v>3</v>
      </c>
      <c r="AI16" s="159">
        <v>5028</v>
      </c>
      <c r="AJ16" s="165">
        <v>6.5</v>
      </c>
      <c r="AL16" s="159" t="s">
        <v>95</v>
      </c>
      <c r="AM16" s="161">
        <v>4</v>
      </c>
      <c r="AN16" s="159">
        <v>5010</v>
      </c>
      <c r="AO16" s="163">
        <v>1.98</v>
      </c>
      <c r="AQ16" s="162" t="s">
        <v>266</v>
      </c>
      <c r="AR16" s="162">
        <v>4</v>
      </c>
      <c r="AS16" s="162">
        <v>5013</v>
      </c>
      <c r="AT16" s="164">
        <v>1.2E-2</v>
      </c>
    </row>
    <row r="17" spans="2:46" x14ac:dyDescent="0.3">
      <c r="B17" s="189" t="s">
        <v>300</v>
      </c>
      <c r="C17" s="190">
        <v>35</v>
      </c>
      <c r="D17" s="191">
        <v>1</v>
      </c>
      <c r="E17" s="192">
        <v>3</v>
      </c>
      <c r="F17" s="193">
        <f>AVERAGE(D17:E17)*(C17/100)</f>
        <v>0.7</v>
      </c>
      <c r="J17" s="61">
        <v>5013</v>
      </c>
      <c r="K17" s="61">
        <f t="shared" si="3"/>
        <v>12</v>
      </c>
      <c r="L17" s="108">
        <f t="shared" si="1"/>
        <v>50.42</v>
      </c>
      <c r="M17" s="108">
        <f t="shared" si="2"/>
        <v>34.019999999999996</v>
      </c>
      <c r="N17" s="108">
        <f t="shared" si="4"/>
        <v>3.4799999999999995</v>
      </c>
      <c r="O17" s="105">
        <f t="shared" si="5"/>
        <v>1.2E-2</v>
      </c>
      <c r="P17" s="106">
        <f>($K17*'강화 정수 정보'!$P$5+$L17*'강화 정수 정보'!$P$6+$M17*'강화 정수 정보'!$P$7+$N17*'강화 정수 정보'!$P$8)/100</f>
        <v>53.5062</v>
      </c>
      <c r="R17" s="150">
        <v>14</v>
      </c>
      <c r="S17" s="153" t="s">
        <v>146</v>
      </c>
      <c r="T17" s="150">
        <v>1053</v>
      </c>
      <c r="U17" s="150">
        <v>5005</v>
      </c>
      <c r="W17" s="156" t="s">
        <v>264</v>
      </c>
      <c r="X17" s="160">
        <v>1</v>
      </c>
      <c r="Y17" s="156">
        <v>5014</v>
      </c>
      <c r="Z17" s="165">
        <v>11.5</v>
      </c>
      <c r="AB17" s="156" t="s">
        <v>265</v>
      </c>
      <c r="AC17" s="160">
        <v>2</v>
      </c>
      <c r="AD17" s="159">
        <v>5014</v>
      </c>
      <c r="AE17" s="165">
        <v>8.5</v>
      </c>
      <c r="AG17" s="156" t="s">
        <v>267</v>
      </c>
      <c r="AH17" s="160">
        <v>3</v>
      </c>
      <c r="AI17" s="159">
        <v>5029</v>
      </c>
      <c r="AJ17" s="165">
        <v>7</v>
      </c>
      <c r="AL17" s="159" t="s">
        <v>95</v>
      </c>
      <c r="AM17" s="161">
        <v>4</v>
      </c>
      <c r="AN17" s="159">
        <v>5011</v>
      </c>
      <c r="AO17" s="163">
        <v>2.52</v>
      </c>
      <c r="AQ17" s="162" t="s">
        <v>266</v>
      </c>
      <c r="AR17" s="162">
        <v>4</v>
      </c>
      <c r="AS17" s="162">
        <v>5014</v>
      </c>
      <c r="AT17" s="164">
        <v>1.2E-2</v>
      </c>
    </row>
    <row r="18" spans="2:46" x14ac:dyDescent="0.3">
      <c r="B18" s="195" t="s">
        <v>301</v>
      </c>
      <c r="C18" s="190">
        <v>49</v>
      </c>
      <c r="D18" s="191">
        <v>1</v>
      </c>
      <c r="E18" s="192">
        <v>3</v>
      </c>
      <c r="F18" s="193">
        <f>AVERAGE(D18:E18)*(C18/100)</f>
        <v>0.98</v>
      </c>
      <c r="J18" s="61">
        <v>5014</v>
      </c>
      <c r="K18" s="61">
        <f t="shared" si="3"/>
        <v>11.5</v>
      </c>
      <c r="L18" s="108">
        <f t="shared" si="1"/>
        <v>46.42</v>
      </c>
      <c r="M18" s="108">
        <f t="shared" si="2"/>
        <v>37.980000000000004</v>
      </c>
      <c r="N18" s="108">
        <f t="shared" si="4"/>
        <v>4.0200000000000005</v>
      </c>
      <c r="O18" s="105">
        <f t="shared" si="5"/>
        <v>1.2E-2</v>
      </c>
      <c r="P18" s="106">
        <f>($K18*'강화 정수 정보'!$P$5+$L18*'강화 정수 정보'!$P$6+$M18*'강화 정수 정보'!$P$7+$N18*'강화 정수 정보'!$P$8)/100</f>
        <v>56.830800000000011</v>
      </c>
      <c r="R18" s="150">
        <v>15</v>
      </c>
      <c r="S18" s="153" t="s">
        <v>147</v>
      </c>
      <c r="T18" s="150">
        <v>1073</v>
      </c>
      <c r="U18" s="150">
        <v>5005</v>
      </c>
      <c r="W18" s="156" t="s">
        <v>264</v>
      </c>
      <c r="X18" s="160">
        <v>1</v>
      </c>
      <c r="Y18" s="156">
        <v>5015</v>
      </c>
      <c r="Z18" s="165">
        <v>11</v>
      </c>
      <c r="AB18" s="156" t="s">
        <v>265</v>
      </c>
      <c r="AC18" s="160">
        <v>2</v>
      </c>
      <c r="AD18" s="159">
        <v>5015</v>
      </c>
      <c r="AE18" s="165">
        <v>9</v>
      </c>
      <c r="AG18" s="156" t="s">
        <v>267</v>
      </c>
      <c r="AH18" s="160">
        <v>3</v>
      </c>
      <c r="AI18" s="159">
        <v>5030</v>
      </c>
      <c r="AJ18" s="165">
        <v>7.5</v>
      </c>
      <c r="AL18" s="159" t="s">
        <v>95</v>
      </c>
      <c r="AM18" s="161">
        <v>4</v>
      </c>
      <c r="AN18" s="159">
        <v>5012</v>
      </c>
      <c r="AO18" s="163">
        <v>3</v>
      </c>
      <c r="AQ18" s="162" t="s">
        <v>266</v>
      </c>
      <c r="AR18" s="162">
        <v>4</v>
      </c>
      <c r="AS18" s="162">
        <v>5015</v>
      </c>
      <c r="AT18" s="164">
        <v>1.2E-2</v>
      </c>
    </row>
    <row r="19" spans="2:46" x14ac:dyDescent="0.3">
      <c r="J19" s="61">
        <v>5015</v>
      </c>
      <c r="K19" s="61">
        <f t="shared" si="3"/>
        <v>11</v>
      </c>
      <c r="L19" s="108">
        <f t="shared" si="1"/>
        <v>42.42</v>
      </c>
      <c r="M19" s="108">
        <f t="shared" si="2"/>
        <v>42</v>
      </c>
      <c r="N19" s="108">
        <f t="shared" si="4"/>
        <v>4.5</v>
      </c>
      <c r="O19" s="105">
        <f t="shared" si="5"/>
        <v>1.2E-2</v>
      </c>
      <c r="P19" s="106">
        <f>($K19*'강화 정수 정보'!$P$5+$L19*'강화 정수 정보'!$P$6+$M19*'강화 정수 정보'!$P$7+$N19*'강화 정수 정보'!$P$8)/100</f>
        <v>60.081000000000003</v>
      </c>
      <c r="R19" s="150">
        <v>16</v>
      </c>
      <c r="S19" s="153" t="s">
        <v>148</v>
      </c>
      <c r="T19" s="150">
        <v>1093</v>
      </c>
      <c r="U19" s="156">
        <v>5006</v>
      </c>
      <c r="W19" s="156" t="s">
        <v>264</v>
      </c>
      <c r="X19" s="160">
        <v>1</v>
      </c>
      <c r="Y19" s="156">
        <v>5016</v>
      </c>
      <c r="Z19" s="165">
        <v>10.5</v>
      </c>
      <c r="AB19" s="156" t="s">
        <v>265</v>
      </c>
      <c r="AC19" s="160">
        <v>2</v>
      </c>
      <c r="AD19" s="159">
        <v>5016</v>
      </c>
      <c r="AE19" s="165">
        <v>9</v>
      </c>
      <c r="AG19" s="156" t="s">
        <v>267</v>
      </c>
      <c r="AH19" s="160">
        <v>3</v>
      </c>
      <c r="AI19" s="159">
        <v>5031</v>
      </c>
      <c r="AJ19" s="165">
        <v>8</v>
      </c>
      <c r="AL19" s="159" t="s">
        <v>95</v>
      </c>
      <c r="AM19" s="161">
        <v>4</v>
      </c>
      <c r="AN19" s="159">
        <v>5013</v>
      </c>
      <c r="AO19" s="163">
        <v>3.4799999999999995</v>
      </c>
      <c r="AQ19" s="162" t="s">
        <v>266</v>
      </c>
      <c r="AR19" s="162">
        <v>4</v>
      </c>
      <c r="AS19" s="162">
        <v>5016</v>
      </c>
      <c r="AT19" s="164">
        <v>0.06</v>
      </c>
    </row>
    <row r="20" spans="2:46" x14ac:dyDescent="0.3">
      <c r="J20" s="61">
        <v>5016</v>
      </c>
      <c r="K20" s="61">
        <f t="shared" si="3"/>
        <v>10.5</v>
      </c>
      <c r="L20" s="108">
        <f t="shared" si="1"/>
        <v>37.32</v>
      </c>
      <c r="M20" s="108">
        <f t="shared" ref="M20:M47" si="6">VLOOKUP($J20,$AI$4:$AJ$31,2,FALSE)+VLOOKUP($J20,$AI$34:$AJ$76,2,FALSE)</f>
        <v>47.480000000000004</v>
      </c>
      <c r="N20" s="108">
        <f t="shared" si="4"/>
        <v>4.5</v>
      </c>
      <c r="O20" s="105">
        <f t="shared" si="5"/>
        <v>0.06</v>
      </c>
      <c r="P20" s="106">
        <f>($K20*'강화 정수 정보'!$P$5+$L20*'강화 정수 정보'!$P$6+$M20*'강화 정수 정보'!$P$7+$N20*'강화 정수 정보'!$P$8)/100</f>
        <v>63.258600000000008</v>
      </c>
      <c r="R20" s="150">
        <v>17</v>
      </c>
      <c r="S20" s="153" t="s">
        <v>149</v>
      </c>
      <c r="T20" s="150">
        <v>1114</v>
      </c>
      <c r="U20" s="150">
        <v>5006</v>
      </c>
      <c r="W20" s="156" t="s">
        <v>264</v>
      </c>
      <c r="X20" s="160">
        <v>1</v>
      </c>
      <c r="Y20" s="156">
        <v>5017</v>
      </c>
      <c r="Z20" s="165">
        <v>10</v>
      </c>
      <c r="AB20" s="156" t="s">
        <v>265</v>
      </c>
      <c r="AC20" s="160">
        <v>2</v>
      </c>
      <c r="AD20" s="159">
        <v>5017</v>
      </c>
      <c r="AE20" s="165">
        <v>9</v>
      </c>
      <c r="AG20" s="156" t="s">
        <v>267</v>
      </c>
      <c r="AH20" s="160">
        <v>3</v>
      </c>
      <c r="AI20" s="159">
        <v>5032</v>
      </c>
      <c r="AJ20" s="165">
        <v>8.5</v>
      </c>
      <c r="AL20" s="159" t="s">
        <v>95</v>
      </c>
      <c r="AM20" s="161">
        <v>4</v>
      </c>
      <c r="AN20" s="159">
        <v>5014</v>
      </c>
      <c r="AO20" s="163">
        <v>4.0200000000000005</v>
      </c>
      <c r="AQ20" s="162" t="s">
        <v>266</v>
      </c>
      <c r="AR20" s="162">
        <v>4</v>
      </c>
      <c r="AS20" s="162">
        <v>5017</v>
      </c>
      <c r="AT20" s="164">
        <v>0.06</v>
      </c>
    </row>
    <row r="21" spans="2:46" x14ac:dyDescent="0.3">
      <c r="J21" s="61">
        <v>5017</v>
      </c>
      <c r="K21" s="61">
        <f t="shared" si="3"/>
        <v>10</v>
      </c>
      <c r="L21" s="108">
        <f t="shared" si="1"/>
        <v>31.799999999999997</v>
      </c>
      <c r="M21" s="108">
        <f t="shared" si="6"/>
        <v>53.019999999999996</v>
      </c>
      <c r="N21" s="108">
        <f t="shared" si="4"/>
        <v>4.9799999999999995</v>
      </c>
      <c r="O21" s="105">
        <f t="shared" si="5"/>
        <v>0.06</v>
      </c>
      <c r="P21" s="106">
        <f>($K21*'강화 정수 정보'!$P$5+$L21*'강화 정수 정보'!$P$6+$M21*'강화 정수 정보'!$P$7+$N21*'강화 정수 정보'!$P$8)/100</f>
        <v>67.375199999999992</v>
      </c>
      <c r="R21" s="150">
        <v>18</v>
      </c>
      <c r="S21" s="153" t="s">
        <v>150</v>
      </c>
      <c r="T21" s="150">
        <v>1135</v>
      </c>
      <c r="U21" s="150">
        <v>5006</v>
      </c>
      <c r="W21" s="156" t="s">
        <v>264</v>
      </c>
      <c r="X21" s="160">
        <v>1</v>
      </c>
      <c r="Y21" s="156">
        <v>5018</v>
      </c>
      <c r="Z21" s="165">
        <v>9.5</v>
      </c>
      <c r="AB21" s="156" t="s">
        <v>265</v>
      </c>
      <c r="AC21" s="160">
        <v>2</v>
      </c>
      <c r="AD21" s="159">
        <v>5018</v>
      </c>
      <c r="AE21" s="165">
        <v>9</v>
      </c>
      <c r="AG21" s="156" t="s">
        <v>267</v>
      </c>
      <c r="AH21" s="160">
        <v>3</v>
      </c>
      <c r="AI21" s="159">
        <v>5033</v>
      </c>
      <c r="AJ21" s="165">
        <v>9</v>
      </c>
      <c r="AL21" s="159" t="s">
        <v>95</v>
      </c>
      <c r="AM21" s="161">
        <v>4</v>
      </c>
      <c r="AN21" s="159">
        <v>5015</v>
      </c>
      <c r="AO21" s="163">
        <v>4.5</v>
      </c>
      <c r="AQ21" s="162" t="s">
        <v>266</v>
      </c>
      <c r="AR21" s="162">
        <v>4</v>
      </c>
      <c r="AS21" s="162">
        <v>5018</v>
      </c>
      <c r="AT21" s="164">
        <v>0.06</v>
      </c>
    </row>
    <row r="22" spans="2:46" x14ac:dyDescent="0.3">
      <c r="J22" s="61">
        <v>5018</v>
      </c>
      <c r="K22" s="61">
        <f t="shared" si="3"/>
        <v>9.5</v>
      </c>
      <c r="L22" s="108">
        <f t="shared" si="1"/>
        <v>26.28</v>
      </c>
      <c r="M22" s="108">
        <f t="shared" si="6"/>
        <v>58.5</v>
      </c>
      <c r="N22" s="108">
        <f t="shared" si="4"/>
        <v>5.5200000000000005</v>
      </c>
      <c r="O22" s="105">
        <f t="shared" si="5"/>
        <v>0.06</v>
      </c>
      <c r="P22" s="106">
        <f>($K22*'강화 정수 정보'!$P$5+$L22*'강화 정수 정보'!$P$6+$M22*'강화 정수 정보'!$P$7+$N22*'강화 정수 정보'!$P$8)/100</f>
        <v>71.566199999999995</v>
      </c>
      <c r="R22" s="150">
        <v>19</v>
      </c>
      <c r="S22" s="153" t="s">
        <v>151</v>
      </c>
      <c r="T22" s="150">
        <v>1157</v>
      </c>
      <c r="U22" s="156">
        <v>5007</v>
      </c>
      <c r="W22" s="156" t="s">
        <v>264</v>
      </c>
      <c r="X22" s="160">
        <v>1</v>
      </c>
      <c r="Y22" s="156">
        <v>5019</v>
      </c>
      <c r="Z22" s="165">
        <v>9</v>
      </c>
      <c r="AB22" s="156" t="s">
        <v>265</v>
      </c>
      <c r="AC22" s="160">
        <v>2</v>
      </c>
      <c r="AD22" s="159">
        <v>5019</v>
      </c>
      <c r="AE22" s="165">
        <v>9</v>
      </c>
      <c r="AG22" s="156" t="s">
        <v>267</v>
      </c>
      <c r="AH22" s="160">
        <v>3</v>
      </c>
      <c r="AI22" s="159">
        <v>5034</v>
      </c>
      <c r="AJ22" s="165">
        <v>9.5</v>
      </c>
      <c r="AL22" s="159" t="s">
        <v>95</v>
      </c>
      <c r="AM22" s="161">
        <v>4</v>
      </c>
      <c r="AN22" s="159">
        <v>5016</v>
      </c>
      <c r="AO22" s="163">
        <v>4.5</v>
      </c>
      <c r="AQ22" s="162" t="s">
        <v>266</v>
      </c>
      <c r="AR22" s="162">
        <v>4</v>
      </c>
      <c r="AS22" s="162">
        <v>5019</v>
      </c>
      <c r="AT22" s="164">
        <v>0.06</v>
      </c>
    </row>
    <row r="23" spans="2:46" x14ac:dyDescent="0.3">
      <c r="J23" s="61">
        <v>5019</v>
      </c>
      <c r="K23" s="61">
        <f t="shared" si="3"/>
        <v>9</v>
      </c>
      <c r="L23" s="108">
        <f t="shared" si="1"/>
        <v>20.82</v>
      </c>
      <c r="M23" s="108">
        <f t="shared" si="6"/>
        <v>63.980000000000004</v>
      </c>
      <c r="N23" s="108">
        <f t="shared" si="4"/>
        <v>6</v>
      </c>
      <c r="O23" s="105">
        <f t="shared" si="5"/>
        <v>0.06</v>
      </c>
      <c r="P23" s="106">
        <f>($K23*'강화 정수 정보'!$P$5+$L23*'강화 정수 정보'!$P$6+$M23*'강화 정수 정보'!$P$7+$N23*'강화 정수 정보'!$P$8)/100</f>
        <v>75.648600000000002</v>
      </c>
      <c r="R23" s="150">
        <v>20</v>
      </c>
      <c r="S23" s="153" t="s">
        <v>152</v>
      </c>
      <c r="T23" s="150">
        <v>1179</v>
      </c>
      <c r="U23" s="150">
        <v>5007</v>
      </c>
      <c r="W23" s="156" t="s">
        <v>264</v>
      </c>
      <c r="X23" s="160">
        <v>1</v>
      </c>
      <c r="Y23" s="156">
        <v>5020</v>
      </c>
      <c r="Z23" s="165">
        <v>8.5</v>
      </c>
      <c r="AB23" s="156" t="s">
        <v>265</v>
      </c>
      <c r="AC23" s="160">
        <v>2</v>
      </c>
      <c r="AD23" s="159">
        <v>5020</v>
      </c>
      <c r="AE23" s="165">
        <v>9</v>
      </c>
      <c r="AG23" s="156" t="s">
        <v>267</v>
      </c>
      <c r="AH23" s="160">
        <v>3</v>
      </c>
      <c r="AI23" s="159">
        <v>5035</v>
      </c>
      <c r="AJ23" s="165">
        <v>10</v>
      </c>
      <c r="AL23" s="159" t="s">
        <v>95</v>
      </c>
      <c r="AM23" s="161">
        <v>4</v>
      </c>
      <c r="AN23" s="159">
        <v>5017</v>
      </c>
      <c r="AO23" s="163">
        <v>4.9799999999999995</v>
      </c>
      <c r="AQ23" s="162" t="s">
        <v>266</v>
      </c>
      <c r="AR23" s="162">
        <v>4</v>
      </c>
      <c r="AS23" s="162">
        <v>5020</v>
      </c>
      <c r="AT23" s="164">
        <v>0.06</v>
      </c>
    </row>
    <row r="24" spans="2:46" x14ac:dyDescent="0.3">
      <c r="J24" s="61">
        <v>5020</v>
      </c>
      <c r="K24" s="61">
        <f t="shared" si="3"/>
        <v>8.5</v>
      </c>
      <c r="L24" s="108">
        <f t="shared" si="1"/>
        <v>15.3</v>
      </c>
      <c r="M24" s="108">
        <f t="shared" si="6"/>
        <v>69.52</v>
      </c>
      <c r="N24" s="108">
        <f t="shared" si="4"/>
        <v>6.48</v>
      </c>
      <c r="O24" s="105">
        <f t="shared" si="5"/>
        <v>0.06</v>
      </c>
      <c r="P24" s="106">
        <f>($K24*'강화 정수 정보'!$P$5+$L24*'강화 정수 정보'!$P$6+$M24*'강화 정수 정보'!$P$7+$N24*'강화 정수 정보'!$P$8)/100</f>
        <v>79.765200000000007</v>
      </c>
      <c r="R24" s="149">
        <v>21</v>
      </c>
      <c r="S24" s="152" t="s">
        <v>153</v>
      </c>
      <c r="T24" s="149">
        <v>1201</v>
      </c>
      <c r="U24" s="149">
        <v>5007</v>
      </c>
      <c r="W24" s="156" t="s">
        <v>264</v>
      </c>
      <c r="X24" s="160">
        <v>1</v>
      </c>
      <c r="Y24" s="156">
        <v>5021</v>
      </c>
      <c r="Z24" s="165">
        <v>8</v>
      </c>
      <c r="AB24" s="156" t="s">
        <v>265</v>
      </c>
      <c r="AC24" s="160">
        <v>2</v>
      </c>
      <c r="AD24" s="159">
        <v>5021</v>
      </c>
      <c r="AE24" s="165">
        <v>9</v>
      </c>
      <c r="AG24" s="156" t="s">
        <v>267</v>
      </c>
      <c r="AH24" s="160">
        <v>3</v>
      </c>
      <c r="AI24" s="159">
        <v>5036</v>
      </c>
      <c r="AJ24" s="165">
        <v>14.5</v>
      </c>
      <c r="AL24" s="159" t="s">
        <v>95</v>
      </c>
      <c r="AM24" s="161">
        <v>4</v>
      </c>
      <c r="AN24" s="159">
        <v>5018</v>
      </c>
      <c r="AO24" s="163">
        <v>5.5200000000000005</v>
      </c>
      <c r="AQ24" s="162" t="s">
        <v>266</v>
      </c>
      <c r="AR24" s="162">
        <v>4</v>
      </c>
      <c r="AS24" s="162">
        <v>5021</v>
      </c>
      <c r="AT24" s="164">
        <v>0.12</v>
      </c>
    </row>
    <row r="25" spans="2:46" x14ac:dyDescent="0.3">
      <c r="J25" s="61">
        <v>5021</v>
      </c>
      <c r="K25" s="61">
        <f t="shared" si="3"/>
        <v>8</v>
      </c>
      <c r="L25" s="108">
        <f t="shared" ref="L25:L47" si="7">VLOOKUP($J25,$AD$4:$AE$46,2,FALSE)</f>
        <v>9</v>
      </c>
      <c r="M25" s="108">
        <f t="shared" si="6"/>
        <v>75.72</v>
      </c>
      <c r="N25" s="108">
        <f t="shared" si="4"/>
        <v>7.02</v>
      </c>
      <c r="O25" s="105">
        <f t="shared" si="5"/>
        <v>0.12</v>
      </c>
      <c r="P25" s="106">
        <f>($K25*'강화 정수 정보'!$P$5+$L25*'강화 정수 정보'!$P$6+$M25*'강화 정수 정보'!$P$7+$N25*'강화 정수 정보'!$P$8)/100</f>
        <v>84.348600000000005</v>
      </c>
      <c r="R25" s="149">
        <v>22</v>
      </c>
      <c r="S25" s="152" t="s">
        <v>154</v>
      </c>
      <c r="T25" s="149">
        <v>1224</v>
      </c>
      <c r="U25" s="156">
        <v>5008</v>
      </c>
      <c r="W25" s="156" t="s">
        <v>264</v>
      </c>
      <c r="X25" s="160">
        <v>1</v>
      </c>
      <c r="Y25" s="156">
        <v>5022</v>
      </c>
      <c r="Z25" s="165">
        <v>7.5</v>
      </c>
      <c r="AB25" s="156" t="s">
        <v>265</v>
      </c>
      <c r="AC25" s="160">
        <v>2</v>
      </c>
      <c r="AD25" s="159">
        <v>5022</v>
      </c>
      <c r="AE25" s="165">
        <v>9</v>
      </c>
      <c r="AG25" s="156" t="s">
        <v>267</v>
      </c>
      <c r="AH25" s="160">
        <v>3</v>
      </c>
      <c r="AI25" s="159">
        <v>5037</v>
      </c>
      <c r="AJ25" s="165">
        <v>14.5</v>
      </c>
      <c r="AL25" s="159" t="s">
        <v>95</v>
      </c>
      <c r="AM25" s="161">
        <v>4</v>
      </c>
      <c r="AN25" s="159">
        <v>5019</v>
      </c>
      <c r="AO25" s="163">
        <v>6</v>
      </c>
      <c r="AQ25" s="162" t="s">
        <v>266</v>
      </c>
      <c r="AR25" s="162">
        <v>4</v>
      </c>
      <c r="AS25" s="162">
        <v>5022</v>
      </c>
      <c r="AT25" s="164">
        <v>0.12</v>
      </c>
    </row>
    <row r="26" spans="2:46" x14ac:dyDescent="0.3">
      <c r="J26" s="61">
        <v>5022</v>
      </c>
      <c r="K26" s="61">
        <f t="shared" si="3"/>
        <v>7.5</v>
      </c>
      <c r="L26" s="108">
        <f t="shared" si="7"/>
        <v>9</v>
      </c>
      <c r="M26" s="108">
        <f t="shared" si="6"/>
        <v>75.679999999999993</v>
      </c>
      <c r="N26" s="108">
        <f t="shared" si="4"/>
        <v>7.5</v>
      </c>
      <c r="O26" s="105">
        <f t="shared" si="5"/>
        <v>0.12</v>
      </c>
      <c r="P26" s="106">
        <f>($K26*'강화 정수 정보'!$P$5+$L26*'강화 정수 정보'!$P$6+$M26*'강화 정수 정보'!$P$7+$N26*'강화 정수 정보'!$P$8)/100</f>
        <v>85.266599999999997</v>
      </c>
      <c r="R26" s="149">
        <v>23</v>
      </c>
      <c r="S26" s="152" t="s">
        <v>155</v>
      </c>
      <c r="T26" s="149">
        <v>1247</v>
      </c>
      <c r="U26" s="149">
        <v>5008</v>
      </c>
      <c r="W26" s="156" t="s">
        <v>264</v>
      </c>
      <c r="X26" s="160">
        <v>1</v>
      </c>
      <c r="Y26" s="156">
        <v>5023</v>
      </c>
      <c r="Z26" s="165">
        <v>7</v>
      </c>
      <c r="AB26" s="156" t="s">
        <v>265</v>
      </c>
      <c r="AC26" s="160">
        <v>2</v>
      </c>
      <c r="AD26" s="159">
        <v>5023</v>
      </c>
      <c r="AE26" s="165">
        <v>9</v>
      </c>
      <c r="AG26" s="156" t="s">
        <v>267</v>
      </c>
      <c r="AH26" s="160">
        <v>3</v>
      </c>
      <c r="AI26" s="159">
        <v>5038</v>
      </c>
      <c r="AJ26" s="165">
        <v>14.5</v>
      </c>
      <c r="AL26" s="159" t="s">
        <v>95</v>
      </c>
      <c r="AM26" s="161">
        <v>4</v>
      </c>
      <c r="AN26" s="159">
        <v>5020</v>
      </c>
      <c r="AO26" s="163">
        <v>6.48</v>
      </c>
      <c r="AQ26" s="162" t="s">
        <v>266</v>
      </c>
      <c r="AR26" s="162">
        <v>4</v>
      </c>
      <c r="AS26" s="162">
        <v>5023</v>
      </c>
      <c r="AT26" s="164">
        <v>0.12</v>
      </c>
    </row>
    <row r="27" spans="2:46" x14ac:dyDescent="0.3">
      <c r="J27" s="61">
        <v>5023</v>
      </c>
      <c r="K27" s="61">
        <f t="shared" si="3"/>
        <v>7</v>
      </c>
      <c r="L27" s="108">
        <f t="shared" si="7"/>
        <v>9</v>
      </c>
      <c r="M27" s="108">
        <f t="shared" si="6"/>
        <v>75.699999999999989</v>
      </c>
      <c r="N27" s="108">
        <f t="shared" si="4"/>
        <v>7.98</v>
      </c>
      <c r="O27" s="105">
        <f t="shared" si="5"/>
        <v>0.12</v>
      </c>
      <c r="P27" s="106">
        <f>($K27*'강화 정수 정보'!$P$5+$L27*'강화 정수 정보'!$P$6+$M27*'강화 정수 정보'!$P$7+$N27*'강화 정수 정보'!$P$8)/100</f>
        <v>86.236799999999988</v>
      </c>
      <c r="R27" s="149">
        <v>24</v>
      </c>
      <c r="S27" s="152" t="s">
        <v>156</v>
      </c>
      <c r="T27" s="149">
        <v>1271</v>
      </c>
      <c r="U27" s="149">
        <v>5008</v>
      </c>
      <c r="W27" s="156" t="s">
        <v>264</v>
      </c>
      <c r="X27" s="160">
        <v>1</v>
      </c>
      <c r="Y27" s="156">
        <v>5024</v>
      </c>
      <c r="Z27" s="165">
        <v>6.5</v>
      </c>
      <c r="AB27" s="156" t="s">
        <v>265</v>
      </c>
      <c r="AC27" s="160">
        <v>2</v>
      </c>
      <c r="AD27" s="159">
        <v>5024</v>
      </c>
      <c r="AE27" s="165">
        <v>9</v>
      </c>
      <c r="AG27" s="156" t="s">
        <v>267</v>
      </c>
      <c r="AH27" s="160">
        <v>3</v>
      </c>
      <c r="AI27" s="159">
        <v>5039</v>
      </c>
      <c r="AJ27" s="165">
        <v>14.5</v>
      </c>
      <c r="AL27" s="159" t="s">
        <v>95</v>
      </c>
      <c r="AM27" s="161">
        <v>4</v>
      </c>
      <c r="AN27" s="159">
        <v>5021</v>
      </c>
      <c r="AO27" s="163">
        <v>7.02</v>
      </c>
      <c r="AQ27" s="162" t="s">
        <v>266</v>
      </c>
      <c r="AR27" s="162">
        <v>4</v>
      </c>
      <c r="AS27" s="162">
        <v>5024</v>
      </c>
      <c r="AT27" s="164">
        <v>0.12</v>
      </c>
    </row>
    <row r="28" spans="2:46" x14ac:dyDescent="0.3">
      <c r="J28" s="61">
        <v>5024</v>
      </c>
      <c r="K28" s="61">
        <f t="shared" si="3"/>
        <v>6.5</v>
      </c>
      <c r="L28" s="108">
        <f t="shared" si="7"/>
        <v>9</v>
      </c>
      <c r="M28" s="108">
        <f t="shared" si="6"/>
        <v>75.72</v>
      </c>
      <c r="N28" s="108">
        <f t="shared" si="4"/>
        <v>8.52</v>
      </c>
      <c r="O28" s="105">
        <f t="shared" si="5"/>
        <v>0.12</v>
      </c>
      <c r="P28" s="106">
        <f>($K28*'강화 정수 정보'!$P$5+$L28*'강화 정수 정보'!$P$6+$M28*'강화 정수 정보'!$P$7+$N28*'강화 정수 정보'!$P$8)/100</f>
        <v>87.333600000000004</v>
      </c>
      <c r="R28" s="149">
        <v>25</v>
      </c>
      <c r="S28" s="152" t="s">
        <v>157</v>
      </c>
      <c r="T28" s="149">
        <v>1295</v>
      </c>
      <c r="U28" s="156">
        <v>5009</v>
      </c>
      <c r="W28" s="156" t="s">
        <v>264</v>
      </c>
      <c r="X28" s="160">
        <v>1</v>
      </c>
      <c r="Y28" s="156">
        <v>5025</v>
      </c>
      <c r="Z28" s="165">
        <v>6</v>
      </c>
      <c r="AB28" s="156" t="s">
        <v>265</v>
      </c>
      <c r="AC28" s="160">
        <v>2</v>
      </c>
      <c r="AD28" s="159">
        <v>5025</v>
      </c>
      <c r="AE28" s="165">
        <v>9</v>
      </c>
      <c r="AG28" s="156" t="s">
        <v>267</v>
      </c>
      <c r="AH28" s="160">
        <v>3</v>
      </c>
      <c r="AI28" s="159">
        <v>5040</v>
      </c>
      <c r="AJ28" s="165">
        <v>14.5</v>
      </c>
      <c r="AL28" s="159" t="s">
        <v>95</v>
      </c>
      <c r="AM28" s="161">
        <v>4</v>
      </c>
      <c r="AN28" s="159">
        <v>5022</v>
      </c>
      <c r="AO28" s="163">
        <v>7.5</v>
      </c>
      <c r="AQ28" s="162" t="s">
        <v>266</v>
      </c>
      <c r="AR28" s="162">
        <v>4</v>
      </c>
      <c r="AS28" s="162">
        <v>5025</v>
      </c>
      <c r="AT28" s="164">
        <v>0.12</v>
      </c>
    </row>
    <row r="29" spans="2:46" x14ac:dyDescent="0.3">
      <c r="J29" s="61">
        <v>5025</v>
      </c>
      <c r="K29" s="61">
        <f t="shared" si="3"/>
        <v>6</v>
      </c>
      <c r="L29" s="108">
        <f t="shared" si="7"/>
        <v>9</v>
      </c>
      <c r="M29" s="108">
        <f t="shared" si="6"/>
        <v>75.679999999999993</v>
      </c>
      <c r="N29" s="108">
        <f t="shared" si="4"/>
        <v>9</v>
      </c>
      <c r="O29" s="105">
        <f t="shared" si="5"/>
        <v>0.12</v>
      </c>
      <c r="P29" s="106">
        <f>($K29*'강화 정수 정보'!$P$5+$L29*'강화 정수 정보'!$P$6+$M29*'강화 정수 정보'!$P$7+$N29*'강화 정수 정보'!$P$8)/100</f>
        <v>88.251599999999996</v>
      </c>
      <c r="R29" s="149">
        <v>26</v>
      </c>
      <c r="S29" s="152" t="s">
        <v>158</v>
      </c>
      <c r="T29" s="149">
        <v>1320</v>
      </c>
      <c r="U29" s="149">
        <v>5009</v>
      </c>
      <c r="W29" s="156" t="s">
        <v>264</v>
      </c>
      <c r="X29" s="160">
        <v>1</v>
      </c>
      <c r="Y29" s="156">
        <v>5026</v>
      </c>
      <c r="Z29" s="165">
        <v>5.5</v>
      </c>
      <c r="AB29" s="156" t="s">
        <v>265</v>
      </c>
      <c r="AC29" s="160">
        <v>2</v>
      </c>
      <c r="AD29" s="159">
        <v>5026</v>
      </c>
      <c r="AE29" s="165">
        <v>9</v>
      </c>
      <c r="AG29" s="156" t="s">
        <v>267</v>
      </c>
      <c r="AH29" s="160">
        <v>3</v>
      </c>
      <c r="AI29" s="159">
        <v>5041</v>
      </c>
      <c r="AJ29" s="165">
        <v>14.5</v>
      </c>
      <c r="AL29" s="159" t="s">
        <v>95</v>
      </c>
      <c r="AM29" s="161">
        <v>4</v>
      </c>
      <c r="AN29" s="159">
        <v>5023</v>
      </c>
      <c r="AO29" s="163">
        <v>7.98</v>
      </c>
      <c r="AQ29" s="162" t="s">
        <v>266</v>
      </c>
      <c r="AR29" s="162">
        <v>4</v>
      </c>
      <c r="AS29" s="162">
        <v>5026</v>
      </c>
      <c r="AT29" s="164">
        <v>0.21000000000000002</v>
      </c>
    </row>
    <row r="30" spans="2:46" x14ac:dyDescent="0.3">
      <c r="J30" s="61">
        <v>5026</v>
      </c>
      <c r="K30" s="61">
        <f t="shared" si="3"/>
        <v>5.5</v>
      </c>
      <c r="L30" s="108">
        <f t="shared" si="7"/>
        <v>9</v>
      </c>
      <c r="M30" s="108">
        <f t="shared" si="6"/>
        <v>75.099999999999994</v>
      </c>
      <c r="N30" s="108">
        <f t="shared" si="4"/>
        <v>10.02</v>
      </c>
      <c r="O30" s="105">
        <f t="shared" si="5"/>
        <v>0.21000000000000002</v>
      </c>
      <c r="P30" s="106">
        <f>($K30*'강화 정수 정보'!$P$5+$L30*'강화 정수 정보'!$P$6+$M30*'강화 정수 정보'!$P$7+$N30*'강화 정수 정보'!$P$8)/100</f>
        <v>89.839200000000005</v>
      </c>
      <c r="R30" s="149">
        <v>27</v>
      </c>
      <c r="S30" s="152" t="s">
        <v>159</v>
      </c>
      <c r="T30" s="149">
        <v>1345</v>
      </c>
      <c r="U30" s="149">
        <v>5009</v>
      </c>
      <c r="W30" s="156" t="s">
        <v>264</v>
      </c>
      <c r="X30" s="160">
        <v>1</v>
      </c>
      <c r="Y30" s="156">
        <v>5027</v>
      </c>
      <c r="Z30" s="165">
        <v>5</v>
      </c>
      <c r="AB30" s="156" t="s">
        <v>265</v>
      </c>
      <c r="AC30" s="160">
        <v>2</v>
      </c>
      <c r="AD30" s="159">
        <v>5027</v>
      </c>
      <c r="AE30" s="165">
        <v>9</v>
      </c>
      <c r="AG30" s="156" t="s">
        <v>267</v>
      </c>
      <c r="AH30" s="160">
        <v>3</v>
      </c>
      <c r="AI30" s="159">
        <v>5042</v>
      </c>
      <c r="AJ30" s="165">
        <v>14.5</v>
      </c>
      <c r="AL30" s="159" t="s">
        <v>95</v>
      </c>
      <c r="AM30" s="161">
        <v>4</v>
      </c>
      <c r="AN30" s="159">
        <v>5024</v>
      </c>
      <c r="AO30" s="163">
        <v>8.52</v>
      </c>
      <c r="AQ30" s="162" t="s">
        <v>266</v>
      </c>
      <c r="AR30" s="162">
        <v>4</v>
      </c>
      <c r="AS30" s="162">
        <v>5027</v>
      </c>
      <c r="AT30" s="164">
        <v>0.21000000000000002</v>
      </c>
    </row>
    <row r="31" spans="2:46" x14ac:dyDescent="0.3">
      <c r="J31" s="61">
        <v>5027</v>
      </c>
      <c r="K31" s="61">
        <f t="shared" si="3"/>
        <v>5</v>
      </c>
      <c r="L31" s="108">
        <f t="shared" si="7"/>
        <v>9</v>
      </c>
      <c r="M31" s="108">
        <f t="shared" si="6"/>
        <v>74.58</v>
      </c>
      <c r="N31" s="108">
        <f t="shared" si="4"/>
        <v>10.98</v>
      </c>
      <c r="O31" s="105">
        <f t="shared" si="5"/>
        <v>0.21000000000000002</v>
      </c>
      <c r="P31" s="106">
        <f>($K31*'강화 정수 정보'!$P$5+$L31*'강화 정수 정보'!$P$6+$M31*'강화 정수 정보'!$P$7+$N31*'강화 정수 정보'!$P$8)/100</f>
        <v>91.352400000000003</v>
      </c>
      <c r="R31" s="149">
        <v>28</v>
      </c>
      <c r="S31" s="152" t="s">
        <v>160</v>
      </c>
      <c r="T31" s="149">
        <v>1371</v>
      </c>
      <c r="U31" s="156">
        <v>5010</v>
      </c>
      <c r="W31" s="156" t="s">
        <v>264</v>
      </c>
      <c r="X31" s="160">
        <v>1</v>
      </c>
      <c r="Y31" s="156">
        <v>5028</v>
      </c>
      <c r="Z31" s="165">
        <v>4.5</v>
      </c>
      <c r="AB31" s="156" t="s">
        <v>265</v>
      </c>
      <c r="AC31" s="160">
        <v>2</v>
      </c>
      <c r="AD31" s="159">
        <v>5028</v>
      </c>
      <c r="AE31" s="165">
        <v>9</v>
      </c>
      <c r="AG31" s="156" t="s">
        <v>267</v>
      </c>
      <c r="AH31" s="160">
        <v>3</v>
      </c>
      <c r="AI31" s="159">
        <v>5043</v>
      </c>
      <c r="AJ31" s="165">
        <v>14.5</v>
      </c>
      <c r="AL31" s="159" t="s">
        <v>95</v>
      </c>
      <c r="AM31" s="161">
        <v>4</v>
      </c>
      <c r="AN31" s="159">
        <v>5025</v>
      </c>
      <c r="AO31" s="163">
        <v>9</v>
      </c>
      <c r="AQ31" s="162" t="s">
        <v>266</v>
      </c>
      <c r="AR31" s="162">
        <v>4</v>
      </c>
      <c r="AS31" s="162">
        <v>5028</v>
      </c>
      <c r="AT31" s="164">
        <v>0.21000000000000002</v>
      </c>
    </row>
    <row r="32" spans="2:46" ht="17.25" thickBot="1" x14ac:dyDescent="0.35">
      <c r="J32" s="61">
        <v>5028</v>
      </c>
      <c r="K32" s="61">
        <f t="shared" si="3"/>
        <v>4.5</v>
      </c>
      <c r="L32" s="108">
        <f t="shared" si="7"/>
        <v>9</v>
      </c>
      <c r="M32" s="108">
        <f t="shared" si="6"/>
        <v>74.12</v>
      </c>
      <c r="N32" s="108">
        <f t="shared" si="4"/>
        <v>12</v>
      </c>
      <c r="O32" s="105">
        <f t="shared" si="5"/>
        <v>0.21000000000000002</v>
      </c>
      <c r="P32" s="106">
        <f>($K32*'강화 정수 정보'!$P$5+$L32*'강화 정수 정보'!$P$6+$M32*'강화 정수 정보'!$P$7+$N32*'강화 정수 정보'!$P$8)/100</f>
        <v>93.04440000000001</v>
      </c>
      <c r="R32" s="149">
        <v>29</v>
      </c>
      <c r="S32" s="152" t="s">
        <v>161</v>
      </c>
      <c r="T32" s="149">
        <v>1397</v>
      </c>
      <c r="U32" s="149">
        <v>5010</v>
      </c>
      <c r="W32" s="156" t="s">
        <v>264</v>
      </c>
      <c r="X32" s="160">
        <v>1</v>
      </c>
      <c r="Y32" s="156">
        <v>5029</v>
      </c>
      <c r="Z32" s="165">
        <v>4</v>
      </c>
      <c r="AB32" s="156" t="s">
        <v>265</v>
      </c>
      <c r="AC32" s="160">
        <v>2</v>
      </c>
      <c r="AD32" s="159">
        <v>5029</v>
      </c>
      <c r="AE32" s="165">
        <v>9</v>
      </c>
      <c r="AL32" s="159" t="s">
        <v>95</v>
      </c>
      <c r="AM32" s="161">
        <v>4</v>
      </c>
      <c r="AN32" s="159">
        <v>5026</v>
      </c>
      <c r="AO32" s="163">
        <v>10.02</v>
      </c>
      <c r="AQ32" s="162" t="s">
        <v>266</v>
      </c>
      <c r="AR32" s="162">
        <v>4</v>
      </c>
      <c r="AS32" s="162">
        <v>5029</v>
      </c>
      <c r="AT32" s="164">
        <v>0.21000000000000002</v>
      </c>
    </row>
    <row r="33" spans="10:46" ht="17.25" thickBot="1" x14ac:dyDescent="0.35">
      <c r="J33" s="61">
        <v>5029</v>
      </c>
      <c r="K33" s="61">
        <f t="shared" si="3"/>
        <v>4</v>
      </c>
      <c r="L33" s="108">
        <f t="shared" si="7"/>
        <v>9</v>
      </c>
      <c r="M33" s="108">
        <f t="shared" si="6"/>
        <v>73.599999999999994</v>
      </c>
      <c r="N33" s="108">
        <f t="shared" si="4"/>
        <v>13.02</v>
      </c>
      <c r="O33" s="105">
        <f t="shared" si="5"/>
        <v>0.21000000000000002</v>
      </c>
      <c r="P33" s="106">
        <f>($K33*'강화 정수 정보'!$P$5+$L33*'강화 정수 정보'!$P$6+$M33*'강화 정수 정보'!$P$7+$N33*'강화 정수 정보'!$P$8)/100</f>
        <v>94.684200000000004</v>
      </c>
      <c r="R33" s="149">
        <v>30</v>
      </c>
      <c r="S33" s="152" t="s">
        <v>162</v>
      </c>
      <c r="T33" s="149">
        <v>1424</v>
      </c>
      <c r="U33" s="149">
        <v>5010</v>
      </c>
      <c r="W33" s="156" t="s">
        <v>264</v>
      </c>
      <c r="X33" s="160">
        <v>1</v>
      </c>
      <c r="Y33" s="156">
        <v>5030</v>
      </c>
      <c r="Z33" s="165">
        <v>3.5</v>
      </c>
      <c r="AB33" s="156" t="s">
        <v>265</v>
      </c>
      <c r="AC33" s="160">
        <v>2</v>
      </c>
      <c r="AD33" s="159">
        <v>5030</v>
      </c>
      <c r="AE33" s="165">
        <v>9</v>
      </c>
      <c r="AG33" s="37" t="s">
        <v>98</v>
      </c>
      <c r="AH33" s="38" t="s">
        <v>99</v>
      </c>
      <c r="AI33" s="38" t="s">
        <v>96</v>
      </c>
      <c r="AJ33" s="167" t="s">
        <v>97</v>
      </c>
      <c r="AL33" s="159" t="s">
        <v>95</v>
      </c>
      <c r="AM33" s="161">
        <v>4</v>
      </c>
      <c r="AN33" s="159">
        <v>5027</v>
      </c>
      <c r="AO33" s="163">
        <v>10.98</v>
      </c>
      <c r="AQ33" s="162" t="s">
        <v>266</v>
      </c>
      <c r="AR33" s="162">
        <v>4</v>
      </c>
      <c r="AS33" s="162">
        <v>5030</v>
      </c>
      <c r="AT33" s="164">
        <v>0.21000000000000002</v>
      </c>
    </row>
    <row r="34" spans="10:46" x14ac:dyDescent="0.3">
      <c r="J34" s="61">
        <v>5030</v>
      </c>
      <c r="K34" s="61">
        <f t="shared" si="3"/>
        <v>3.5</v>
      </c>
      <c r="L34" s="108">
        <f t="shared" si="7"/>
        <v>9</v>
      </c>
      <c r="M34" s="108">
        <f t="shared" si="6"/>
        <v>73.08</v>
      </c>
      <c r="N34" s="108">
        <f t="shared" si="4"/>
        <v>13.98</v>
      </c>
      <c r="O34" s="105">
        <f t="shared" si="5"/>
        <v>0.21000000000000002</v>
      </c>
      <c r="P34" s="106">
        <f>($K34*'강화 정수 정보'!$P$5+$L34*'강화 정수 정보'!$P$6+$M34*'강화 정수 정보'!$P$7+$N34*'강화 정수 정보'!$P$8)/100</f>
        <v>96.197400000000002</v>
      </c>
      <c r="R34" s="150">
        <v>31</v>
      </c>
      <c r="S34" s="153" t="s">
        <v>163</v>
      </c>
      <c r="T34" s="150">
        <v>1451</v>
      </c>
      <c r="U34" s="156">
        <v>5011</v>
      </c>
      <c r="W34" s="156" t="s">
        <v>264</v>
      </c>
      <c r="X34" s="160">
        <v>1</v>
      </c>
      <c r="Y34" s="156">
        <v>5031</v>
      </c>
      <c r="Z34" s="165">
        <v>3</v>
      </c>
      <c r="AB34" s="156" t="s">
        <v>265</v>
      </c>
      <c r="AC34" s="160">
        <v>2</v>
      </c>
      <c r="AD34" s="159">
        <v>5031</v>
      </c>
      <c r="AE34" s="165">
        <v>9</v>
      </c>
      <c r="AG34" s="159" t="s">
        <v>93</v>
      </c>
      <c r="AH34" s="161">
        <v>3</v>
      </c>
      <c r="AI34" s="159">
        <v>5001</v>
      </c>
      <c r="AJ34" s="163">
        <v>0.18</v>
      </c>
      <c r="AL34" s="159" t="s">
        <v>95</v>
      </c>
      <c r="AM34" s="161">
        <v>4</v>
      </c>
      <c r="AN34" s="159">
        <v>5028</v>
      </c>
      <c r="AO34" s="163">
        <v>12</v>
      </c>
      <c r="AQ34" s="162" t="s">
        <v>266</v>
      </c>
      <c r="AR34" s="162">
        <v>4</v>
      </c>
      <c r="AS34" s="162">
        <v>5031</v>
      </c>
      <c r="AT34" s="164">
        <v>0.30000000000000004</v>
      </c>
    </row>
    <row r="35" spans="10:46" x14ac:dyDescent="0.3">
      <c r="J35" s="61">
        <v>5031</v>
      </c>
      <c r="K35" s="61">
        <f t="shared" si="3"/>
        <v>3</v>
      </c>
      <c r="L35" s="108">
        <f t="shared" si="7"/>
        <v>9</v>
      </c>
      <c r="M35" s="108">
        <f t="shared" si="6"/>
        <v>72.5</v>
      </c>
      <c r="N35" s="108">
        <f t="shared" si="4"/>
        <v>15</v>
      </c>
      <c r="O35" s="105">
        <f t="shared" si="5"/>
        <v>0.30000000000000004</v>
      </c>
      <c r="P35" s="106">
        <f>($K35*'강화 정수 정보'!$P$5+$L35*'강화 정수 정보'!$P$6+$M35*'강화 정수 정보'!$P$7+$N35*'강화 정수 정보'!$P$8)/100</f>
        <v>97.784999999999997</v>
      </c>
      <c r="R35" s="150">
        <v>32</v>
      </c>
      <c r="S35" s="153" t="s">
        <v>164</v>
      </c>
      <c r="T35" s="150">
        <v>1479</v>
      </c>
      <c r="U35" s="150">
        <v>5011</v>
      </c>
      <c r="W35" s="156" t="s">
        <v>264</v>
      </c>
      <c r="X35" s="160">
        <v>1</v>
      </c>
      <c r="Y35" s="156">
        <v>5032</v>
      </c>
      <c r="Z35" s="165">
        <v>2.5</v>
      </c>
      <c r="AB35" s="156" t="s">
        <v>265</v>
      </c>
      <c r="AC35" s="160">
        <v>2</v>
      </c>
      <c r="AD35" s="159">
        <v>5032</v>
      </c>
      <c r="AE35" s="165">
        <v>9</v>
      </c>
      <c r="AG35" s="159" t="s">
        <v>93</v>
      </c>
      <c r="AH35" s="161">
        <v>3</v>
      </c>
      <c r="AI35" s="159">
        <v>5002</v>
      </c>
      <c r="AJ35" s="163">
        <v>2.2199999999999998</v>
      </c>
      <c r="AL35" s="159" t="s">
        <v>95</v>
      </c>
      <c r="AM35" s="161">
        <v>4</v>
      </c>
      <c r="AN35" s="159">
        <v>5029</v>
      </c>
      <c r="AO35" s="163">
        <v>13.02</v>
      </c>
      <c r="AQ35" s="162" t="s">
        <v>266</v>
      </c>
      <c r="AR35" s="162">
        <v>4</v>
      </c>
      <c r="AS35" s="162">
        <v>5032</v>
      </c>
      <c r="AT35" s="164">
        <v>0.30000000000000004</v>
      </c>
    </row>
    <row r="36" spans="10:46" x14ac:dyDescent="0.3">
      <c r="J36" s="61">
        <v>5032</v>
      </c>
      <c r="K36" s="61">
        <f t="shared" si="3"/>
        <v>2.5</v>
      </c>
      <c r="L36" s="108">
        <f t="shared" si="7"/>
        <v>9</v>
      </c>
      <c r="M36" s="108">
        <f t="shared" si="6"/>
        <v>71.98</v>
      </c>
      <c r="N36" s="108">
        <f t="shared" si="4"/>
        <v>16.02</v>
      </c>
      <c r="O36" s="105">
        <f t="shared" si="5"/>
        <v>0.30000000000000004</v>
      </c>
      <c r="P36" s="106">
        <f>($K36*'강화 정수 정보'!$P$5+$L36*'강화 정수 정보'!$P$6+$M36*'강화 정수 정보'!$P$7+$N36*'강화 정수 정보'!$P$8)/100</f>
        <v>99.424799999999991</v>
      </c>
      <c r="R36" s="150">
        <v>33</v>
      </c>
      <c r="S36" s="153" t="s">
        <v>165</v>
      </c>
      <c r="T36" s="150">
        <v>1507</v>
      </c>
      <c r="U36" s="150">
        <v>5011</v>
      </c>
      <c r="W36" s="156" t="s">
        <v>264</v>
      </c>
      <c r="X36" s="160">
        <v>1</v>
      </c>
      <c r="Y36" s="156">
        <v>5033</v>
      </c>
      <c r="Z36" s="165">
        <v>2</v>
      </c>
      <c r="AB36" s="156" t="s">
        <v>265</v>
      </c>
      <c r="AC36" s="160">
        <v>2</v>
      </c>
      <c r="AD36" s="159">
        <v>5033</v>
      </c>
      <c r="AE36" s="165">
        <v>9</v>
      </c>
      <c r="AG36" s="159" t="s">
        <v>93</v>
      </c>
      <c r="AH36" s="161">
        <v>3</v>
      </c>
      <c r="AI36" s="159">
        <v>5003</v>
      </c>
      <c r="AJ36" s="163">
        <v>4.1999999999999993</v>
      </c>
      <c r="AL36" s="159" t="s">
        <v>95</v>
      </c>
      <c r="AM36" s="161">
        <v>4</v>
      </c>
      <c r="AN36" s="159">
        <v>5030</v>
      </c>
      <c r="AO36" s="163">
        <v>13.98</v>
      </c>
      <c r="AQ36" s="162" t="s">
        <v>266</v>
      </c>
      <c r="AR36" s="162">
        <v>4</v>
      </c>
      <c r="AS36" s="162">
        <v>5033</v>
      </c>
      <c r="AT36" s="164">
        <v>0.30000000000000004</v>
      </c>
    </row>
    <row r="37" spans="10:46" x14ac:dyDescent="0.3">
      <c r="J37" s="61">
        <v>5033</v>
      </c>
      <c r="K37" s="61">
        <f t="shared" si="3"/>
        <v>2</v>
      </c>
      <c r="L37" s="108">
        <f t="shared" si="7"/>
        <v>9</v>
      </c>
      <c r="M37" s="108">
        <f t="shared" si="6"/>
        <v>71.52</v>
      </c>
      <c r="N37" s="108">
        <f t="shared" si="4"/>
        <v>16.98</v>
      </c>
      <c r="O37" s="105">
        <f t="shared" si="5"/>
        <v>0.30000000000000004</v>
      </c>
      <c r="P37" s="106">
        <f>($K37*'강화 정수 정보'!$P$5+$L37*'강화 정수 정보'!$P$6+$M37*'강화 정수 정보'!$P$7+$N37*'강화 정수 정보'!$P$8)/100</f>
        <v>100.9902</v>
      </c>
      <c r="R37" s="150">
        <v>34</v>
      </c>
      <c r="S37" s="153" t="s">
        <v>166</v>
      </c>
      <c r="T37" s="150">
        <v>1536</v>
      </c>
      <c r="U37" s="156">
        <v>5012</v>
      </c>
      <c r="W37" s="156" t="s">
        <v>264</v>
      </c>
      <c r="X37" s="160">
        <v>1</v>
      </c>
      <c r="Y37" s="156">
        <v>5034</v>
      </c>
      <c r="Z37" s="165">
        <v>1.5</v>
      </c>
      <c r="AB37" s="156" t="s">
        <v>265</v>
      </c>
      <c r="AC37" s="160">
        <v>2</v>
      </c>
      <c r="AD37" s="159">
        <v>5034</v>
      </c>
      <c r="AE37" s="165">
        <v>9</v>
      </c>
      <c r="AG37" s="159" t="s">
        <v>93</v>
      </c>
      <c r="AH37" s="161">
        <v>3</v>
      </c>
      <c r="AI37" s="159">
        <v>5004</v>
      </c>
      <c r="AJ37" s="163">
        <v>6.18</v>
      </c>
      <c r="AL37" s="159" t="s">
        <v>95</v>
      </c>
      <c r="AM37" s="161">
        <v>4</v>
      </c>
      <c r="AN37" s="159">
        <v>5031</v>
      </c>
      <c r="AO37" s="163">
        <v>15</v>
      </c>
      <c r="AQ37" s="162" t="s">
        <v>266</v>
      </c>
      <c r="AR37" s="162">
        <v>4</v>
      </c>
      <c r="AS37" s="162">
        <v>5034</v>
      </c>
      <c r="AT37" s="164">
        <v>0.30000000000000004</v>
      </c>
    </row>
    <row r="38" spans="10:46" x14ac:dyDescent="0.3">
      <c r="J38" s="61">
        <v>5034</v>
      </c>
      <c r="K38" s="61">
        <f t="shared" si="3"/>
        <v>1.5</v>
      </c>
      <c r="L38" s="108">
        <f t="shared" si="7"/>
        <v>9</v>
      </c>
      <c r="M38" s="108">
        <f t="shared" si="6"/>
        <v>71</v>
      </c>
      <c r="N38" s="108">
        <f t="shared" si="4"/>
        <v>18</v>
      </c>
      <c r="O38" s="105">
        <f t="shared" si="5"/>
        <v>0.30000000000000004</v>
      </c>
      <c r="P38" s="106">
        <f>($K38*'강화 정수 정보'!$P$5+$L38*'강화 정수 정보'!$P$6+$M38*'강화 정수 정보'!$P$7+$N38*'강화 정수 정보'!$P$8)/100</f>
        <v>102.63</v>
      </c>
      <c r="R38" s="150">
        <v>35</v>
      </c>
      <c r="S38" s="153" t="s">
        <v>167</v>
      </c>
      <c r="T38" s="150">
        <v>1565</v>
      </c>
      <c r="U38" s="150">
        <v>5012</v>
      </c>
      <c r="W38" s="156" t="s">
        <v>264</v>
      </c>
      <c r="X38" s="160">
        <v>1</v>
      </c>
      <c r="Y38" s="156">
        <v>5035</v>
      </c>
      <c r="Z38" s="165">
        <v>1</v>
      </c>
      <c r="AB38" s="156" t="s">
        <v>265</v>
      </c>
      <c r="AC38" s="160">
        <v>2</v>
      </c>
      <c r="AD38" s="159">
        <v>5035</v>
      </c>
      <c r="AE38" s="165">
        <v>9</v>
      </c>
      <c r="AG38" s="159" t="s">
        <v>93</v>
      </c>
      <c r="AH38" s="161">
        <v>3</v>
      </c>
      <c r="AI38" s="159">
        <v>5005</v>
      </c>
      <c r="AJ38" s="163">
        <v>8.2200000000000006</v>
      </c>
      <c r="AL38" s="159" t="s">
        <v>95</v>
      </c>
      <c r="AM38" s="161">
        <v>4</v>
      </c>
      <c r="AN38" s="159">
        <v>5032</v>
      </c>
      <c r="AO38" s="163">
        <v>16.02</v>
      </c>
      <c r="AQ38" s="162" t="s">
        <v>266</v>
      </c>
      <c r="AR38" s="162">
        <v>4</v>
      </c>
      <c r="AS38" s="162">
        <v>5035</v>
      </c>
      <c r="AT38" s="164">
        <v>0.30000000000000004</v>
      </c>
    </row>
    <row r="39" spans="10:46" ht="17.25" thickBot="1" x14ac:dyDescent="0.35">
      <c r="J39" s="61">
        <v>5035</v>
      </c>
      <c r="K39" s="61">
        <f t="shared" si="3"/>
        <v>1</v>
      </c>
      <c r="L39" s="108">
        <f t="shared" si="7"/>
        <v>9</v>
      </c>
      <c r="M39" s="108">
        <f t="shared" si="6"/>
        <v>70.48</v>
      </c>
      <c r="N39" s="108">
        <f t="shared" si="4"/>
        <v>19.02</v>
      </c>
      <c r="O39" s="105">
        <f t="shared" si="5"/>
        <v>0.30000000000000004</v>
      </c>
      <c r="P39" s="106">
        <f>($K39*'강화 정수 정보'!$P$5+$L39*'강화 정수 정보'!$P$6+$M39*'강화 정수 정보'!$P$7+$N39*'강화 정수 정보'!$P$8)/100</f>
        <v>104.26979999999999</v>
      </c>
      <c r="R39" s="150">
        <v>36</v>
      </c>
      <c r="S39" s="153" t="s">
        <v>168</v>
      </c>
      <c r="T39" s="150">
        <v>1595</v>
      </c>
      <c r="U39" s="150">
        <v>5012</v>
      </c>
      <c r="AB39" s="156" t="s">
        <v>265</v>
      </c>
      <c r="AC39" s="160">
        <v>2</v>
      </c>
      <c r="AD39" s="156">
        <v>5036</v>
      </c>
      <c r="AE39" s="165">
        <v>4.5</v>
      </c>
      <c r="AG39" s="159" t="s">
        <v>93</v>
      </c>
      <c r="AH39" s="161">
        <v>3</v>
      </c>
      <c r="AI39" s="159">
        <v>5006</v>
      </c>
      <c r="AJ39" s="163">
        <v>10.199999999999999</v>
      </c>
      <c r="AL39" s="159" t="s">
        <v>95</v>
      </c>
      <c r="AM39" s="161">
        <v>4</v>
      </c>
      <c r="AN39" s="159">
        <v>5033</v>
      </c>
      <c r="AO39" s="163">
        <v>16.98</v>
      </c>
      <c r="AQ39" s="162" t="s">
        <v>266</v>
      </c>
      <c r="AR39" s="162">
        <v>4</v>
      </c>
      <c r="AS39" s="162">
        <v>5036</v>
      </c>
      <c r="AT39" s="164">
        <v>0.60000000000000009</v>
      </c>
    </row>
    <row r="40" spans="10:46" ht="17.25" thickBot="1" x14ac:dyDescent="0.35">
      <c r="J40" s="61">
        <v>5036</v>
      </c>
      <c r="K40" s="61">
        <v>0</v>
      </c>
      <c r="L40" s="108">
        <f t="shared" si="7"/>
        <v>4.5</v>
      </c>
      <c r="M40" s="108">
        <f t="shared" si="6"/>
        <v>73.900000000000006</v>
      </c>
      <c r="N40" s="108">
        <f t="shared" ref="N40:N47" si="8">VLOOKUP($J40,$AN$14:$AO$49,2,FALSE)+VLOOKUP($J40,$AN$4:$AO$11,2,FALSE)</f>
        <v>20.48</v>
      </c>
      <c r="O40" s="105">
        <f t="shared" ref="O40:O47" si="9">VLOOKUP($J40,$AS$14:$AT$46,2,FALSE)+VLOOKUP($J40,$AS$4:$AT$11,2,FALSE)</f>
        <v>1.1000000000000001</v>
      </c>
      <c r="P40" s="106">
        <f>($K40*'강화 정수 정보'!$P$5+$L40*'강화 정수 정보'!$P$6+$M40*'강화 정수 정보'!$P$7+$N40*'강화 정수 정보'!$P$8)/100</f>
        <v>108.8558</v>
      </c>
      <c r="R40" s="150">
        <v>37</v>
      </c>
      <c r="S40" s="153" t="s">
        <v>169</v>
      </c>
      <c r="T40" s="150">
        <v>1626</v>
      </c>
      <c r="U40" s="156">
        <v>5013</v>
      </c>
      <c r="W40" s="37" t="s">
        <v>98</v>
      </c>
      <c r="X40" s="38" t="s">
        <v>99</v>
      </c>
      <c r="Y40" s="38" t="s">
        <v>96</v>
      </c>
      <c r="Z40" s="39" t="s">
        <v>97</v>
      </c>
      <c r="AB40" s="156" t="s">
        <v>265</v>
      </c>
      <c r="AC40" s="160">
        <v>2</v>
      </c>
      <c r="AD40" s="156">
        <v>5037</v>
      </c>
      <c r="AE40" s="165">
        <v>3.5</v>
      </c>
      <c r="AG40" s="159" t="s">
        <v>93</v>
      </c>
      <c r="AH40" s="161">
        <v>3</v>
      </c>
      <c r="AI40" s="159">
        <v>5007</v>
      </c>
      <c r="AJ40" s="163">
        <v>12.18</v>
      </c>
      <c r="AL40" s="159" t="s">
        <v>95</v>
      </c>
      <c r="AM40" s="161">
        <v>4</v>
      </c>
      <c r="AN40" s="159">
        <v>5034</v>
      </c>
      <c r="AO40" s="163">
        <v>18</v>
      </c>
      <c r="AQ40" s="162" t="s">
        <v>266</v>
      </c>
      <c r="AR40" s="162">
        <v>4</v>
      </c>
      <c r="AS40" s="162">
        <v>5037</v>
      </c>
      <c r="AT40" s="164">
        <v>0.60000000000000009</v>
      </c>
    </row>
    <row r="41" spans="10:46" x14ac:dyDescent="0.3">
      <c r="J41" s="61">
        <v>5037</v>
      </c>
      <c r="K41" s="61">
        <v>0</v>
      </c>
      <c r="L41" s="108">
        <f t="shared" si="7"/>
        <v>3.5</v>
      </c>
      <c r="M41" s="108">
        <f t="shared" si="6"/>
        <v>71.92</v>
      </c>
      <c r="N41" s="108">
        <f t="shared" si="8"/>
        <v>23.02</v>
      </c>
      <c r="O41" s="105">
        <f t="shared" si="9"/>
        <v>1.6</v>
      </c>
      <c r="P41" s="106">
        <f>($K41*'강화 정수 정보'!$P$5+$L41*'강화 정수 정보'!$P$6+$M41*'강화 정수 정보'!$P$7+$N41*'강화 정수 정보'!$P$8)/100</f>
        <v>112.1926</v>
      </c>
      <c r="R41" s="150">
        <v>38</v>
      </c>
      <c r="S41" s="153" t="s">
        <v>170</v>
      </c>
      <c r="T41" s="150">
        <v>1657</v>
      </c>
      <c r="U41" s="150">
        <v>5013</v>
      </c>
      <c r="W41" s="159" t="s">
        <v>91</v>
      </c>
      <c r="X41" s="161">
        <v>1</v>
      </c>
      <c r="Y41" s="159">
        <v>5001</v>
      </c>
      <c r="Z41" s="163">
        <v>73.800000000000011</v>
      </c>
      <c r="AB41" s="156" t="s">
        <v>265</v>
      </c>
      <c r="AC41" s="160">
        <v>2</v>
      </c>
      <c r="AD41" s="156">
        <v>5038</v>
      </c>
      <c r="AE41" s="165">
        <v>2.5</v>
      </c>
      <c r="AG41" s="162" t="s">
        <v>93</v>
      </c>
      <c r="AH41" s="162">
        <v>3</v>
      </c>
      <c r="AI41" s="162">
        <v>5008</v>
      </c>
      <c r="AJ41" s="164">
        <v>13.98</v>
      </c>
      <c r="AL41" s="159" t="s">
        <v>95</v>
      </c>
      <c r="AM41" s="161">
        <v>4</v>
      </c>
      <c r="AN41" s="159">
        <v>5035</v>
      </c>
      <c r="AO41" s="163">
        <v>19.02</v>
      </c>
      <c r="AQ41" s="162" t="s">
        <v>266</v>
      </c>
      <c r="AR41" s="162">
        <v>4</v>
      </c>
      <c r="AS41" s="162">
        <v>5038</v>
      </c>
      <c r="AT41" s="164">
        <v>0.60000000000000009</v>
      </c>
    </row>
    <row r="42" spans="10:46" x14ac:dyDescent="0.3">
      <c r="J42" s="61">
        <v>5038</v>
      </c>
      <c r="K42" s="61">
        <v>0</v>
      </c>
      <c r="L42" s="108">
        <f t="shared" si="7"/>
        <v>2.5</v>
      </c>
      <c r="M42" s="108">
        <f t="shared" si="6"/>
        <v>69.88</v>
      </c>
      <c r="N42" s="108">
        <f t="shared" si="8"/>
        <v>25.5</v>
      </c>
      <c r="O42" s="105">
        <f t="shared" si="9"/>
        <v>2.1</v>
      </c>
      <c r="P42" s="106">
        <f>($K42*'강화 정수 정보'!$P$5+$L42*'강화 정수 정보'!$P$6+$M42*'강화 정수 정보'!$P$7+$N42*'강화 정수 정보'!$P$8)/100</f>
        <v>115.3506</v>
      </c>
      <c r="R42" s="150">
        <v>39</v>
      </c>
      <c r="S42" s="153" t="s">
        <v>171</v>
      </c>
      <c r="T42" s="150">
        <v>1689</v>
      </c>
      <c r="U42" s="150">
        <v>5013</v>
      </c>
      <c r="W42" s="159" t="s">
        <v>91</v>
      </c>
      <c r="X42" s="161">
        <v>1</v>
      </c>
      <c r="Y42" s="159">
        <v>5002</v>
      </c>
      <c r="Z42" s="163">
        <v>63.78</v>
      </c>
      <c r="AB42" s="156" t="s">
        <v>265</v>
      </c>
      <c r="AC42" s="160">
        <v>2</v>
      </c>
      <c r="AD42" s="156">
        <v>5039</v>
      </c>
      <c r="AE42" s="165">
        <v>1.5</v>
      </c>
      <c r="AG42" s="162" t="s">
        <v>93</v>
      </c>
      <c r="AH42" s="162">
        <v>3</v>
      </c>
      <c r="AI42" s="162">
        <v>5009</v>
      </c>
      <c r="AJ42" s="164">
        <v>18</v>
      </c>
      <c r="AL42" s="159" t="s">
        <v>95</v>
      </c>
      <c r="AM42" s="161">
        <v>4</v>
      </c>
      <c r="AN42" s="159">
        <v>5036</v>
      </c>
      <c r="AO42" s="163">
        <v>19.98</v>
      </c>
      <c r="AQ42" s="162" t="s">
        <v>266</v>
      </c>
      <c r="AR42" s="162">
        <v>4</v>
      </c>
      <c r="AS42" s="162">
        <v>5039</v>
      </c>
      <c r="AT42" s="164">
        <v>0.60000000000000009</v>
      </c>
    </row>
    <row r="43" spans="10:46" x14ac:dyDescent="0.3">
      <c r="J43" s="61">
        <v>5039</v>
      </c>
      <c r="K43" s="61">
        <v>0</v>
      </c>
      <c r="L43" s="108">
        <f t="shared" si="7"/>
        <v>1.5</v>
      </c>
      <c r="M43" s="108">
        <f t="shared" si="6"/>
        <v>67.900000000000006</v>
      </c>
      <c r="N43" s="108">
        <f t="shared" si="8"/>
        <v>27.98</v>
      </c>
      <c r="O43" s="105">
        <f t="shared" si="9"/>
        <v>2.6</v>
      </c>
      <c r="P43" s="106">
        <f>($K43*'강화 정수 정보'!$P$5+$L43*'강화 정수 정보'!$P$6+$M43*'강화 정수 정보'!$P$7+$N43*'강화 정수 정보'!$P$8)/100</f>
        <v>118.5608</v>
      </c>
      <c r="R43" s="150">
        <v>40</v>
      </c>
      <c r="S43" s="153" t="s">
        <v>172</v>
      </c>
      <c r="T43" s="150">
        <v>1721</v>
      </c>
      <c r="U43" s="156">
        <v>5014</v>
      </c>
      <c r="W43" s="159" t="s">
        <v>91</v>
      </c>
      <c r="X43" s="161">
        <v>1</v>
      </c>
      <c r="Y43" s="159">
        <v>5003</v>
      </c>
      <c r="Z43" s="163">
        <v>53.820000000000007</v>
      </c>
      <c r="AB43" s="156" t="s">
        <v>265</v>
      </c>
      <c r="AC43" s="160">
        <v>2</v>
      </c>
      <c r="AD43" s="156">
        <v>5040</v>
      </c>
      <c r="AE43" s="165">
        <v>0.5</v>
      </c>
      <c r="AG43" s="162" t="s">
        <v>93</v>
      </c>
      <c r="AH43" s="162">
        <v>3</v>
      </c>
      <c r="AI43" s="162">
        <v>5010</v>
      </c>
      <c r="AJ43" s="164">
        <v>22.02</v>
      </c>
      <c r="AL43" s="159" t="s">
        <v>95</v>
      </c>
      <c r="AM43" s="161">
        <v>4</v>
      </c>
      <c r="AN43" s="159">
        <v>5037</v>
      </c>
      <c r="AO43" s="163">
        <v>22.02</v>
      </c>
      <c r="AQ43" s="162" t="s">
        <v>266</v>
      </c>
      <c r="AR43" s="162">
        <v>4</v>
      </c>
      <c r="AS43" s="162">
        <v>5040</v>
      </c>
      <c r="AT43" s="164">
        <v>0.60000000000000009</v>
      </c>
    </row>
    <row r="44" spans="10:46" x14ac:dyDescent="0.3">
      <c r="J44" s="61">
        <v>5040</v>
      </c>
      <c r="K44" s="61">
        <v>0</v>
      </c>
      <c r="L44" s="108">
        <f t="shared" si="7"/>
        <v>0.5</v>
      </c>
      <c r="M44" s="108">
        <f t="shared" si="6"/>
        <v>65.92</v>
      </c>
      <c r="N44" s="108">
        <f t="shared" si="8"/>
        <v>30.52</v>
      </c>
      <c r="O44" s="105">
        <f t="shared" si="9"/>
        <v>3.1</v>
      </c>
      <c r="P44" s="106">
        <f>($K44*'강화 정수 정보'!$P$5+$L44*'강화 정수 정보'!$P$6+$M44*'강화 정수 정보'!$P$7+$N44*'강화 정수 정보'!$P$8)/100</f>
        <v>121.8976</v>
      </c>
      <c r="R44" s="149">
        <v>41</v>
      </c>
      <c r="S44" s="152" t="s">
        <v>173</v>
      </c>
      <c r="T44" s="149">
        <v>1754</v>
      </c>
      <c r="U44" s="149">
        <v>5014</v>
      </c>
      <c r="W44" s="159" t="s">
        <v>91</v>
      </c>
      <c r="X44" s="161">
        <v>1</v>
      </c>
      <c r="Y44" s="159">
        <v>5004</v>
      </c>
      <c r="Z44" s="163">
        <v>43.8</v>
      </c>
      <c r="AB44" s="156" t="s">
        <v>265</v>
      </c>
      <c r="AC44" s="160">
        <v>2</v>
      </c>
      <c r="AD44" s="156">
        <v>5041</v>
      </c>
      <c r="AE44" s="165">
        <v>4.5</v>
      </c>
      <c r="AG44" s="162" t="s">
        <v>93</v>
      </c>
      <c r="AH44" s="162">
        <v>3</v>
      </c>
      <c r="AI44" s="162">
        <v>5011</v>
      </c>
      <c r="AJ44" s="164">
        <v>25.98</v>
      </c>
      <c r="AL44" s="159" t="s">
        <v>95</v>
      </c>
      <c r="AM44" s="161">
        <v>4</v>
      </c>
      <c r="AN44" s="159">
        <v>5038</v>
      </c>
      <c r="AO44" s="163">
        <v>24</v>
      </c>
      <c r="AQ44" s="162" t="s">
        <v>266</v>
      </c>
      <c r="AR44" s="162">
        <v>4</v>
      </c>
      <c r="AS44" s="162">
        <v>5041</v>
      </c>
      <c r="AT44" s="164">
        <v>0.60000000000000009</v>
      </c>
    </row>
    <row r="45" spans="10:46" x14ac:dyDescent="0.3">
      <c r="J45" s="61">
        <v>5041</v>
      </c>
      <c r="K45" s="61">
        <v>0</v>
      </c>
      <c r="L45" s="108">
        <f t="shared" si="7"/>
        <v>4.5</v>
      </c>
      <c r="M45" s="108">
        <f t="shared" si="6"/>
        <v>73.900000000000006</v>
      </c>
      <c r="N45" s="108">
        <f t="shared" si="8"/>
        <v>20.48</v>
      </c>
      <c r="O45" s="105">
        <f t="shared" si="9"/>
        <v>1.1000000000000001</v>
      </c>
      <c r="P45" s="106">
        <f>($K45*'강화 정수 정보'!$P$5+$L45*'강화 정수 정보'!$P$6+$M45*'강화 정수 정보'!$P$7+$N45*'강화 정수 정보'!$P$8)/100</f>
        <v>108.8558</v>
      </c>
      <c r="R45" s="149">
        <v>42</v>
      </c>
      <c r="S45" s="152" t="s">
        <v>174</v>
      </c>
      <c r="T45" s="149">
        <v>1788</v>
      </c>
      <c r="U45" s="149">
        <v>5014</v>
      </c>
      <c r="W45" s="159" t="s">
        <v>91</v>
      </c>
      <c r="X45" s="161">
        <v>1</v>
      </c>
      <c r="Y45" s="159">
        <v>5005</v>
      </c>
      <c r="Z45" s="163">
        <v>33.78</v>
      </c>
      <c r="AB45" s="156" t="s">
        <v>265</v>
      </c>
      <c r="AC45" s="160">
        <v>2</v>
      </c>
      <c r="AD45" s="156">
        <v>5042</v>
      </c>
      <c r="AE45" s="165">
        <v>3.5</v>
      </c>
      <c r="AG45" s="162" t="s">
        <v>93</v>
      </c>
      <c r="AH45" s="162">
        <v>3</v>
      </c>
      <c r="AI45" s="162">
        <v>5012</v>
      </c>
      <c r="AJ45" s="164">
        <v>30</v>
      </c>
      <c r="AL45" s="159" t="s">
        <v>95</v>
      </c>
      <c r="AM45" s="161">
        <v>4</v>
      </c>
      <c r="AN45" s="159">
        <v>5039</v>
      </c>
      <c r="AO45" s="163">
        <v>25.98</v>
      </c>
      <c r="AQ45" s="162" t="s">
        <v>266</v>
      </c>
      <c r="AR45" s="162">
        <v>4</v>
      </c>
      <c r="AS45" s="162">
        <v>5042</v>
      </c>
      <c r="AT45" s="164">
        <v>0.60000000000000009</v>
      </c>
    </row>
    <row r="46" spans="10:46" x14ac:dyDescent="0.3">
      <c r="J46" s="61">
        <v>5042</v>
      </c>
      <c r="K46" s="61">
        <v>0</v>
      </c>
      <c r="L46" s="108">
        <f t="shared" si="7"/>
        <v>3.5</v>
      </c>
      <c r="M46" s="108">
        <f t="shared" si="6"/>
        <v>71.92</v>
      </c>
      <c r="N46" s="108">
        <f t="shared" si="8"/>
        <v>23.02</v>
      </c>
      <c r="O46" s="105">
        <f t="shared" si="9"/>
        <v>1.6</v>
      </c>
      <c r="P46" s="106">
        <f>($K46*'강화 정수 정보'!$P$5+$L46*'강화 정수 정보'!$P$6+$M46*'강화 정수 정보'!$P$7+$N46*'강화 정수 정보'!$P$8)/100</f>
        <v>112.1926</v>
      </c>
      <c r="R46" s="149">
        <v>43</v>
      </c>
      <c r="S46" s="152" t="s">
        <v>175</v>
      </c>
      <c r="T46" s="149">
        <v>1822</v>
      </c>
      <c r="U46" s="156">
        <v>5015</v>
      </c>
      <c r="W46" s="159" t="s">
        <v>91</v>
      </c>
      <c r="X46" s="161">
        <v>1</v>
      </c>
      <c r="Y46" s="159">
        <v>5006</v>
      </c>
      <c r="Z46" s="163">
        <v>23.82</v>
      </c>
      <c r="AB46" s="156" t="s">
        <v>265</v>
      </c>
      <c r="AC46" s="160">
        <v>2</v>
      </c>
      <c r="AD46" s="156">
        <v>5043</v>
      </c>
      <c r="AE46" s="165">
        <v>2.5</v>
      </c>
      <c r="AG46" s="162" t="s">
        <v>93</v>
      </c>
      <c r="AH46" s="162">
        <v>3</v>
      </c>
      <c r="AI46" s="162">
        <v>5013</v>
      </c>
      <c r="AJ46" s="164">
        <v>34.019999999999996</v>
      </c>
      <c r="AL46" s="159" t="s">
        <v>95</v>
      </c>
      <c r="AM46" s="161">
        <v>4</v>
      </c>
      <c r="AN46" s="159">
        <v>5040</v>
      </c>
      <c r="AO46" s="163">
        <v>28.02</v>
      </c>
      <c r="AQ46" s="162" t="s">
        <v>266</v>
      </c>
      <c r="AR46" s="162">
        <v>4</v>
      </c>
      <c r="AS46" s="162">
        <v>5043</v>
      </c>
      <c r="AT46" s="164">
        <v>0.60000000000000009</v>
      </c>
    </row>
    <row r="47" spans="10:46" ht="17.25" thickBot="1" x14ac:dyDescent="0.35">
      <c r="J47" s="61">
        <v>5043</v>
      </c>
      <c r="K47" s="61">
        <v>0</v>
      </c>
      <c r="L47" s="108">
        <f t="shared" si="7"/>
        <v>2.5</v>
      </c>
      <c r="M47" s="108">
        <f t="shared" si="6"/>
        <v>69.88</v>
      </c>
      <c r="N47" s="108">
        <f t="shared" si="8"/>
        <v>25.5</v>
      </c>
      <c r="O47" s="105">
        <f t="shared" si="9"/>
        <v>2.1</v>
      </c>
      <c r="P47" s="106">
        <f>($K47*'강화 정수 정보'!$P$5+$L47*'강화 정수 정보'!$P$6+$M47*'강화 정수 정보'!$P$7+$N47*'강화 정수 정보'!$P$8)/100</f>
        <v>115.3506</v>
      </c>
      <c r="R47" s="149">
        <v>44</v>
      </c>
      <c r="S47" s="152" t="s">
        <v>176</v>
      </c>
      <c r="T47" s="149">
        <v>1857</v>
      </c>
      <c r="U47" s="149">
        <v>5015</v>
      </c>
      <c r="W47" s="159" t="s">
        <v>91</v>
      </c>
      <c r="X47" s="161">
        <v>1</v>
      </c>
      <c r="Y47" s="159">
        <v>5007</v>
      </c>
      <c r="Z47" s="163">
        <v>13.799999999999999</v>
      </c>
      <c r="AG47" s="162" t="s">
        <v>93</v>
      </c>
      <c r="AH47" s="162">
        <v>3</v>
      </c>
      <c r="AI47" s="162">
        <v>5014</v>
      </c>
      <c r="AJ47" s="164">
        <v>37.980000000000004</v>
      </c>
      <c r="AL47" s="159" t="s">
        <v>95</v>
      </c>
      <c r="AM47" s="161">
        <v>4</v>
      </c>
      <c r="AN47" s="159">
        <v>5041</v>
      </c>
      <c r="AO47" s="163">
        <v>19.98</v>
      </c>
    </row>
    <row r="48" spans="10:46" ht="17.25" thickBot="1" x14ac:dyDescent="0.35">
      <c r="J48" s="141" t="s">
        <v>272</v>
      </c>
      <c r="R48" s="149">
        <v>45</v>
      </c>
      <c r="S48" s="152" t="s">
        <v>177</v>
      </c>
      <c r="T48" s="149">
        <v>1893</v>
      </c>
      <c r="U48" s="149">
        <v>5015</v>
      </c>
      <c r="AB48" s="37" t="s">
        <v>98</v>
      </c>
      <c r="AC48" s="38" t="s">
        <v>99</v>
      </c>
      <c r="AD48" s="38" t="s">
        <v>96</v>
      </c>
      <c r="AE48" s="39" t="s">
        <v>97</v>
      </c>
      <c r="AG48" s="162" t="s">
        <v>93</v>
      </c>
      <c r="AH48" s="162">
        <v>3</v>
      </c>
      <c r="AI48" s="162">
        <v>5015</v>
      </c>
      <c r="AJ48" s="164">
        <v>42</v>
      </c>
      <c r="AL48" s="159" t="s">
        <v>95</v>
      </c>
      <c r="AM48" s="161">
        <v>4</v>
      </c>
      <c r="AN48" s="159">
        <v>5042</v>
      </c>
      <c r="AO48" s="163">
        <v>22.02</v>
      </c>
    </row>
    <row r="49" spans="18:41" x14ac:dyDescent="0.3">
      <c r="R49" s="149">
        <v>46</v>
      </c>
      <c r="S49" s="152" t="s">
        <v>178</v>
      </c>
      <c r="T49" s="149">
        <v>1929</v>
      </c>
      <c r="U49" s="156">
        <v>5016</v>
      </c>
      <c r="AB49" s="162" t="s">
        <v>92</v>
      </c>
      <c r="AC49" s="162">
        <v>2</v>
      </c>
      <c r="AD49" s="162">
        <v>5001</v>
      </c>
      <c r="AE49" s="164">
        <v>6</v>
      </c>
      <c r="AG49" s="162" t="s">
        <v>93</v>
      </c>
      <c r="AH49" s="162">
        <v>3</v>
      </c>
      <c r="AI49" s="162">
        <v>5016</v>
      </c>
      <c r="AJ49" s="164">
        <v>46.980000000000004</v>
      </c>
      <c r="AL49" s="159" t="s">
        <v>95</v>
      </c>
      <c r="AM49" s="161">
        <v>4</v>
      </c>
      <c r="AN49" s="159">
        <v>5043</v>
      </c>
      <c r="AO49" s="163">
        <v>24</v>
      </c>
    </row>
    <row r="50" spans="18:41" x14ac:dyDescent="0.3">
      <c r="R50" s="149">
        <v>47</v>
      </c>
      <c r="S50" s="152" t="s">
        <v>179</v>
      </c>
      <c r="T50" s="149">
        <v>1966</v>
      </c>
      <c r="U50" s="149">
        <v>5016</v>
      </c>
      <c r="AB50" s="162" t="s">
        <v>92</v>
      </c>
      <c r="AC50" s="162">
        <v>2</v>
      </c>
      <c r="AD50" s="162">
        <v>5002</v>
      </c>
      <c r="AE50" s="164">
        <v>13.98</v>
      </c>
      <c r="AG50" s="162" t="s">
        <v>93</v>
      </c>
      <c r="AH50" s="162">
        <v>3</v>
      </c>
      <c r="AI50" s="162">
        <v>5017</v>
      </c>
      <c r="AJ50" s="164">
        <v>52.019999999999996</v>
      </c>
    </row>
    <row r="51" spans="18:41" x14ac:dyDescent="0.3">
      <c r="R51" s="149">
        <v>48</v>
      </c>
      <c r="S51" s="152" t="s">
        <v>180</v>
      </c>
      <c r="T51" s="149">
        <v>2004</v>
      </c>
      <c r="U51" s="149">
        <v>5016</v>
      </c>
      <c r="AB51" s="162" t="s">
        <v>92</v>
      </c>
      <c r="AC51" s="162">
        <v>2</v>
      </c>
      <c r="AD51" s="162">
        <v>5003</v>
      </c>
      <c r="AE51" s="164">
        <v>22.02</v>
      </c>
      <c r="AG51" s="162" t="s">
        <v>93</v>
      </c>
      <c r="AH51" s="162">
        <v>3</v>
      </c>
      <c r="AI51" s="162">
        <v>5018</v>
      </c>
      <c r="AJ51" s="164">
        <v>57</v>
      </c>
    </row>
    <row r="52" spans="18:41" x14ac:dyDescent="0.3">
      <c r="R52" s="149">
        <v>49</v>
      </c>
      <c r="S52" s="152" t="s">
        <v>181</v>
      </c>
      <c r="T52" s="149">
        <v>2043</v>
      </c>
      <c r="U52" s="156">
        <v>5017</v>
      </c>
      <c r="AB52" s="162" t="s">
        <v>92</v>
      </c>
      <c r="AC52" s="162">
        <v>2</v>
      </c>
      <c r="AD52" s="162">
        <v>5004</v>
      </c>
      <c r="AE52" s="164">
        <v>30</v>
      </c>
      <c r="AG52" s="162" t="s">
        <v>93</v>
      </c>
      <c r="AH52" s="162">
        <v>3</v>
      </c>
      <c r="AI52" s="162">
        <v>5019</v>
      </c>
      <c r="AJ52" s="164">
        <v>61.980000000000004</v>
      </c>
    </row>
    <row r="53" spans="18:41" x14ac:dyDescent="0.3">
      <c r="R53" s="149">
        <v>50</v>
      </c>
      <c r="S53" s="152" t="s">
        <v>182</v>
      </c>
      <c r="T53" s="149">
        <v>2082</v>
      </c>
      <c r="U53" s="149">
        <v>5017</v>
      </c>
      <c r="AB53" s="162" t="s">
        <v>92</v>
      </c>
      <c r="AC53" s="162">
        <v>2</v>
      </c>
      <c r="AD53" s="162">
        <v>5005</v>
      </c>
      <c r="AE53" s="164">
        <v>37.980000000000004</v>
      </c>
      <c r="AG53" s="162" t="s">
        <v>93</v>
      </c>
      <c r="AH53" s="162">
        <v>3</v>
      </c>
      <c r="AI53" s="162">
        <v>5020</v>
      </c>
      <c r="AJ53" s="164">
        <v>67.02</v>
      </c>
    </row>
    <row r="54" spans="18:41" x14ac:dyDescent="0.3">
      <c r="R54" s="150">
        <v>51</v>
      </c>
      <c r="S54" s="153" t="s">
        <v>183</v>
      </c>
      <c r="T54" s="150">
        <v>2122</v>
      </c>
      <c r="U54" s="150">
        <v>5017</v>
      </c>
      <c r="AB54" s="162" t="s">
        <v>92</v>
      </c>
      <c r="AC54" s="162">
        <v>2</v>
      </c>
      <c r="AD54" s="162">
        <v>5006</v>
      </c>
      <c r="AE54" s="164">
        <v>46.019999999999996</v>
      </c>
      <c r="AG54" s="162" t="s">
        <v>93</v>
      </c>
      <c r="AH54" s="162">
        <v>3</v>
      </c>
      <c r="AI54" s="162">
        <v>5021</v>
      </c>
      <c r="AJ54" s="164">
        <v>72.72</v>
      </c>
    </row>
    <row r="55" spans="18:41" x14ac:dyDescent="0.3">
      <c r="R55" s="150">
        <v>52</v>
      </c>
      <c r="S55" s="153" t="s">
        <v>184</v>
      </c>
      <c r="T55" s="150">
        <v>2163</v>
      </c>
      <c r="U55" s="156">
        <v>5018</v>
      </c>
      <c r="AB55" s="162" t="s">
        <v>92</v>
      </c>
      <c r="AC55" s="162">
        <v>2</v>
      </c>
      <c r="AD55" s="162">
        <v>5007</v>
      </c>
      <c r="AE55" s="164">
        <v>54</v>
      </c>
      <c r="AG55" s="162" t="s">
        <v>93</v>
      </c>
      <c r="AH55" s="162">
        <v>3</v>
      </c>
      <c r="AI55" s="162">
        <v>5022</v>
      </c>
      <c r="AJ55" s="164">
        <v>72.179999999999993</v>
      </c>
    </row>
    <row r="56" spans="18:41" x14ac:dyDescent="0.3">
      <c r="R56" s="150">
        <v>53</v>
      </c>
      <c r="S56" s="153" t="s">
        <v>185</v>
      </c>
      <c r="T56" s="150">
        <v>2205</v>
      </c>
      <c r="U56" s="150">
        <v>5018</v>
      </c>
      <c r="AB56" s="159" t="s">
        <v>92</v>
      </c>
      <c r="AC56" s="161">
        <v>2</v>
      </c>
      <c r="AD56" s="159">
        <v>5008</v>
      </c>
      <c r="AE56" s="163">
        <v>64.98</v>
      </c>
      <c r="AG56" s="162" t="s">
        <v>93</v>
      </c>
      <c r="AH56" s="162">
        <v>3</v>
      </c>
      <c r="AI56" s="162">
        <v>5023</v>
      </c>
      <c r="AJ56" s="164">
        <v>71.699999999999989</v>
      </c>
    </row>
    <row r="57" spans="18:41" x14ac:dyDescent="0.3">
      <c r="R57" s="150">
        <v>54</v>
      </c>
      <c r="S57" s="153" t="s">
        <v>186</v>
      </c>
      <c r="T57" s="150">
        <v>2247</v>
      </c>
      <c r="U57" s="150">
        <v>5018</v>
      </c>
      <c r="AB57" s="159" t="s">
        <v>92</v>
      </c>
      <c r="AC57" s="161">
        <v>2</v>
      </c>
      <c r="AD57" s="159">
        <v>5009</v>
      </c>
      <c r="AE57" s="163">
        <v>60.480000000000004</v>
      </c>
      <c r="AG57" s="162" t="s">
        <v>93</v>
      </c>
      <c r="AH57" s="162">
        <v>3</v>
      </c>
      <c r="AI57" s="162">
        <v>5024</v>
      </c>
      <c r="AJ57" s="164">
        <v>71.22</v>
      </c>
    </row>
    <row r="58" spans="18:41" x14ac:dyDescent="0.3">
      <c r="R58" s="150">
        <v>55</v>
      </c>
      <c r="S58" s="153" t="s">
        <v>187</v>
      </c>
      <c r="T58" s="150">
        <v>2290</v>
      </c>
      <c r="U58" s="156">
        <v>5019</v>
      </c>
      <c r="AB58" s="159" t="s">
        <v>92</v>
      </c>
      <c r="AC58" s="161">
        <v>2</v>
      </c>
      <c r="AD58" s="159">
        <v>5010</v>
      </c>
      <c r="AE58" s="163">
        <v>55.980000000000004</v>
      </c>
      <c r="AG58" s="162" t="s">
        <v>93</v>
      </c>
      <c r="AH58" s="162">
        <v>3</v>
      </c>
      <c r="AI58" s="162">
        <v>5025</v>
      </c>
      <c r="AJ58" s="164">
        <v>70.679999999999993</v>
      </c>
    </row>
    <row r="59" spans="18:41" x14ac:dyDescent="0.3">
      <c r="R59" s="150">
        <v>56</v>
      </c>
      <c r="S59" s="153" t="s">
        <v>188</v>
      </c>
      <c r="T59" s="150">
        <v>2334</v>
      </c>
      <c r="U59" s="150">
        <v>5019</v>
      </c>
      <c r="AB59" s="159" t="s">
        <v>92</v>
      </c>
      <c r="AC59" s="161">
        <v>2</v>
      </c>
      <c r="AD59" s="159">
        <v>5011</v>
      </c>
      <c r="AE59" s="163">
        <v>51.42</v>
      </c>
      <c r="AG59" s="162" t="s">
        <v>93</v>
      </c>
      <c r="AH59" s="162">
        <v>3</v>
      </c>
      <c r="AI59" s="162">
        <v>5026</v>
      </c>
      <c r="AJ59" s="164">
        <v>69.599999999999994</v>
      </c>
    </row>
    <row r="60" spans="18:41" x14ac:dyDescent="0.3">
      <c r="R60" s="150">
        <v>57</v>
      </c>
      <c r="S60" s="153" t="s">
        <v>189</v>
      </c>
      <c r="T60" s="150">
        <v>2379</v>
      </c>
      <c r="U60" s="150">
        <v>5019</v>
      </c>
      <c r="AB60" s="159" t="s">
        <v>92</v>
      </c>
      <c r="AC60" s="161">
        <v>2</v>
      </c>
      <c r="AD60" s="159">
        <v>5012</v>
      </c>
      <c r="AE60" s="163">
        <v>46.92</v>
      </c>
      <c r="AG60" s="162" t="s">
        <v>93</v>
      </c>
      <c r="AH60" s="162">
        <v>3</v>
      </c>
      <c r="AI60" s="162">
        <v>5027</v>
      </c>
      <c r="AJ60" s="164">
        <v>68.58</v>
      </c>
    </row>
    <row r="61" spans="18:41" x14ac:dyDescent="0.3">
      <c r="R61" s="150">
        <v>58</v>
      </c>
      <c r="S61" s="153" t="s">
        <v>190</v>
      </c>
      <c r="T61" s="150">
        <v>2425</v>
      </c>
      <c r="U61" s="156">
        <v>5020</v>
      </c>
      <c r="AB61" s="159" t="s">
        <v>92</v>
      </c>
      <c r="AC61" s="161">
        <v>2</v>
      </c>
      <c r="AD61" s="159">
        <v>5013</v>
      </c>
      <c r="AE61" s="163">
        <v>42.42</v>
      </c>
      <c r="AG61" s="162" t="s">
        <v>93</v>
      </c>
      <c r="AH61" s="162">
        <v>3</v>
      </c>
      <c r="AI61" s="162">
        <v>5028</v>
      </c>
      <c r="AJ61" s="164">
        <v>67.62</v>
      </c>
    </row>
    <row r="62" spans="18:41" x14ac:dyDescent="0.3">
      <c r="R62" s="150">
        <v>59</v>
      </c>
      <c r="S62" s="153" t="s">
        <v>191</v>
      </c>
      <c r="T62" s="150">
        <v>2472</v>
      </c>
      <c r="U62" s="150">
        <v>5020</v>
      </c>
      <c r="AB62" s="159" t="s">
        <v>92</v>
      </c>
      <c r="AC62" s="161">
        <v>2</v>
      </c>
      <c r="AD62" s="159">
        <v>5014</v>
      </c>
      <c r="AE62" s="163">
        <v>37.92</v>
      </c>
      <c r="AG62" s="162" t="s">
        <v>93</v>
      </c>
      <c r="AH62" s="162">
        <v>3</v>
      </c>
      <c r="AI62" s="162">
        <v>5029</v>
      </c>
      <c r="AJ62" s="164">
        <v>66.599999999999994</v>
      </c>
    </row>
    <row r="63" spans="18:41" x14ac:dyDescent="0.3">
      <c r="R63" s="150">
        <v>60</v>
      </c>
      <c r="S63" s="153" t="s">
        <v>192</v>
      </c>
      <c r="T63" s="150">
        <v>2520</v>
      </c>
      <c r="U63" s="150">
        <v>5020</v>
      </c>
      <c r="AB63" s="159" t="s">
        <v>92</v>
      </c>
      <c r="AC63" s="161">
        <v>2</v>
      </c>
      <c r="AD63" s="159">
        <v>5015</v>
      </c>
      <c r="AE63" s="163">
        <v>33.42</v>
      </c>
      <c r="AG63" s="162" t="s">
        <v>93</v>
      </c>
      <c r="AH63" s="162">
        <v>3</v>
      </c>
      <c r="AI63" s="162">
        <v>5030</v>
      </c>
      <c r="AJ63" s="164">
        <v>65.58</v>
      </c>
    </row>
    <row r="64" spans="18:41" x14ac:dyDescent="0.3">
      <c r="R64" s="149">
        <v>61</v>
      </c>
      <c r="S64" s="152" t="s">
        <v>193</v>
      </c>
      <c r="T64" s="149">
        <v>2569</v>
      </c>
      <c r="U64" s="156">
        <v>5021</v>
      </c>
      <c r="AB64" s="159" t="s">
        <v>92</v>
      </c>
      <c r="AC64" s="161">
        <v>2</v>
      </c>
      <c r="AD64" s="159">
        <v>5016</v>
      </c>
      <c r="AE64" s="163">
        <v>28.32</v>
      </c>
      <c r="AG64" s="162" t="s">
        <v>93</v>
      </c>
      <c r="AH64" s="162">
        <v>3</v>
      </c>
      <c r="AI64" s="162">
        <v>5031</v>
      </c>
      <c r="AJ64" s="164">
        <v>64.5</v>
      </c>
    </row>
    <row r="65" spans="2:36" x14ac:dyDescent="0.3">
      <c r="B65" s="189" t="s">
        <v>300</v>
      </c>
      <c r="C65" s="190">
        <v>35</v>
      </c>
      <c r="D65" s="191">
        <v>1</v>
      </c>
      <c r="E65" s="192">
        <v>3</v>
      </c>
      <c r="F65" s="193">
        <f>AVERAGE(D65:E65)*(C65/100)</f>
        <v>0.7</v>
      </c>
      <c r="G65" s="194"/>
      <c r="R65" s="149">
        <v>62</v>
      </c>
      <c r="S65" s="152" t="s">
        <v>194</v>
      </c>
      <c r="T65" s="149">
        <v>2619</v>
      </c>
      <c r="U65" s="149">
        <v>5021</v>
      </c>
      <c r="AB65" s="159" t="s">
        <v>92</v>
      </c>
      <c r="AC65" s="161">
        <v>2</v>
      </c>
      <c r="AD65" s="159">
        <v>5017</v>
      </c>
      <c r="AE65" s="163">
        <v>22.799999999999997</v>
      </c>
      <c r="AG65" s="162" t="s">
        <v>93</v>
      </c>
      <c r="AH65" s="162">
        <v>3</v>
      </c>
      <c r="AI65" s="162">
        <v>5032</v>
      </c>
      <c r="AJ65" s="164">
        <v>63.480000000000004</v>
      </c>
    </row>
    <row r="66" spans="2:36" x14ac:dyDescent="0.3">
      <c r="B66" s="195" t="s">
        <v>301</v>
      </c>
      <c r="C66" s="190">
        <v>49</v>
      </c>
      <c r="D66" s="191">
        <v>1</v>
      </c>
      <c r="E66" s="192">
        <v>3</v>
      </c>
      <c r="F66" s="193">
        <f>AVERAGE(D66:E66)*(C66/100)</f>
        <v>0.98</v>
      </c>
      <c r="G66" s="194"/>
      <c r="R66" s="149">
        <v>63</v>
      </c>
      <c r="S66" s="152" t="s">
        <v>195</v>
      </c>
      <c r="T66" s="149">
        <v>2670</v>
      </c>
      <c r="U66" s="149">
        <v>5021</v>
      </c>
      <c r="AB66" s="159" t="s">
        <v>92</v>
      </c>
      <c r="AC66" s="161">
        <v>2</v>
      </c>
      <c r="AD66" s="159">
        <v>5018</v>
      </c>
      <c r="AE66" s="163">
        <v>17.28</v>
      </c>
      <c r="AG66" s="162" t="s">
        <v>93</v>
      </c>
      <c r="AH66" s="162">
        <v>3</v>
      </c>
      <c r="AI66" s="162">
        <v>5033</v>
      </c>
      <c r="AJ66" s="164">
        <v>62.519999999999996</v>
      </c>
    </row>
    <row r="67" spans="2:36" x14ac:dyDescent="0.3">
      <c r="R67" s="149">
        <v>64</v>
      </c>
      <c r="S67" s="152" t="s">
        <v>196</v>
      </c>
      <c r="T67" s="149">
        <v>2722</v>
      </c>
      <c r="U67" s="156">
        <v>5022</v>
      </c>
      <c r="AB67" s="159" t="s">
        <v>92</v>
      </c>
      <c r="AC67" s="161">
        <v>2</v>
      </c>
      <c r="AD67" s="159">
        <v>5019</v>
      </c>
      <c r="AE67" s="163">
        <v>11.82</v>
      </c>
      <c r="AG67" s="162" t="s">
        <v>93</v>
      </c>
      <c r="AH67" s="162">
        <v>3</v>
      </c>
      <c r="AI67" s="162">
        <v>5034</v>
      </c>
      <c r="AJ67" s="164">
        <v>61.5</v>
      </c>
    </row>
    <row r="68" spans="2:36" x14ac:dyDescent="0.3">
      <c r="R68" s="149">
        <v>65</v>
      </c>
      <c r="S68" s="152" t="s">
        <v>197</v>
      </c>
      <c r="T68" s="149">
        <v>2775</v>
      </c>
      <c r="U68" s="149">
        <v>5022</v>
      </c>
      <c r="AB68" s="159" t="s">
        <v>92</v>
      </c>
      <c r="AC68" s="161">
        <v>2</v>
      </c>
      <c r="AD68" s="159">
        <v>5020</v>
      </c>
      <c r="AE68" s="163">
        <v>6.3000000000000007</v>
      </c>
      <c r="AG68" s="162" t="s">
        <v>93</v>
      </c>
      <c r="AH68" s="162">
        <v>3</v>
      </c>
      <c r="AI68" s="162">
        <v>5035</v>
      </c>
      <c r="AJ68" s="164">
        <v>60.480000000000004</v>
      </c>
    </row>
    <row r="69" spans="2:36" x14ac:dyDescent="0.3">
      <c r="R69" s="149">
        <v>66</v>
      </c>
      <c r="S69" s="152" t="s">
        <v>198</v>
      </c>
      <c r="T69" s="149">
        <v>2829</v>
      </c>
      <c r="U69" s="149">
        <v>5022</v>
      </c>
      <c r="AG69" s="162" t="s">
        <v>93</v>
      </c>
      <c r="AH69" s="162">
        <v>3</v>
      </c>
      <c r="AI69" s="162">
        <v>5036</v>
      </c>
      <c r="AJ69" s="164">
        <v>59.400000000000006</v>
      </c>
    </row>
    <row r="70" spans="2:36" x14ac:dyDescent="0.3">
      <c r="R70" s="149">
        <v>67</v>
      </c>
      <c r="S70" s="152" t="s">
        <v>199</v>
      </c>
      <c r="T70" s="149">
        <v>2884</v>
      </c>
      <c r="U70" s="156">
        <v>5023</v>
      </c>
      <c r="AG70" s="162" t="s">
        <v>93</v>
      </c>
      <c r="AH70" s="162">
        <v>3</v>
      </c>
      <c r="AI70" s="162">
        <v>5037</v>
      </c>
      <c r="AJ70" s="164">
        <v>57.42</v>
      </c>
    </row>
    <row r="71" spans="2:36" x14ac:dyDescent="0.3">
      <c r="R71" s="149">
        <v>68</v>
      </c>
      <c r="S71" s="152" t="s">
        <v>200</v>
      </c>
      <c r="T71" s="149">
        <v>2940</v>
      </c>
      <c r="U71" s="149">
        <v>5023</v>
      </c>
      <c r="AG71" s="162" t="s">
        <v>93</v>
      </c>
      <c r="AH71" s="162">
        <v>3</v>
      </c>
      <c r="AI71" s="162">
        <v>5038</v>
      </c>
      <c r="AJ71" s="164">
        <v>55.38</v>
      </c>
    </row>
    <row r="72" spans="2:36" x14ac:dyDescent="0.3">
      <c r="R72" s="149">
        <v>69</v>
      </c>
      <c r="S72" s="152" t="s">
        <v>201</v>
      </c>
      <c r="T72" s="149">
        <v>2997</v>
      </c>
      <c r="U72" s="149">
        <v>5023</v>
      </c>
      <c r="AG72" s="162" t="s">
        <v>93</v>
      </c>
      <c r="AH72" s="162">
        <v>3</v>
      </c>
      <c r="AI72" s="162">
        <v>5039</v>
      </c>
      <c r="AJ72" s="164">
        <v>53.400000000000006</v>
      </c>
    </row>
    <row r="73" spans="2:36" x14ac:dyDescent="0.3">
      <c r="R73" s="149">
        <v>70</v>
      </c>
      <c r="S73" s="152" t="s">
        <v>202</v>
      </c>
      <c r="T73" s="149">
        <v>3055</v>
      </c>
      <c r="U73" s="156">
        <v>5024</v>
      </c>
      <c r="AG73" s="162" t="s">
        <v>93</v>
      </c>
      <c r="AH73" s="162">
        <v>3</v>
      </c>
      <c r="AI73" s="162">
        <v>5040</v>
      </c>
      <c r="AJ73" s="164">
        <v>51.42</v>
      </c>
    </row>
    <row r="74" spans="2:36" x14ac:dyDescent="0.3">
      <c r="R74" s="150">
        <v>71</v>
      </c>
      <c r="S74" s="153" t="s">
        <v>203</v>
      </c>
      <c r="T74" s="150">
        <v>3114</v>
      </c>
      <c r="U74" s="150">
        <v>5024</v>
      </c>
      <c r="AG74" s="162" t="s">
        <v>93</v>
      </c>
      <c r="AH74" s="162">
        <v>3</v>
      </c>
      <c r="AI74" s="162">
        <v>5041</v>
      </c>
      <c r="AJ74" s="164">
        <v>59.400000000000006</v>
      </c>
    </row>
    <row r="75" spans="2:36" x14ac:dyDescent="0.3">
      <c r="R75" s="150">
        <v>72</v>
      </c>
      <c r="S75" s="153" t="s">
        <v>204</v>
      </c>
      <c r="T75" s="150">
        <v>3174</v>
      </c>
      <c r="U75" s="150">
        <v>5024</v>
      </c>
      <c r="AG75" s="162" t="s">
        <v>93</v>
      </c>
      <c r="AH75" s="162">
        <v>3</v>
      </c>
      <c r="AI75" s="162">
        <v>5042</v>
      </c>
      <c r="AJ75" s="164">
        <v>57.42</v>
      </c>
    </row>
    <row r="76" spans="2:36" x14ac:dyDescent="0.3">
      <c r="R76" s="150">
        <v>73</v>
      </c>
      <c r="S76" s="153" t="s">
        <v>205</v>
      </c>
      <c r="T76" s="150">
        <v>3235</v>
      </c>
      <c r="U76" s="156">
        <v>5025</v>
      </c>
      <c r="AG76" s="162" t="s">
        <v>93</v>
      </c>
      <c r="AH76" s="162">
        <v>3</v>
      </c>
      <c r="AI76" s="162">
        <v>5043</v>
      </c>
      <c r="AJ76" s="164">
        <v>55.38</v>
      </c>
    </row>
    <row r="77" spans="2:36" x14ac:dyDescent="0.3">
      <c r="R77" s="150">
        <v>74</v>
      </c>
      <c r="S77" s="153" t="s">
        <v>206</v>
      </c>
      <c r="T77" s="150">
        <v>3298</v>
      </c>
      <c r="U77" s="150">
        <v>5025</v>
      </c>
    </row>
    <row r="78" spans="2:36" x14ac:dyDescent="0.3">
      <c r="R78" s="150">
        <v>75</v>
      </c>
      <c r="S78" s="153" t="s">
        <v>207</v>
      </c>
      <c r="T78" s="150">
        <v>3362</v>
      </c>
      <c r="U78" s="150">
        <v>5025</v>
      </c>
    </row>
    <row r="79" spans="2:36" x14ac:dyDescent="0.3">
      <c r="R79" s="150">
        <v>76</v>
      </c>
      <c r="S79" s="153" t="s">
        <v>208</v>
      </c>
      <c r="T79" s="150">
        <v>3427</v>
      </c>
      <c r="U79" s="156">
        <v>5026</v>
      </c>
    </row>
    <row r="80" spans="2:36" x14ac:dyDescent="0.3">
      <c r="R80" s="150">
        <v>77</v>
      </c>
      <c r="S80" s="153" t="s">
        <v>209</v>
      </c>
      <c r="T80" s="150">
        <v>3493</v>
      </c>
      <c r="U80" s="150">
        <v>5026</v>
      </c>
    </row>
    <row r="81" spans="18:21" x14ac:dyDescent="0.3">
      <c r="R81" s="150">
        <v>78</v>
      </c>
      <c r="S81" s="153" t="s">
        <v>210</v>
      </c>
      <c r="T81" s="150">
        <v>3561</v>
      </c>
      <c r="U81" s="150">
        <v>5026</v>
      </c>
    </row>
    <row r="82" spans="18:21" x14ac:dyDescent="0.3">
      <c r="R82" s="150">
        <v>79</v>
      </c>
      <c r="S82" s="153" t="s">
        <v>211</v>
      </c>
      <c r="T82" s="150">
        <v>3630</v>
      </c>
      <c r="U82" s="156">
        <v>5027</v>
      </c>
    </row>
    <row r="83" spans="18:21" x14ac:dyDescent="0.3">
      <c r="R83" s="150">
        <v>80</v>
      </c>
      <c r="S83" s="153" t="s">
        <v>212</v>
      </c>
      <c r="T83" s="150">
        <v>3700</v>
      </c>
      <c r="U83" s="150">
        <v>5027</v>
      </c>
    </row>
    <row r="84" spans="18:21" x14ac:dyDescent="0.3">
      <c r="R84" s="149">
        <v>81</v>
      </c>
      <c r="S84" s="152" t="s">
        <v>213</v>
      </c>
      <c r="T84" s="149">
        <v>3772</v>
      </c>
      <c r="U84" s="149">
        <v>5027</v>
      </c>
    </row>
    <row r="85" spans="18:21" x14ac:dyDescent="0.3">
      <c r="R85" s="149">
        <v>82</v>
      </c>
      <c r="S85" s="152" t="s">
        <v>214</v>
      </c>
      <c r="T85" s="149">
        <v>3845</v>
      </c>
      <c r="U85" s="156">
        <v>5028</v>
      </c>
    </row>
    <row r="86" spans="18:21" x14ac:dyDescent="0.3">
      <c r="R86" s="149">
        <v>83</v>
      </c>
      <c r="S86" s="152" t="s">
        <v>215</v>
      </c>
      <c r="T86" s="149">
        <v>3919</v>
      </c>
      <c r="U86" s="149">
        <v>5028</v>
      </c>
    </row>
    <row r="87" spans="18:21" x14ac:dyDescent="0.3">
      <c r="R87" s="149">
        <v>84</v>
      </c>
      <c r="S87" s="152" t="s">
        <v>216</v>
      </c>
      <c r="T87" s="149">
        <v>3995</v>
      </c>
      <c r="U87" s="149">
        <v>5028</v>
      </c>
    </row>
    <row r="88" spans="18:21" x14ac:dyDescent="0.3">
      <c r="R88" s="149">
        <v>85</v>
      </c>
      <c r="S88" s="152" t="s">
        <v>217</v>
      </c>
      <c r="T88" s="149">
        <v>4072</v>
      </c>
      <c r="U88" s="156">
        <v>5029</v>
      </c>
    </row>
    <row r="89" spans="18:21" x14ac:dyDescent="0.3">
      <c r="R89" s="149">
        <v>86</v>
      </c>
      <c r="S89" s="152" t="s">
        <v>218</v>
      </c>
      <c r="T89" s="149">
        <v>4151</v>
      </c>
      <c r="U89" s="149">
        <v>5029</v>
      </c>
    </row>
    <row r="90" spans="18:21" x14ac:dyDescent="0.3">
      <c r="R90" s="149">
        <v>87</v>
      </c>
      <c r="S90" s="152" t="s">
        <v>219</v>
      </c>
      <c r="T90" s="149">
        <v>4231</v>
      </c>
      <c r="U90" s="149">
        <v>5029</v>
      </c>
    </row>
    <row r="91" spans="18:21" x14ac:dyDescent="0.3">
      <c r="R91" s="149">
        <v>88</v>
      </c>
      <c r="S91" s="152" t="s">
        <v>220</v>
      </c>
      <c r="T91" s="149">
        <v>4313</v>
      </c>
      <c r="U91" s="156">
        <v>5030</v>
      </c>
    </row>
    <row r="92" spans="18:21" x14ac:dyDescent="0.3">
      <c r="R92" s="149">
        <v>89</v>
      </c>
      <c r="S92" s="152" t="s">
        <v>221</v>
      </c>
      <c r="T92" s="149">
        <v>4397</v>
      </c>
      <c r="U92" s="149">
        <v>5030</v>
      </c>
    </row>
    <row r="93" spans="18:21" x14ac:dyDescent="0.3">
      <c r="R93" s="149">
        <v>90</v>
      </c>
      <c r="S93" s="152" t="s">
        <v>222</v>
      </c>
      <c r="T93" s="149">
        <v>4482</v>
      </c>
      <c r="U93" s="149">
        <v>5030</v>
      </c>
    </row>
    <row r="94" spans="18:21" x14ac:dyDescent="0.3">
      <c r="R94" s="150">
        <v>91</v>
      </c>
      <c r="S94" s="153" t="s">
        <v>223</v>
      </c>
      <c r="T94" s="150">
        <v>4569</v>
      </c>
      <c r="U94" s="156">
        <v>5031</v>
      </c>
    </row>
    <row r="95" spans="18:21" x14ac:dyDescent="0.3">
      <c r="R95" s="150">
        <v>92</v>
      </c>
      <c r="S95" s="153" t="s">
        <v>224</v>
      </c>
      <c r="T95" s="150">
        <v>4658</v>
      </c>
      <c r="U95" s="150">
        <v>5031</v>
      </c>
    </row>
    <row r="96" spans="18:21" x14ac:dyDescent="0.3">
      <c r="R96" s="150">
        <v>93</v>
      </c>
      <c r="S96" s="153" t="s">
        <v>225</v>
      </c>
      <c r="T96" s="150">
        <v>4748</v>
      </c>
      <c r="U96" s="150">
        <v>5031</v>
      </c>
    </row>
    <row r="97" spans="18:21" x14ac:dyDescent="0.3">
      <c r="R97" s="150">
        <v>94</v>
      </c>
      <c r="S97" s="153" t="s">
        <v>226</v>
      </c>
      <c r="T97" s="150">
        <v>4840</v>
      </c>
      <c r="U97" s="156">
        <v>5032</v>
      </c>
    </row>
    <row r="98" spans="18:21" x14ac:dyDescent="0.3">
      <c r="R98" s="150">
        <v>95</v>
      </c>
      <c r="S98" s="153" t="s">
        <v>227</v>
      </c>
      <c r="T98" s="150">
        <v>4934</v>
      </c>
      <c r="U98" s="150">
        <v>5032</v>
      </c>
    </row>
    <row r="99" spans="18:21" x14ac:dyDescent="0.3">
      <c r="R99" s="150">
        <v>96</v>
      </c>
      <c r="S99" s="153" t="s">
        <v>228</v>
      </c>
      <c r="T99" s="150">
        <v>5030</v>
      </c>
      <c r="U99" s="150">
        <v>5032</v>
      </c>
    </row>
    <row r="100" spans="18:21" x14ac:dyDescent="0.3">
      <c r="R100" s="150">
        <v>97</v>
      </c>
      <c r="S100" s="153" t="s">
        <v>229</v>
      </c>
      <c r="T100" s="150">
        <v>5128</v>
      </c>
      <c r="U100" s="156">
        <v>5033</v>
      </c>
    </row>
    <row r="101" spans="18:21" x14ac:dyDescent="0.3">
      <c r="R101" s="150">
        <v>98</v>
      </c>
      <c r="S101" s="153" t="s">
        <v>230</v>
      </c>
      <c r="T101" s="150">
        <v>5227</v>
      </c>
      <c r="U101" s="150">
        <v>5033</v>
      </c>
    </row>
    <row r="102" spans="18:21" x14ac:dyDescent="0.3">
      <c r="R102" s="150">
        <v>99</v>
      </c>
      <c r="S102" s="153" t="s">
        <v>231</v>
      </c>
      <c r="T102" s="150">
        <v>5328</v>
      </c>
      <c r="U102" s="150">
        <v>5033</v>
      </c>
    </row>
    <row r="103" spans="18:21" x14ac:dyDescent="0.3">
      <c r="R103" s="150">
        <v>100</v>
      </c>
      <c r="S103" s="153" t="s">
        <v>232</v>
      </c>
      <c r="T103" s="150">
        <v>5431</v>
      </c>
      <c r="U103" s="156">
        <v>5034</v>
      </c>
    </row>
    <row r="104" spans="18:21" x14ac:dyDescent="0.3">
      <c r="R104" s="149">
        <v>101</v>
      </c>
      <c r="S104" s="154" t="s">
        <v>233</v>
      </c>
      <c r="T104" s="149">
        <v>5536</v>
      </c>
      <c r="U104" s="149">
        <v>5034</v>
      </c>
    </row>
    <row r="105" spans="18:21" x14ac:dyDescent="0.3">
      <c r="R105" s="149">
        <v>102</v>
      </c>
      <c r="S105" s="154" t="s">
        <v>234</v>
      </c>
      <c r="T105" s="149">
        <v>5643</v>
      </c>
      <c r="U105" s="149">
        <v>5034</v>
      </c>
    </row>
    <row r="106" spans="18:21" x14ac:dyDescent="0.3">
      <c r="R106" s="149">
        <v>103</v>
      </c>
      <c r="S106" s="154" t="s">
        <v>235</v>
      </c>
      <c r="T106" s="149">
        <v>5753</v>
      </c>
      <c r="U106" s="156">
        <v>5035</v>
      </c>
    </row>
    <row r="107" spans="18:21" x14ac:dyDescent="0.3">
      <c r="R107" s="149">
        <v>104</v>
      </c>
      <c r="S107" s="154" t="s">
        <v>236</v>
      </c>
      <c r="T107" s="149">
        <v>5865</v>
      </c>
      <c r="U107" s="149">
        <v>5035</v>
      </c>
    </row>
    <row r="108" spans="18:21" x14ac:dyDescent="0.3">
      <c r="R108" s="149">
        <v>105</v>
      </c>
      <c r="S108" s="154" t="s">
        <v>237</v>
      </c>
      <c r="T108" s="149">
        <v>5979</v>
      </c>
      <c r="U108" s="149">
        <v>5035</v>
      </c>
    </row>
    <row r="109" spans="18:21" x14ac:dyDescent="0.3">
      <c r="R109" s="149">
        <v>106</v>
      </c>
      <c r="S109" s="154" t="s">
        <v>238</v>
      </c>
      <c r="T109" s="149">
        <v>6095</v>
      </c>
      <c r="U109" s="156">
        <v>5036</v>
      </c>
    </row>
    <row r="110" spans="18:21" x14ac:dyDescent="0.3">
      <c r="R110" s="149">
        <v>107</v>
      </c>
      <c r="S110" s="154" t="s">
        <v>239</v>
      </c>
      <c r="T110" s="149">
        <v>6213</v>
      </c>
      <c r="U110" s="149">
        <v>5036</v>
      </c>
    </row>
    <row r="111" spans="18:21" x14ac:dyDescent="0.3">
      <c r="R111" s="149">
        <v>108</v>
      </c>
      <c r="S111" s="154" t="s">
        <v>240</v>
      </c>
      <c r="T111" s="149">
        <v>6334</v>
      </c>
      <c r="U111" s="149">
        <v>5036</v>
      </c>
    </row>
    <row r="112" spans="18:21" x14ac:dyDescent="0.3">
      <c r="R112" s="149">
        <v>109</v>
      </c>
      <c r="S112" s="154" t="s">
        <v>241</v>
      </c>
      <c r="T112" s="149">
        <v>6457</v>
      </c>
      <c r="U112" s="156">
        <v>5037</v>
      </c>
    </row>
    <row r="113" spans="18:21" x14ac:dyDescent="0.3">
      <c r="R113" s="149">
        <v>110</v>
      </c>
      <c r="S113" s="154" t="s">
        <v>242</v>
      </c>
      <c r="T113" s="149">
        <v>6582</v>
      </c>
      <c r="U113" s="149">
        <v>5037</v>
      </c>
    </row>
    <row r="114" spans="18:21" x14ac:dyDescent="0.3">
      <c r="R114" s="150">
        <v>111</v>
      </c>
      <c r="S114" s="153" t="s">
        <v>243</v>
      </c>
      <c r="T114" s="150">
        <v>6710</v>
      </c>
      <c r="U114" s="150">
        <v>5037</v>
      </c>
    </row>
    <row r="115" spans="18:21" x14ac:dyDescent="0.3">
      <c r="R115" s="150">
        <v>112</v>
      </c>
      <c r="S115" s="153" t="s">
        <v>244</v>
      </c>
      <c r="T115" s="150">
        <v>6840</v>
      </c>
      <c r="U115" s="156">
        <v>5038</v>
      </c>
    </row>
    <row r="116" spans="18:21" x14ac:dyDescent="0.3">
      <c r="R116" s="150">
        <v>113</v>
      </c>
      <c r="S116" s="153" t="s">
        <v>245</v>
      </c>
      <c r="T116" s="150">
        <v>6973</v>
      </c>
      <c r="U116" s="150">
        <v>5038</v>
      </c>
    </row>
    <row r="117" spans="18:21" x14ac:dyDescent="0.3">
      <c r="R117" s="150">
        <v>114</v>
      </c>
      <c r="S117" s="153" t="s">
        <v>246</v>
      </c>
      <c r="T117" s="150">
        <v>7108</v>
      </c>
      <c r="U117" s="150">
        <v>5038</v>
      </c>
    </row>
    <row r="118" spans="18:21" x14ac:dyDescent="0.3">
      <c r="R118" s="150">
        <v>115</v>
      </c>
      <c r="S118" s="153" t="s">
        <v>247</v>
      </c>
      <c r="T118" s="150">
        <v>7246</v>
      </c>
      <c r="U118" s="156">
        <v>5039</v>
      </c>
    </row>
    <row r="119" spans="18:21" x14ac:dyDescent="0.3">
      <c r="R119" s="150">
        <v>116</v>
      </c>
      <c r="S119" s="153" t="s">
        <v>248</v>
      </c>
      <c r="T119" s="150">
        <v>7387</v>
      </c>
      <c r="U119" s="150">
        <v>5039</v>
      </c>
    </row>
    <row r="120" spans="18:21" x14ac:dyDescent="0.3">
      <c r="R120" s="150">
        <v>117</v>
      </c>
      <c r="S120" s="153" t="s">
        <v>249</v>
      </c>
      <c r="T120" s="150">
        <v>7531</v>
      </c>
      <c r="U120" s="150">
        <v>5039</v>
      </c>
    </row>
    <row r="121" spans="18:21" x14ac:dyDescent="0.3">
      <c r="R121" s="150">
        <v>118</v>
      </c>
      <c r="S121" s="153" t="s">
        <v>250</v>
      </c>
      <c r="T121" s="150">
        <v>7677</v>
      </c>
      <c r="U121" s="156">
        <v>5040</v>
      </c>
    </row>
    <row r="122" spans="18:21" x14ac:dyDescent="0.3">
      <c r="R122" s="150">
        <v>119</v>
      </c>
      <c r="S122" s="153" t="s">
        <v>251</v>
      </c>
      <c r="T122" s="150">
        <v>7826</v>
      </c>
      <c r="U122" s="150">
        <v>5040</v>
      </c>
    </row>
    <row r="123" spans="18:21" x14ac:dyDescent="0.3">
      <c r="R123" s="150">
        <v>120</v>
      </c>
      <c r="S123" s="153" t="s">
        <v>252</v>
      </c>
      <c r="T123" s="150">
        <v>7978</v>
      </c>
      <c r="U123" s="150">
        <v>5040</v>
      </c>
    </row>
    <row r="124" spans="18:21" x14ac:dyDescent="0.3">
      <c r="R124" s="151">
        <v>121</v>
      </c>
      <c r="S124" s="155" t="s">
        <v>253</v>
      </c>
      <c r="T124" s="157">
        <v>8133</v>
      </c>
      <c r="U124" s="158">
        <v>5041</v>
      </c>
    </row>
    <row r="125" spans="18:21" x14ac:dyDescent="0.3">
      <c r="R125" s="151">
        <v>122</v>
      </c>
      <c r="S125" s="155" t="s">
        <v>254</v>
      </c>
      <c r="T125" s="157">
        <v>8291</v>
      </c>
      <c r="U125" s="158">
        <v>5041</v>
      </c>
    </row>
    <row r="126" spans="18:21" x14ac:dyDescent="0.3">
      <c r="R126" s="151">
        <v>123</v>
      </c>
      <c r="S126" s="155" t="s">
        <v>255</v>
      </c>
      <c r="T126" s="157">
        <v>8452</v>
      </c>
      <c r="U126" s="158">
        <v>5041</v>
      </c>
    </row>
    <row r="127" spans="18:21" x14ac:dyDescent="0.3">
      <c r="R127" s="151">
        <v>124</v>
      </c>
      <c r="S127" s="155" t="s">
        <v>256</v>
      </c>
      <c r="T127" s="157">
        <v>8616</v>
      </c>
      <c r="U127" s="158">
        <v>5042</v>
      </c>
    </row>
    <row r="128" spans="18:21" x14ac:dyDescent="0.3">
      <c r="R128" s="151">
        <v>125</v>
      </c>
      <c r="S128" s="155" t="s">
        <v>257</v>
      </c>
      <c r="T128" s="157">
        <v>8784</v>
      </c>
      <c r="U128" s="158">
        <v>5042</v>
      </c>
    </row>
    <row r="129" spans="18:21" x14ac:dyDescent="0.3">
      <c r="R129" s="151">
        <v>126</v>
      </c>
      <c r="S129" s="155" t="s">
        <v>258</v>
      </c>
      <c r="T129" s="157">
        <v>8955</v>
      </c>
      <c r="U129" s="158">
        <v>5042</v>
      </c>
    </row>
    <row r="130" spans="18:21" x14ac:dyDescent="0.3">
      <c r="R130" s="151">
        <v>127</v>
      </c>
      <c r="S130" s="155" t="s">
        <v>259</v>
      </c>
      <c r="T130" s="157">
        <v>9129</v>
      </c>
      <c r="U130" s="158">
        <v>5043</v>
      </c>
    </row>
    <row r="131" spans="18:21" x14ac:dyDescent="0.3">
      <c r="R131" s="151">
        <v>128</v>
      </c>
      <c r="S131" s="155" t="s">
        <v>260</v>
      </c>
      <c r="T131" s="157">
        <v>9307</v>
      </c>
      <c r="U131" s="158">
        <v>5043</v>
      </c>
    </row>
    <row r="132" spans="18:21" x14ac:dyDescent="0.3">
      <c r="R132" s="151">
        <v>129</v>
      </c>
      <c r="S132" s="155" t="s">
        <v>261</v>
      </c>
      <c r="T132" s="157">
        <v>9488</v>
      </c>
      <c r="U132" s="158">
        <v>5043</v>
      </c>
    </row>
    <row r="133" spans="18:21" x14ac:dyDescent="0.3">
      <c r="R133" s="151">
        <v>130</v>
      </c>
      <c r="S133" s="155" t="s">
        <v>262</v>
      </c>
      <c r="T133" s="157">
        <v>9673</v>
      </c>
      <c r="U133" s="158">
        <v>5043</v>
      </c>
    </row>
  </sheetData>
  <mergeCells count="3">
    <mergeCell ref="J3:J4"/>
    <mergeCell ref="P3:P4"/>
    <mergeCell ref="K3:O3"/>
  </mergeCells>
  <phoneticPr fontId="3" type="noConversion"/>
  <pageMargins left="0.7" right="0.7" top="0.75" bottom="0.75" header="0.3" footer="0.3"/>
  <ignoredErrors>
    <ignoredError sqref="G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7"/>
  <sheetViews>
    <sheetView workbookViewId="0"/>
  </sheetViews>
  <sheetFormatPr defaultRowHeight="16.5" x14ac:dyDescent="0.3"/>
  <cols>
    <col min="2" max="2" width="26.5" customWidth="1"/>
    <col min="3" max="9" width="18.625" customWidth="1"/>
    <col min="16" max="16" width="14.125" customWidth="1"/>
  </cols>
  <sheetData>
    <row r="2" spans="2:15" x14ac:dyDescent="0.3">
      <c r="B2" s="7" t="s">
        <v>277</v>
      </c>
    </row>
    <row r="3" spans="2:15" x14ac:dyDescent="0.3">
      <c r="B3" s="6" t="s">
        <v>12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9</v>
      </c>
      <c r="H3" s="4" t="s">
        <v>7</v>
      </c>
      <c r="J3" s="7" t="s">
        <v>295</v>
      </c>
    </row>
    <row r="4" spans="2:15" ht="17.25" x14ac:dyDescent="0.3">
      <c r="B4" s="4" t="s">
        <v>276</v>
      </c>
      <c r="C4" s="5">
        <f>HLOOKUP(C$3,'일일 열쇠 획득'!$H$2:$L$9,8,FALSE)</f>
        <v>882</v>
      </c>
      <c r="D4" s="5">
        <f>HLOOKUP(D$3,'일일 열쇠 획득'!$H$2:$L$9,8,FALSE)</f>
        <v>994.59999999999991</v>
      </c>
      <c r="E4" s="5">
        <f>HLOOKUP(E$3,'일일 열쇠 획득'!$H$2:$L$9,8,FALSE)</f>
        <v>1107.2</v>
      </c>
      <c r="F4" s="5">
        <f>HLOOKUP(F$3,'일일 열쇠 획득'!$H$2:$L$9,8,FALSE)</f>
        <v>1276.0999999999999</v>
      </c>
      <c r="G4" s="5">
        <f>AVERAGE(C4:F4)</f>
        <v>1064.9749999999999</v>
      </c>
      <c r="H4" s="5">
        <f>HLOOKUP(H$3,'일일 열쇠 획득'!$H$2:$L$9,8,FALSE)</f>
        <v>1445</v>
      </c>
      <c r="J4" s="207" t="s">
        <v>296</v>
      </c>
      <c r="K4" s="209" t="s">
        <v>105</v>
      </c>
      <c r="L4" s="210"/>
      <c r="M4" s="210"/>
      <c r="N4" s="211"/>
      <c r="O4" s="207" t="s">
        <v>297</v>
      </c>
    </row>
    <row r="5" spans="2:15" ht="17.25" x14ac:dyDescent="0.3">
      <c r="B5" s="4" t="s">
        <v>10</v>
      </c>
      <c r="C5" s="5">
        <f>VLOOKUP(C$3,$C$18:$H$22,6,FALSE)</f>
        <v>6445.1376000000009</v>
      </c>
      <c r="D5" s="5">
        <f t="shared" ref="D5:F5" si="0">VLOOKUP(D$3,$C$18:$H$22,6,FALSE)</f>
        <v>6857.5636800000002</v>
      </c>
      <c r="E5" s="5">
        <f t="shared" si="0"/>
        <v>7269.9897600000004</v>
      </c>
      <c r="F5" s="5">
        <f t="shared" si="0"/>
        <v>8123.8528799999995</v>
      </c>
      <c r="G5" s="5">
        <f>AVERAGE(C5:F5)</f>
        <v>7174.13598</v>
      </c>
      <c r="H5" s="5">
        <f>VLOOKUP(H$3,$C$18:$H$22,6,FALSE)</f>
        <v>8507.268</v>
      </c>
      <c r="J5" s="208"/>
      <c r="K5" s="118">
        <v>1</v>
      </c>
      <c r="L5" s="118">
        <v>2</v>
      </c>
      <c r="M5" s="118">
        <v>3</v>
      </c>
      <c r="N5" s="118">
        <v>4</v>
      </c>
      <c r="O5" s="208"/>
    </row>
    <row r="6" spans="2:15" ht="17.25" x14ac:dyDescent="0.3">
      <c r="B6" s="4" t="s">
        <v>11</v>
      </c>
      <c r="C6" s="5">
        <f>VLOOKUP(C$3,$C$18:$I$22,7,FALSE)*VLOOKUP(C$3,$C$18:$I$22,4,FALSE)</f>
        <v>126588</v>
      </c>
      <c r="D6" s="5">
        <f t="shared" ref="D6:H6" si="1">VLOOKUP(D$3,$C$18:$I$22,7,FALSE)*VLOOKUP(D$3,$C$18:$I$22,4,FALSE)</f>
        <v>134688.4</v>
      </c>
      <c r="E6" s="5">
        <f t="shared" si="1"/>
        <v>142788.79999999999</v>
      </c>
      <c r="F6" s="5">
        <f t="shared" si="1"/>
        <v>159559.39999999997</v>
      </c>
      <c r="G6" s="5">
        <f>AVERAGE(C6:F6)</f>
        <v>140906.14999999997</v>
      </c>
      <c r="H6" s="5">
        <f t="shared" si="1"/>
        <v>167090</v>
      </c>
      <c r="J6" s="110">
        <v>1</v>
      </c>
      <c r="K6" s="182">
        <f>90-M6-L6</f>
        <v>89.8</v>
      </c>
      <c r="L6" s="182">
        <v>0.2</v>
      </c>
      <c r="M6" s="182"/>
      <c r="N6" s="182"/>
      <c r="O6" s="183">
        <f>($K6*'강화 정수 정보'!$P$5+$L6*'강화 정수 정보'!$P$6+$M6*'강화 정수 정보'!$P$7+$N6*'강화 정수 정보'!$P$8)/100</f>
        <v>10.835999999999999</v>
      </c>
    </row>
    <row r="7" spans="2:15" x14ac:dyDescent="0.3">
      <c r="B7" s="1"/>
      <c r="C7" s="1"/>
      <c r="D7" s="1"/>
      <c r="E7" s="1"/>
      <c r="F7" s="1"/>
      <c r="G7" s="1"/>
      <c r="H7" s="1"/>
      <c r="I7" s="1"/>
      <c r="J7" s="110">
        <v>2</v>
      </c>
      <c r="K7" s="182">
        <f t="shared" ref="K7:K13" si="2">90-M7-L7</f>
        <v>89</v>
      </c>
      <c r="L7" s="182">
        <v>1</v>
      </c>
      <c r="M7" s="182"/>
      <c r="N7" s="182"/>
      <c r="O7" s="183">
        <f>($K7*'강화 정수 정보'!$P$5+$L7*'강화 정수 정보'!$P$6+$M7*'강화 정수 정보'!$P$7+$N7*'강화 정수 정보'!$P$8)/100</f>
        <v>10.98</v>
      </c>
    </row>
    <row r="8" spans="2:15" x14ac:dyDescent="0.3">
      <c r="B8" s="6" t="s">
        <v>13</v>
      </c>
      <c r="C8" s="4" t="s">
        <v>3</v>
      </c>
      <c r="D8" s="4" t="s">
        <v>4</v>
      </c>
      <c r="E8" s="4" t="s">
        <v>5</v>
      </c>
      <c r="F8" s="4" t="s">
        <v>6</v>
      </c>
      <c r="G8" s="4" t="s">
        <v>9</v>
      </c>
      <c r="H8" s="4" t="s">
        <v>7</v>
      </c>
      <c r="J8" s="110">
        <v>3</v>
      </c>
      <c r="K8" s="182">
        <f t="shared" si="2"/>
        <v>86</v>
      </c>
      <c r="L8" s="182">
        <v>4</v>
      </c>
      <c r="M8" s="182"/>
      <c r="N8" s="182"/>
      <c r="O8" s="183">
        <f>($K8*'강화 정수 정보'!$P$5+$L8*'강화 정수 정보'!$P$6+$M8*'강화 정수 정보'!$P$7+$N8*'강화 정수 정보'!$P$8)/100</f>
        <v>11.52</v>
      </c>
    </row>
    <row r="9" spans="2:15" ht="17.25" x14ac:dyDescent="0.3">
      <c r="B9" s="4" t="s">
        <v>276</v>
      </c>
      <c r="C9" s="5">
        <f>HLOOKUP(C$3,'일일 열쇠 획득'!$H$2:$L$9,8,FALSE)</f>
        <v>882</v>
      </c>
      <c r="D9" s="5">
        <f>HLOOKUP(D$3,'일일 열쇠 획득'!$H$2:$L$9,8,FALSE)</f>
        <v>994.59999999999991</v>
      </c>
      <c r="E9" s="5">
        <f>HLOOKUP(E$3,'일일 열쇠 획득'!$H$2:$L$9,8,FALSE)</f>
        <v>1107.2</v>
      </c>
      <c r="F9" s="5">
        <f>HLOOKUP(F$3,'일일 열쇠 획득'!$H$2:$L$9,8,FALSE)</f>
        <v>1276.0999999999999</v>
      </c>
      <c r="G9" s="5">
        <f>AVERAGE(C9:F9)</f>
        <v>1064.9749999999999</v>
      </c>
      <c r="H9" s="5">
        <f>HLOOKUP(H$3,'일일 열쇠 획득'!$H$2:$L$9,8,FALSE)</f>
        <v>1445</v>
      </c>
      <c r="J9" s="110">
        <v>4</v>
      </c>
      <c r="K9" s="182">
        <f t="shared" si="2"/>
        <v>80.8</v>
      </c>
      <c r="L9" s="182">
        <v>9</v>
      </c>
      <c r="M9" s="182">
        <v>0.2</v>
      </c>
      <c r="N9" s="182"/>
      <c r="O9" s="183">
        <f>($K9*'강화 정수 정보'!$P$5+$L9*'강화 정수 정보'!$P$6+$M9*'강화 정수 정보'!$P$7+$N9*'강화 정수 정보'!$P$8)/100</f>
        <v>12.57</v>
      </c>
    </row>
    <row r="10" spans="2:15" ht="17.25" x14ac:dyDescent="0.3">
      <c r="B10" s="4" t="s">
        <v>10</v>
      </c>
      <c r="C10" s="5">
        <f>VLOOKUP(C$3,$C$23:$H$27,6,FALSE)</f>
        <v>5984.982</v>
      </c>
      <c r="D10" s="5">
        <f t="shared" ref="D10:F10" si="3">VLOOKUP(D$3,$C$23:$H$27,6,FALSE)</f>
        <v>6367.9625999999998</v>
      </c>
      <c r="E10" s="5">
        <f t="shared" si="3"/>
        <v>6750.9431999999997</v>
      </c>
      <c r="F10" s="5">
        <f t="shared" si="3"/>
        <v>7543.8440999999993</v>
      </c>
      <c r="G10" s="5">
        <f>AVERAGE(C10:F10)</f>
        <v>6661.9329749999988</v>
      </c>
      <c r="H10" s="5">
        <f>VLOOKUP(H$3,$C$23:$H$27,6,FALSE)</f>
        <v>7899.8850000000002</v>
      </c>
      <c r="J10" s="110">
        <v>5</v>
      </c>
      <c r="K10" s="182">
        <f t="shared" si="2"/>
        <v>73</v>
      </c>
      <c r="L10" s="182">
        <v>16</v>
      </c>
      <c r="M10" s="182">
        <v>1</v>
      </c>
      <c r="N10" s="182"/>
      <c r="O10" s="183">
        <f>($K10*'강화 정수 정보'!$P$5+$L10*'강화 정수 정보'!$P$6+$M10*'강화 정수 정보'!$P$7+$N10*'강화 정수 정보'!$P$8)/100</f>
        <v>14.43</v>
      </c>
    </row>
    <row r="11" spans="2:15" ht="17.25" x14ac:dyDescent="0.3">
      <c r="B11" s="4" t="s">
        <v>11</v>
      </c>
      <c r="C11" s="5">
        <f>VLOOKUP(C$3,$C$23:$I$27,7,FALSE)*VLOOKUP(C$3,$C$23:$I$27,4,FALSE)</f>
        <v>141795</v>
      </c>
      <c r="D11" s="5">
        <f t="shared" ref="D11:F11" si="4">VLOOKUP(D$3,$C$23:$I$27,7,FALSE)*VLOOKUP(D$3,$C$23:$I$27,4,FALSE)</f>
        <v>150868.49999999997</v>
      </c>
      <c r="E11" s="5">
        <f t="shared" si="4"/>
        <v>159942</v>
      </c>
      <c r="F11" s="5">
        <f t="shared" si="4"/>
        <v>178727.24999999997</v>
      </c>
      <c r="G11" s="5">
        <f>AVERAGE(C11:F11)</f>
        <v>157833.1875</v>
      </c>
      <c r="H11" s="5">
        <f>VLOOKUP(H$3,$C$23:$I$27,7,FALSE)*VLOOKUP(H$3,$C$23:$I$27,4,FALSE)</f>
        <v>187162.5</v>
      </c>
      <c r="J11" s="110">
        <v>6</v>
      </c>
      <c r="K11" s="182">
        <f t="shared" si="2"/>
        <v>61</v>
      </c>
      <c r="L11" s="182">
        <v>26</v>
      </c>
      <c r="M11" s="182">
        <v>3</v>
      </c>
      <c r="N11" s="182"/>
      <c r="O11" s="183">
        <f>($K11*'강화 정수 정보'!$P$5+$L11*'강화 정수 정보'!$P$6+$M11*'강화 정수 정보'!$P$7+$N11*'강화 정수 정보'!$P$8)/100</f>
        <v>17.73</v>
      </c>
    </row>
    <row r="12" spans="2:15" x14ac:dyDescent="0.3">
      <c r="B12" s="141" t="s">
        <v>275</v>
      </c>
      <c r="J12" s="110">
        <v>7</v>
      </c>
      <c r="K12" s="182">
        <f t="shared" si="2"/>
        <v>48</v>
      </c>
      <c r="L12" s="182">
        <v>36</v>
      </c>
      <c r="M12" s="182">
        <v>6</v>
      </c>
      <c r="N12" s="182"/>
      <c r="O12" s="183">
        <f>($K12*'강화 정수 정보'!$P$5+$L12*'강화 정수 정보'!$P$6+$M12*'강화 정수 정보'!$P$7+$N12*'강화 정수 정보'!$P$8)/100</f>
        <v>21.78</v>
      </c>
    </row>
    <row r="13" spans="2:15" x14ac:dyDescent="0.3">
      <c r="B13" s="141" t="s">
        <v>278</v>
      </c>
      <c r="J13" s="110">
        <v>8</v>
      </c>
      <c r="K13" s="182">
        <f t="shared" si="2"/>
        <v>50</v>
      </c>
      <c r="L13" s="182">
        <v>29</v>
      </c>
      <c r="M13" s="182">
        <v>11</v>
      </c>
      <c r="N13" s="182"/>
      <c r="O13" s="183">
        <f>($K13*'강화 정수 정보'!$P$5+$L13*'강화 정수 정보'!$P$6+$M13*'강화 정수 정보'!$P$7+$N13*'강화 정수 정보'!$P$8)/100</f>
        <v>24.27</v>
      </c>
    </row>
    <row r="14" spans="2:15" x14ac:dyDescent="0.3">
      <c r="B14" s="141" t="s">
        <v>279</v>
      </c>
    </row>
    <row r="16" spans="2:15" x14ac:dyDescent="0.3">
      <c r="B16" s="7" t="s">
        <v>282</v>
      </c>
    </row>
    <row r="17" spans="2:15" x14ac:dyDescent="0.3">
      <c r="B17" s="4" t="s">
        <v>283</v>
      </c>
      <c r="C17" s="4" t="s">
        <v>289</v>
      </c>
      <c r="D17" s="4" t="s">
        <v>284</v>
      </c>
      <c r="E17" s="4" t="s">
        <v>285</v>
      </c>
      <c r="F17" s="4" t="s">
        <v>286</v>
      </c>
      <c r="G17" s="4" t="s">
        <v>287</v>
      </c>
      <c r="H17" s="4" t="s">
        <v>288</v>
      </c>
      <c r="I17" s="4" t="s">
        <v>298</v>
      </c>
    </row>
    <row r="18" spans="2:15" x14ac:dyDescent="0.3">
      <c r="B18" s="170" t="s">
        <v>280</v>
      </c>
      <c r="C18" s="180" t="s">
        <v>290</v>
      </c>
      <c r="D18" s="180">
        <v>7</v>
      </c>
      <c r="E18" s="171">
        <v>5</v>
      </c>
      <c r="F18" s="172">
        <f>(HLOOKUP($C18,$C$3:$H$4,2,FALSE)-HLOOKUP($C18,'균열 던전 강화 정수 및 골드 획득'!$C$3:$H$4,2,FALSE))/$E18</f>
        <v>164.4</v>
      </c>
      <c r="G18" s="173">
        <v>1.8</v>
      </c>
      <c r="H18" s="174">
        <f>VLOOKUP($D18,$J$6:$O$13,6,FALSE)*$F18*$G18</f>
        <v>6445.1376000000009</v>
      </c>
      <c r="I18" s="149">
        <v>770</v>
      </c>
    </row>
    <row r="19" spans="2:15" x14ac:dyDescent="0.3">
      <c r="B19" s="170" t="s">
        <v>280</v>
      </c>
      <c r="C19" s="180" t="s">
        <v>291</v>
      </c>
      <c r="D19" s="180">
        <v>7</v>
      </c>
      <c r="E19" s="171">
        <v>5</v>
      </c>
      <c r="F19" s="172">
        <f>(HLOOKUP($C19,$C$3:$H$4,2,FALSE)-HLOOKUP($C19,'균열 던전 강화 정수 및 골드 획득'!$C$3:$H$4,2,FALSE))/$E19</f>
        <v>174.92</v>
      </c>
      <c r="G19" s="173">
        <v>1.8</v>
      </c>
      <c r="H19" s="174">
        <f t="shared" ref="H19:H27" si="5">VLOOKUP($D19,$J$6:$O$13,6,FALSE)*$F19*$G19</f>
        <v>6857.5636800000002</v>
      </c>
      <c r="I19" s="149">
        <v>770</v>
      </c>
    </row>
    <row r="20" spans="2:15" x14ac:dyDescent="0.3">
      <c r="B20" s="170" t="s">
        <v>280</v>
      </c>
      <c r="C20" s="180" t="s">
        <v>292</v>
      </c>
      <c r="D20" s="180">
        <v>7</v>
      </c>
      <c r="E20" s="171">
        <v>5</v>
      </c>
      <c r="F20" s="172">
        <f>(HLOOKUP($C20,$C$3:$H$4,2,FALSE)-HLOOKUP($C20,'균열 던전 강화 정수 및 골드 획득'!$C$3:$H$4,2,FALSE))/$E20</f>
        <v>185.44</v>
      </c>
      <c r="G20" s="173">
        <v>1.8</v>
      </c>
      <c r="H20" s="174">
        <f t="shared" si="5"/>
        <v>7269.9897600000004</v>
      </c>
      <c r="I20" s="149">
        <v>770</v>
      </c>
      <c r="O20" s="149">
        <v>770</v>
      </c>
    </row>
    <row r="21" spans="2:15" x14ac:dyDescent="0.3">
      <c r="B21" s="170" t="s">
        <v>280</v>
      </c>
      <c r="C21" s="180" t="s">
        <v>293</v>
      </c>
      <c r="D21" s="180">
        <v>7</v>
      </c>
      <c r="E21" s="171">
        <v>5</v>
      </c>
      <c r="F21" s="172">
        <f>(HLOOKUP($C21,$C$3:$H$4,2,FALSE)-HLOOKUP($C21,'균열 던전 강화 정수 및 골드 획득'!$C$3:$H$4,2,FALSE))/$E21</f>
        <v>207.21999999999997</v>
      </c>
      <c r="G21" s="173">
        <v>1.8</v>
      </c>
      <c r="H21" s="174">
        <f t="shared" si="5"/>
        <v>8123.8528799999995</v>
      </c>
      <c r="I21" s="149">
        <v>770</v>
      </c>
      <c r="O21" s="184">
        <v>1035</v>
      </c>
    </row>
    <row r="22" spans="2:15" x14ac:dyDescent="0.3">
      <c r="B22" s="170" t="s">
        <v>280</v>
      </c>
      <c r="C22" s="180" t="s">
        <v>294</v>
      </c>
      <c r="D22" s="180">
        <v>7</v>
      </c>
      <c r="E22" s="171">
        <v>5</v>
      </c>
      <c r="F22" s="172">
        <f>(HLOOKUP($C22,$C$3:$H$4,2,FALSE)-HLOOKUP($C22,'균열 던전 강화 정수 및 골드 획득'!$C$3:$H$4,2,FALSE))/$E22</f>
        <v>217</v>
      </c>
      <c r="G22" s="173">
        <v>1.8</v>
      </c>
      <c r="H22" s="174">
        <f t="shared" si="5"/>
        <v>8507.268</v>
      </c>
      <c r="I22" s="149">
        <v>770</v>
      </c>
    </row>
    <row r="23" spans="2:15" x14ac:dyDescent="0.3">
      <c r="B23" s="175" t="s">
        <v>281</v>
      </c>
      <c r="C23" s="181" t="s">
        <v>117</v>
      </c>
      <c r="D23" s="181">
        <v>8</v>
      </c>
      <c r="E23" s="176">
        <v>6</v>
      </c>
      <c r="F23" s="177">
        <f>(HLOOKUP($C23,$C$3:$H$4,2,FALSE)-HLOOKUP($C23,'균열 던전 강화 정수 및 골드 획득'!$C$3:$H$4,2,FALSE))/$E23</f>
        <v>137</v>
      </c>
      <c r="G23" s="178">
        <v>1.8</v>
      </c>
      <c r="H23" s="179">
        <f t="shared" si="5"/>
        <v>5984.982</v>
      </c>
      <c r="I23" s="184">
        <v>1035</v>
      </c>
    </row>
    <row r="24" spans="2:15" x14ac:dyDescent="0.3">
      <c r="B24" s="175" t="s">
        <v>281</v>
      </c>
      <c r="C24" s="181" t="s">
        <v>119</v>
      </c>
      <c r="D24" s="181">
        <v>8</v>
      </c>
      <c r="E24" s="176">
        <v>6</v>
      </c>
      <c r="F24" s="177">
        <f>(HLOOKUP($C24,$C$3:$H$4,2,FALSE)-HLOOKUP($C24,'균열 던전 강화 정수 및 골드 획득'!$C$3:$H$4,2,FALSE))/$E24</f>
        <v>145.76666666666665</v>
      </c>
      <c r="G24" s="178">
        <v>1.8</v>
      </c>
      <c r="H24" s="179">
        <f t="shared" si="5"/>
        <v>6367.9625999999998</v>
      </c>
      <c r="I24" s="184">
        <v>1035</v>
      </c>
    </row>
    <row r="25" spans="2:15" x14ac:dyDescent="0.3">
      <c r="B25" s="175" t="s">
        <v>281</v>
      </c>
      <c r="C25" s="181" t="s">
        <v>121</v>
      </c>
      <c r="D25" s="181">
        <v>8</v>
      </c>
      <c r="E25" s="176">
        <v>6</v>
      </c>
      <c r="F25" s="177">
        <f>(HLOOKUP($C25,$C$3:$H$4,2,FALSE)-HLOOKUP($C25,'균열 던전 강화 정수 및 골드 획득'!$C$3:$H$4,2,FALSE))/$E25</f>
        <v>154.53333333333333</v>
      </c>
      <c r="G25" s="178">
        <v>1.8</v>
      </c>
      <c r="H25" s="179">
        <f t="shared" si="5"/>
        <v>6750.9431999999997</v>
      </c>
      <c r="I25" s="184">
        <v>1035</v>
      </c>
    </row>
    <row r="26" spans="2:15" x14ac:dyDescent="0.3">
      <c r="B26" s="175" t="s">
        <v>281</v>
      </c>
      <c r="C26" s="181" t="s">
        <v>123</v>
      </c>
      <c r="D26" s="181">
        <v>8</v>
      </c>
      <c r="E26" s="176">
        <v>6</v>
      </c>
      <c r="F26" s="177">
        <f>(HLOOKUP($C26,$C$3:$H$4,2,FALSE)-HLOOKUP($C26,'균열 던전 강화 정수 및 골드 획득'!$C$3:$H$4,2,FALSE))/$E26</f>
        <v>172.68333333333331</v>
      </c>
      <c r="G26" s="178">
        <v>1.8</v>
      </c>
      <c r="H26" s="179">
        <f t="shared" si="5"/>
        <v>7543.8440999999993</v>
      </c>
      <c r="I26" s="184">
        <v>1035</v>
      </c>
    </row>
    <row r="27" spans="2:15" x14ac:dyDescent="0.3">
      <c r="B27" s="175" t="s">
        <v>281</v>
      </c>
      <c r="C27" s="181" t="s">
        <v>294</v>
      </c>
      <c r="D27" s="181">
        <v>8</v>
      </c>
      <c r="E27" s="176">
        <v>6</v>
      </c>
      <c r="F27" s="177">
        <f>(HLOOKUP($C27,$C$3:$H$4,2,FALSE)-HLOOKUP($C27,'균열 던전 강화 정수 및 골드 획득'!$C$3:$H$4,2,FALSE))/$E27</f>
        <v>180.83333333333334</v>
      </c>
      <c r="G27" s="178">
        <v>1.8</v>
      </c>
      <c r="H27" s="179">
        <f t="shared" si="5"/>
        <v>7899.8850000000002</v>
      </c>
      <c r="I27" s="184">
        <v>1035</v>
      </c>
    </row>
  </sheetData>
  <mergeCells count="3">
    <mergeCell ref="J4:J5"/>
    <mergeCell ref="K4:N4"/>
    <mergeCell ref="O4:O5"/>
  </mergeCells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4"/>
  <sheetViews>
    <sheetView workbookViewId="0"/>
  </sheetViews>
  <sheetFormatPr defaultRowHeight="16.5" x14ac:dyDescent="0.3"/>
  <sheetData>
    <row r="2" spans="2:17" x14ac:dyDescent="0.3">
      <c r="B2" s="7" t="s">
        <v>113</v>
      </c>
      <c r="I2" s="1"/>
      <c r="M2" s="7" t="s">
        <v>104</v>
      </c>
    </row>
    <row r="3" spans="2:17" x14ac:dyDescent="0.3">
      <c r="B3" s="116"/>
      <c r="C3" s="117">
        <v>1</v>
      </c>
      <c r="D3" s="117">
        <v>2</v>
      </c>
      <c r="E3" s="117">
        <v>3</v>
      </c>
      <c r="F3" s="117">
        <v>4</v>
      </c>
      <c r="G3" s="117">
        <v>5</v>
      </c>
      <c r="H3" s="117">
        <v>6</v>
      </c>
      <c r="I3" s="117">
        <v>7</v>
      </c>
      <c r="K3" s="118" t="s">
        <v>111</v>
      </c>
      <c r="M3" s="207" t="s">
        <v>106</v>
      </c>
      <c r="N3" s="207" t="s">
        <v>107</v>
      </c>
      <c r="O3" s="212" t="s">
        <v>108</v>
      </c>
      <c r="P3" s="212" t="s">
        <v>109</v>
      </c>
      <c r="Q3" s="207" t="s">
        <v>110</v>
      </c>
    </row>
    <row r="4" spans="2:17" x14ac:dyDescent="0.3">
      <c r="B4" s="117">
        <v>0</v>
      </c>
      <c r="C4" s="112">
        <v>5</v>
      </c>
      <c r="D4" s="112">
        <f t="shared" ref="D4:I4" si="0">INT(C4+(C4*$K$4))*INT(D3/7+1)</f>
        <v>12</v>
      </c>
      <c r="E4" s="112">
        <f t="shared" si="0"/>
        <v>30</v>
      </c>
      <c r="F4" s="112">
        <f t="shared" si="0"/>
        <v>75</v>
      </c>
      <c r="G4" s="112">
        <f t="shared" si="0"/>
        <v>187</v>
      </c>
      <c r="H4" s="112">
        <f t="shared" si="0"/>
        <v>467</v>
      </c>
      <c r="I4" s="112">
        <f t="shared" si="0"/>
        <v>2334</v>
      </c>
      <c r="K4" s="119">
        <v>1.5</v>
      </c>
      <c r="M4" s="208"/>
      <c r="N4" s="208"/>
      <c r="O4" s="213"/>
      <c r="P4" s="213"/>
      <c r="Q4" s="208"/>
    </row>
    <row r="5" spans="2:17" x14ac:dyDescent="0.3">
      <c r="B5" s="117">
        <v>1</v>
      </c>
      <c r="C5" s="112">
        <f t="shared" ref="C5:C23" si="1">INT($C$4+($C$4*$K$5))+($B4+1)</f>
        <v>6</v>
      </c>
      <c r="D5" s="112">
        <f t="shared" ref="D5:D23" si="2">INT($D$4+($D$4*$K$5))+($B4+1)</f>
        <v>13</v>
      </c>
      <c r="E5" s="112">
        <f t="shared" ref="E5:E23" si="3">INT($E$4+($E$4*$K$5))+($B4+1)</f>
        <v>31</v>
      </c>
      <c r="F5" s="112">
        <f t="shared" ref="F5:F23" si="4">INT($F$4+($F$4*$K$5))+($B4+1)</f>
        <v>76</v>
      </c>
      <c r="G5" s="112">
        <f t="shared" ref="G5:G23" si="5">INT($G$4+($G$4*$K$5))+($B4+1)</f>
        <v>189</v>
      </c>
      <c r="H5" s="112">
        <f t="shared" ref="H5:H23" si="6">INT($H$4+($H$4*$K$5))+($B4+1)</f>
        <v>472</v>
      </c>
      <c r="I5" s="112">
        <f t="shared" ref="I5:I23" si="7">INT($I$4+($I$4*$K$5))+($B4+1)</f>
        <v>2358</v>
      </c>
      <c r="K5" s="120">
        <v>0.01</v>
      </c>
      <c r="M5" s="110">
        <v>1</v>
      </c>
      <c r="N5" s="111">
        <f>C24</f>
        <v>290</v>
      </c>
      <c r="O5" s="112"/>
      <c r="P5" s="113">
        <f t="shared" ref="P5:P11" si="8">INT(N5/Q5)</f>
        <v>12</v>
      </c>
      <c r="Q5" s="114">
        <v>23</v>
      </c>
    </row>
    <row r="6" spans="2:17" x14ac:dyDescent="0.3">
      <c r="B6" s="117">
        <v>2</v>
      </c>
      <c r="C6" s="112">
        <f t="shared" si="1"/>
        <v>7</v>
      </c>
      <c r="D6" s="112">
        <f t="shared" si="2"/>
        <v>14</v>
      </c>
      <c r="E6" s="112">
        <f t="shared" si="3"/>
        <v>32</v>
      </c>
      <c r="F6" s="112">
        <f t="shared" si="4"/>
        <v>77</v>
      </c>
      <c r="G6" s="112">
        <f t="shared" si="5"/>
        <v>190</v>
      </c>
      <c r="H6" s="112">
        <f t="shared" si="6"/>
        <v>473</v>
      </c>
      <c r="I6" s="112">
        <f t="shared" si="7"/>
        <v>2359</v>
      </c>
      <c r="M6" s="110">
        <v>2</v>
      </c>
      <c r="N6" s="111">
        <f>D24</f>
        <v>430</v>
      </c>
      <c r="O6" s="115">
        <f t="shared" ref="O6:O11" si="9">N6/N5</f>
        <v>1.4827586206896552</v>
      </c>
      <c r="P6" s="113">
        <f t="shared" si="8"/>
        <v>30</v>
      </c>
      <c r="Q6" s="114">
        <v>14</v>
      </c>
    </row>
    <row r="7" spans="2:17" x14ac:dyDescent="0.3">
      <c r="B7" s="117">
        <v>3</v>
      </c>
      <c r="C7" s="112">
        <f t="shared" si="1"/>
        <v>8</v>
      </c>
      <c r="D7" s="112">
        <f t="shared" si="2"/>
        <v>15</v>
      </c>
      <c r="E7" s="112">
        <f t="shared" si="3"/>
        <v>33</v>
      </c>
      <c r="F7" s="112">
        <f t="shared" si="4"/>
        <v>78</v>
      </c>
      <c r="G7" s="112">
        <f t="shared" si="5"/>
        <v>191</v>
      </c>
      <c r="H7" s="112">
        <f t="shared" si="6"/>
        <v>474</v>
      </c>
      <c r="I7" s="112">
        <f t="shared" si="7"/>
        <v>2360</v>
      </c>
      <c r="M7" s="110">
        <v>3</v>
      </c>
      <c r="N7" s="111">
        <f>E24</f>
        <v>790</v>
      </c>
      <c r="O7" s="115">
        <f t="shared" si="9"/>
        <v>1.8372093023255813</v>
      </c>
      <c r="P7" s="113">
        <f t="shared" si="8"/>
        <v>87</v>
      </c>
      <c r="Q7" s="114">
        <v>9</v>
      </c>
    </row>
    <row r="8" spans="2:17" x14ac:dyDescent="0.3">
      <c r="B8" s="117">
        <v>4</v>
      </c>
      <c r="C8" s="112">
        <f t="shared" si="1"/>
        <v>9</v>
      </c>
      <c r="D8" s="112">
        <f t="shared" si="2"/>
        <v>16</v>
      </c>
      <c r="E8" s="112">
        <f t="shared" si="3"/>
        <v>34</v>
      </c>
      <c r="F8" s="112">
        <f t="shared" si="4"/>
        <v>79</v>
      </c>
      <c r="G8" s="112">
        <f t="shared" si="5"/>
        <v>192</v>
      </c>
      <c r="H8" s="112">
        <f t="shared" si="6"/>
        <v>475</v>
      </c>
      <c r="I8" s="112">
        <f t="shared" si="7"/>
        <v>2361</v>
      </c>
      <c r="M8" s="110">
        <v>4</v>
      </c>
      <c r="N8" s="111">
        <f>F24</f>
        <v>1690</v>
      </c>
      <c r="O8" s="115">
        <f t="shared" si="9"/>
        <v>2.1392405063291138</v>
      </c>
      <c r="P8" s="113">
        <f t="shared" si="8"/>
        <v>211</v>
      </c>
      <c r="Q8" s="114">
        <v>8</v>
      </c>
    </row>
    <row r="9" spans="2:17" x14ac:dyDescent="0.3">
      <c r="B9" s="117">
        <v>5</v>
      </c>
      <c r="C9" s="112">
        <f t="shared" si="1"/>
        <v>10</v>
      </c>
      <c r="D9" s="112">
        <f t="shared" si="2"/>
        <v>17</v>
      </c>
      <c r="E9" s="112">
        <f t="shared" si="3"/>
        <v>35</v>
      </c>
      <c r="F9" s="112">
        <f t="shared" si="4"/>
        <v>80</v>
      </c>
      <c r="G9" s="112">
        <f t="shared" si="5"/>
        <v>193</v>
      </c>
      <c r="H9" s="112">
        <f t="shared" si="6"/>
        <v>476</v>
      </c>
      <c r="I9" s="112">
        <f t="shared" si="7"/>
        <v>2362</v>
      </c>
      <c r="M9" s="110">
        <v>5</v>
      </c>
      <c r="N9" s="111">
        <f>G24</f>
        <v>3949</v>
      </c>
      <c r="O9" s="115">
        <f t="shared" si="9"/>
        <v>2.3366863905325443</v>
      </c>
      <c r="P9" s="113">
        <f t="shared" si="8"/>
        <v>564</v>
      </c>
      <c r="Q9" s="114">
        <v>7</v>
      </c>
    </row>
    <row r="10" spans="2:17" x14ac:dyDescent="0.3">
      <c r="B10" s="117">
        <v>6</v>
      </c>
      <c r="C10" s="112">
        <f t="shared" si="1"/>
        <v>11</v>
      </c>
      <c r="D10" s="112">
        <f t="shared" si="2"/>
        <v>18</v>
      </c>
      <c r="E10" s="112">
        <f t="shared" si="3"/>
        <v>36</v>
      </c>
      <c r="F10" s="112">
        <f t="shared" si="4"/>
        <v>81</v>
      </c>
      <c r="G10" s="112">
        <f t="shared" si="5"/>
        <v>194</v>
      </c>
      <c r="H10" s="112">
        <f t="shared" si="6"/>
        <v>477</v>
      </c>
      <c r="I10" s="112">
        <f t="shared" si="7"/>
        <v>2363</v>
      </c>
      <c r="M10" s="110">
        <v>6</v>
      </c>
      <c r="N10" s="111">
        <f>H24</f>
        <v>9606</v>
      </c>
      <c r="O10" s="115">
        <f t="shared" si="9"/>
        <v>2.4325145606482654</v>
      </c>
      <c r="P10" s="113">
        <f t="shared" si="8"/>
        <v>1601</v>
      </c>
      <c r="Q10" s="114">
        <v>6</v>
      </c>
    </row>
    <row r="11" spans="2:17" x14ac:dyDescent="0.3">
      <c r="B11" s="117">
        <v>7</v>
      </c>
      <c r="C11" s="112">
        <f t="shared" si="1"/>
        <v>12</v>
      </c>
      <c r="D11" s="112">
        <f t="shared" si="2"/>
        <v>19</v>
      </c>
      <c r="E11" s="112">
        <f t="shared" si="3"/>
        <v>37</v>
      </c>
      <c r="F11" s="112">
        <f t="shared" si="4"/>
        <v>82</v>
      </c>
      <c r="G11" s="112">
        <f t="shared" si="5"/>
        <v>195</v>
      </c>
      <c r="H11" s="112">
        <f t="shared" si="6"/>
        <v>478</v>
      </c>
      <c r="I11" s="112">
        <f t="shared" si="7"/>
        <v>2364</v>
      </c>
      <c r="M11" s="110">
        <v>7</v>
      </c>
      <c r="N11" s="111">
        <f>I24</f>
        <v>47307</v>
      </c>
      <c r="O11" s="115">
        <f t="shared" si="9"/>
        <v>4.9247345409119303</v>
      </c>
      <c r="P11" s="113">
        <f t="shared" si="8"/>
        <v>9461</v>
      </c>
      <c r="Q11" s="114">
        <v>5</v>
      </c>
    </row>
    <row r="12" spans="2:17" x14ac:dyDescent="0.3">
      <c r="B12" s="117">
        <v>8</v>
      </c>
      <c r="C12" s="112">
        <f t="shared" si="1"/>
        <v>13</v>
      </c>
      <c r="D12" s="112">
        <f t="shared" si="2"/>
        <v>20</v>
      </c>
      <c r="E12" s="112">
        <f t="shared" si="3"/>
        <v>38</v>
      </c>
      <c r="F12" s="112">
        <f t="shared" si="4"/>
        <v>83</v>
      </c>
      <c r="G12" s="112">
        <f t="shared" si="5"/>
        <v>196</v>
      </c>
      <c r="H12" s="112">
        <f t="shared" si="6"/>
        <v>479</v>
      </c>
      <c r="I12" s="112">
        <f t="shared" si="7"/>
        <v>2365</v>
      </c>
    </row>
    <row r="13" spans="2:17" x14ac:dyDescent="0.3">
      <c r="B13" s="117">
        <v>9</v>
      </c>
      <c r="C13" s="112">
        <f t="shared" si="1"/>
        <v>14</v>
      </c>
      <c r="D13" s="112">
        <f t="shared" si="2"/>
        <v>21</v>
      </c>
      <c r="E13" s="112">
        <f t="shared" si="3"/>
        <v>39</v>
      </c>
      <c r="F13" s="112">
        <f t="shared" si="4"/>
        <v>84</v>
      </c>
      <c r="G13" s="112">
        <f t="shared" si="5"/>
        <v>197</v>
      </c>
      <c r="H13" s="112">
        <f t="shared" si="6"/>
        <v>480</v>
      </c>
      <c r="I13" s="112">
        <f t="shared" si="7"/>
        <v>2366</v>
      </c>
    </row>
    <row r="14" spans="2:17" x14ac:dyDescent="0.3">
      <c r="B14" s="117">
        <v>10</v>
      </c>
      <c r="C14" s="112">
        <f t="shared" si="1"/>
        <v>15</v>
      </c>
      <c r="D14" s="112">
        <f t="shared" si="2"/>
        <v>22</v>
      </c>
      <c r="E14" s="112">
        <f t="shared" si="3"/>
        <v>40</v>
      </c>
      <c r="F14" s="112">
        <f t="shared" si="4"/>
        <v>85</v>
      </c>
      <c r="G14" s="112">
        <f t="shared" si="5"/>
        <v>198</v>
      </c>
      <c r="H14" s="112">
        <f t="shared" si="6"/>
        <v>481</v>
      </c>
      <c r="I14" s="112">
        <f t="shared" si="7"/>
        <v>2367</v>
      </c>
    </row>
    <row r="15" spans="2:17" x14ac:dyDescent="0.3">
      <c r="B15" s="117">
        <v>11</v>
      </c>
      <c r="C15" s="112">
        <f t="shared" si="1"/>
        <v>16</v>
      </c>
      <c r="D15" s="112">
        <f t="shared" si="2"/>
        <v>23</v>
      </c>
      <c r="E15" s="112">
        <f t="shared" si="3"/>
        <v>41</v>
      </c>
      <c r="F15" s="112">
        <f t="shared" si="4"/>
        <v>86</v>
      </c>
      <c r="G15" s="112">
        <f t="shared" si="5"/>
        <v>199</v>
      </c>
      <c r="H15" s="112">
        <f t="shared" si="6"/>
        <v>482</v>
      </c>
      <c r="I15" s="112">
        <f t="shared" si="7"/>
        <v>2368</v>
      </c>
    </row>
    <row r="16" spans="2:17" x14ac:dyDescent="0.3">
      <c r="B16" s="117">
        <v>12</v>
      </c>
      <c r="C16" s="112">
        <f t="shared" si="1"/>
        <v>17</v>
      </c>
      <c r="D16" s="112">
        <f t="shared" si="2"/>
        <v>24</v>
      </c>
      <c r="E16" s="112">
        <f t="shared" si="3"/>
        <v>42</v>
      </c>
      <c r="F16" s="112">
        <f t="shared" si="4"/>
        <v>87</v>
      </c>
      <c r="G16" s="112">
        <f t="shared" si="5"/>
        <v>200</v>
      </c>
      <c r="H16" s="112">
        <f t="shared" si="6"/>
        <v>483</v>
      </c>
      <c r="I16" s="112">
        <f t="shared" si="7"/>
        <v>2369</v>
      </c>
    </row>
    <row r="17" spans="2:10" x14ac:dyDescent="0.3">
      <c r="B17" s="117">
        <v>13</v>
      </c>
      <c r="C17" s="112">
        <f t="shared" si="1"/>
        <v>18</v>
      </c>
      <c r="D17" s="112">
        <f t="shared" si="2"/>
        <v>25</v>
      </c>
      <c r="E17" s="112">
        <f t="shared" si="3"/>
        <v>43</v>
      </c>
      <c r="F17" s="112">
        <f t="shared" si="4"/>
        <v>88</v>
      </c>
      <c r="G17" s="112">
        <f t="shared" si="5"/>
        <v>201</v>
      </c>
      <c r="H17" s="112">
        <f t="shared" si="6"/>
        <v>484</v>
      </c>
      <c r="I17" s="112">
        <f t="shared" si="7"/>
        <v>2370</v>
      </c>
    </row>
    <row r="18" spans="2:10" x14ac:dyDescent="0.3">
      <c r="B18" s="117">
        <v>14</v>
      </c>
      <c r="C18" s="112">
        <f t="shared" si="1"/>
        <v>19</v>
      </c>
      <c r="D18" s="112">
        <f t="shared" si="2"/>
        <v>26</v>
      </c>
      <c r="E18" s="112">
        <f t="shared" si="3"/>
        <v>44</v>
      </c>
      <c r="F18" s="112">
        <f t="shared" si="4"/>
        <v>89</v>
      </c>
      <c r="G18" s="112">
        <f t="shared" si="5"/>
        <v>202</v>
      </c>
      <c r="H18" s="112">
        <f t="shared" si="6"/>
        <v>485</v>
      </c>
      <c r="I18" s="112">
        <f t="shared" si="7"/>
        <v>2371</v>
      </c>
    </row>
    <row r="19" spans="2:10" x14ac:dyDescent="0.3">
      <c r="B19" s="117">
        <v>15</v>
      </c>
      <c r="C19" s="112">
        <f t="shared" si="1"/>
        <v>20</v>
      </c>
      <c r="D19" s="112">
        <f t="shared" si="2"/>
        <v>27</v>
      </c>
      <c r="E19" s="112">
        <f t="shared" si="3"/>
        <v>45</v>
      </c>
      <c r="F19" s="112">
        <f t="shared" si="4"/>
        <v>90</v>
      </c>
      <c r="G19" s="112">
        <f t="shared" si="5"/>
        <v>203</v>
      </c>
      <c r="H19" s="112">
        <f t="shared" si="6"/>
        <v>486</v>
      </c>
      <c r="I19" s="112">
        <f t="shared" si="7"/>
        <v>2372</v>
      </c>
    </row>
    <row r="20" spans="2:10" x14ac:dyDescent="0.3">
      <c r="B20" s="117">
        <v>16</v>
      </c>
      <c r="C20" s="112">
        <f t="shared" si="1"/>
        <v>21</v>
      </c>
      <c r="D20" s="112">
        <f t="shared" si="2"/>
        <v>28</v>
      </c>
      <c r="E20" s="112">
        <f t="shared" si="3"/>
        <v>46</v>
      </c>
      <c r="F20" s="112">
        <f t="shared" si="4"/>
        <v>91</v>
      </c>
      <c r="G20" s="112">
        <f t="shared" si="5"/>
        <v>204</v>
      </c>
      <c r="H20" s="112">
        <f t="shared" si="6"/>
        <v>487</v>
      </c>
      <c r="I20" s="112">
        <f t="shared" si="7"/>
        <v>2373</v>
      </c>
    </row>
    <row r="21" spans="2:10" x14ac:dyDescent="0.3">
      <c r="B21" s="117">
        <v>17</v>
      </c>
      <c r="C21" s="112">
        <f t="shared" si="1"/>
        <v>22</v>
      </c>
      <c r="D21" s="112">
        <f t="shared" si="2"/>
        <v>29</v>
      </c>
      <c r="E21" s="112">
        <f t="shared" si="3"/>
        <v>47</v>
      </c>
      <c r="F21" s="112">
        <f t="shared" si="4"/>
        <v>92</v>
      </c>
      <c r="G21" s="112">
        <f t="shared" si="5"/>
        <v>205</v>
      </c>
      <c r="H21" s="112">
        <f t="shared" si="6"/>
        <v>488</v>
      </c>
      <c r="I21" s="112">
        <f t="shared" si="7"/>
        <v>2374</v>
      </c>
    </row>
    <row r="22" spans="2:10" x14ac:dyDescent="0.3">
      <c r="B22" s="117">
        <v>18</v>
      </c>
      <c r="C22" s="112">
        <f t="shared" si="1"/>
        <v>23</v>
      </c>
      <c r="D22" s="112">
        <f t="shared" si="2"/>
        <v>30</v>
      </c>
      <c r="E22" s="112">
        <f t="shared" si="3"/>
        <v>48</v>
      </c>
      <c r="F22" s="112">
        <f t="shared" si="4"/>
        <v>93</v>
      </c>
      <c r="G22" s="112">
        <f t="shared" si="5"/>
        <v>206</v>
      </c>
      <c r="H22" s="112">
        <f t="shared" si="6"/>
        <v>489</v>
      </c>
      <c r="I22" s="112">
        <f t="shared" si="7"/>
        <v>2375</v>
      </c>
    </row>
    <row r="23" spans="2:10" x14ac:dyDescent="0.3">
      <c r="B23" s="117">
        <v>19</v>
      </c>
      <c r="C23" s="112">
        <f t="shared" si="1"/>
        <v>24</v>
      </c>
      <c r="D23" s="112">
        <f t="shared" si="2"/>
        <v>31</v>
      </c>
      <c r="E23" s="112">
        <f t="shared" si="3"/>
        <v>49</v>
      </c>
      <c r="F23" s="112">
        <f t="shared" si="4"/>
        <v>94</v>
      </c>
      <c r="G23" s="112">
        <f t="shared" si="5"/>
        <v>207</v>
      </c>
      <c r="H23" s="112">
        <f t="shared" si="6"/>
        <v>490</v>
      </c>
      <c r="I23" s="112">
        <f t="shared" si="7"/>
        <v>2376</v>
      </c>
    </row>
    <row r="24" spans="2:10" x14ac:dyDescent="0.3">
      <c r="B24" s="118" t="s">
        <v>112</v>
      </c>
      <c r="C24" s="121">
        <f>SUM(C4:C23)</f>
        <v>290</v>
      </c>
      <c r="D24" s="121">
        <f t="shared" ref="D24:I24" si="10">SUM(D4:D23)</f>
        <v>430</v>
      </c>
      <c r="E24" s="121">
        <f t="shared" si="10"/>
        <v>790</v>
      </c>
      <c r="F24" s="121">
        <f t="shared" si="10"/>
        <v>1690</v>
      </c>
      <c r="G24" s="121">
        <f t="shared" si="10"/>
        <v>3949</v>
      </c>
      <c r="H24" s="121">
        <f t="shared" si="10"/>
        <v>9606</v>
      </c>
      <c r="I24" s="121">
        <f t="shared" si="10"/>
        <v>47307</v>
      </c>
      <c r="J24" s="196">
        <f>SUM(F24:I24)</f>
        <v>62552</v>
      </c>
    </row>
  </sheetData>
  <mergeCells count="5">
    <mergeCell ref="M3:M4"/>
    <mergeCell ref="N3:N4"/>
    <mergeCell ref="O3:O4"/>
    <mergeCell ref="P3:P4"/>
    <mergeCell ref="Q3:Q4"/>
  </mergeCells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0"/>
  <sheetViews>
    <sheetView workbookViewId="0"/>
  </sheetViews>
  <sheetFormatPr defaultRowHeight="16.5" customHeight="1" x14ac:dyDescent="0.3"/>
  <cols>
    <col min="1" max="1" width="3.125" style="1" customWidth="1"/>
    <col min="2" max="13" width="9" style="1"/>
    <col min="14" max="14" width="45.875" style="1" bestFit="1" customWidth="1"/>
    <col min="15" max="16384" width="9" style="1"/>
  </cols>
  <sheetData>
    <row r="1" spans="2:15" ht="16.5" customHeight="1" thickBot="1" x14ac:dyDescent="0.35">
      <c r="N1" s="7" t="s">
        <v>14</v>
      </c>
    </row>
    <row r="2" spans="2:15" ht="16.5" customHeight="1" x14ac:dyDescent="0.3">
      <c r="B2" s="218" t="s">
        <v>15</v>
      </c>
      <c r="C2" s="219"/>
      <c r="D2" s="219"/>
      <c r="E2" s="219"/>
      <c r="F2" s="219"/>
      <c r="G2" s="219"/>
      <c r="H2" s="16" t="s">
        <v>16</v>
      </c>
      <c r="I2" s="17" t="s">
        <v>17</v>
      </c>
      <c r="J2" s="18" t="s">
        <v>18</v>
      </c>
      <c r="K2" s="19" t="s">
        <v>19</v>
      </c>
      <c r="L2" s="20" t="s">
        <v>20</v>
      </c>
      <c r="N2" s="29" t="s">
        <v>28</v>
      </c>
      <c r="O2" s="32">
        <v>576</v>
      </c>
    </row>
    <row r="3" spans="2:15" ht="16.5" customHeight="1" x14ac:dyDescent="0.3">
      <c r="B3" s="214" t="s">
        <v>21</v>
      </c>
      <c r="C3" s="215"/>
      <c r="D3" s="215"/>
      <c r="E3" s="215"/>
      <c r="F3" s="215"/>
      <c r="G3" s="215"/>
      <c r="H3" s="8">
        <v>99</v>
      </c>
      <c r="I3" s="9">
        <v>99</v>
      </c>
      <c r="J3" s="10">
        <v>99</v>
      </c>
      <c r="K3" s="11">
        <v>99</v>
      </c>
      <c r="L3" s="21">
        <v>99</v>
      </c>
      <c r="N3" s="30" t="s">
        <v>29</v>
      </c>
      <c r="O3" s="35">
        <v>0.5</v>
      </c>
    </row>
    <row r="4" spans="2:15" ht="16.5" customHeight="1" x14ac:dyDescent="0.3">
      <c r="B4" s="214" t="s">
        <v>22</v>
      </c>
      <c r="C4" s="215"/>
      <c r="D4" s="215"/>
      <c r="E4" s="215"/>
      <c r="F4" s="215"/>
      <c r="G4" s="215"/>
      <c r="H4" s="12">
        <f>$O$2*O3</f>
        <v>288</v>
      </c>
      <c r="I4" s="13">
        <f>$O$2*O4</f>
        <v>345.59999999999997</v>
      </c>
      <c r="J4" s="14">
        <f>$O$2*O5</f>
        <v>403.2</v>
      </c>
      <c r="K4" s="15">
        <f>$O$2*O6</f>
        <v>489.59999999999997</v>
      </c>
      <c r="L4" s="22">
        <f>$O$2*O7</f>
        <v>576</v>
      </c>
      <c r="N4" s="30" t="s">
        <v>30</v>
      </c>
      <c r="O4" s="35">
        <v>0.6</v>
      </c>
    </row>
    <row r="5" spans="2:15" ht="16.5" customHeight="1" x14ac:dyDescent="0.3">
      <c r="B5" s="214" t="s">
        <v>23</v>
      </c>
      <c r="C5" s="215"/>
      <c r="D5" s="215"/>
      <c r="E5" s="215"/>
      <c r="F5" s="215"/>
      <c r="G5" s="215"/>
      <c r="H5" s="8">
        <v>100</v>
      </c>
      <c r="I5" s="9">
        <v>100</v>
      </c>
      <c r="J5" s="10">
        <v>100</v>
      </c>
      <c r="K5" s="11">
        <v>100</v>
      </c>
      <c r="L5" s="21">
        <v>100</v>
      </c>
      <c r="N5" s="30" t="s">
        <v>31</v>
      </c>
      <c r="O5" s="35">
        <v>0.7</v>
      </c>
    </row>
    <row r="6" spans="2:15" ht="16.5" customHeight="1" x14ac:dyDescent="0.3">
      <c r="B6" s="214" t="s">
        <v>24</v>
      </c>
      <c r="C6" s="215"/>
      <c r="D6" s="215"/>
      <c r="E6" s="215"/>
      <c r="F6" s="215"/>
      <c r="G6" s="215"/>
      <c r="H6" s="8">
        <v>120</v>
      </c>
      <c r="I6" s="9">
        <v>120</v>
      </c>
      <c r="J6" s="10">
        <v>120</v>
      </c>
      <c r="K6" s="11">
        <v>120</v>
      </c>
      <c r="L6" s="21">
        <v>120</v>
      </c>
      <c r="N6" s="30" t="s">
        <v>32</v>
      </c>
      <c r="O6" s="35">
        <v>0.85</v>
      </c>
    </row>
    <row r="7" spans="2:15" ht="16.5" customHeight="1" x14ac:dyDescent="0.3">
      <c r="B7" s="214" t="s">
        <v>25</v>
      </c>
      <c r="C7" s="215"/>
      <c r="D7" s="215"/>
      <c r="E7" s="215"/>
      <c r="F7" s="215"/>
      <c r="G7" s="215"/>
      <c r="H7" s="12">
        <f>$O$8*$O$9*O3</f>
        <v>150</v>
      </c>
      <c r="I7" s="13">
        <f>$O$8*$O$9*O4</f>
        <v>180</v>
      </c>
      <c r="J7" s="14">
        <f>$O$8*$O$9*O5</f>
        <v>210</v>
      </c>
      <c r="K7" s="15">
        <f>$O$8*$O$9*O6</f>
        <v>255</v>
      </c>
      <c r="L7" s="22">
        <f>$O$8*$O$9*O7</f>
        <v>300</v>
      </c>
      <c r="N7" s="30" t="s">
        <v>33</v>
      </c>
      <c r="O7" s="35">
        <v>1</v>
      </c>
    </row>
    <row r="8" spans="2:15" ht="16.5" customHeight="1" x14ac:dyDescent="0.3">
      <c r="B8" s="214" t="s">
        <v>26</v>
      </c>
      <c r="C8" s="215"/>
      <c r="D8" s="215"/>
      <c r="E8" s="215"/>
      <c r="F8" s="215"/>
      <c r="G8" s="215"/>
      <c r="H8" s="12">
        <f>$O$8*$O$10*O3</f>
        <v>125</v>
      </c>
      <c r="I8" s="13">
        <f>$O$8*$O$10*O4</f>
        <v>150</v>
      </c>
      <c r="J8" s="14">
        <f>$O$8*$O$10*O5</f>
        <v>175</v>
      </c>
      <c r="K8" s="15">
        <f>$O$8*$O$10*O6</f>
        <v>212.5</v>
      </c>
      <c r="L8" s="22">
        <f>$O$7*$O$10*O8</f>
        <v>250</v>
      </c>
      <c r="N8" s="30" t="s">
        <v>34</v>
      </c>
      <c r="O8" s="33">
        <v>50</v>
      </c>
    </row>
    <row r="9" spans="2:15" ht="16.5" customHeight="1" thickBot="1" x14ac:dyDescent="0.35">
      <c r="B9" s="216" t="s">
        <v>27</v>
      </c>
      <c r="C9" s="217"/>
      <c r="D9" s="217"/>
      <c r="E9" s="217"/>
      <c r="F9" s="217"/>
      <c r="G9" s="217"/>
      <c r="H9" s="23">
        <f>SUM(H3:H8)</f>
        <v>882</v>
      </c>
      <c r="I9" s="24">
        <f t="shared" ref="I9:L9" si="0">SUM(I3:I8)</f>
        <v>994.59999999999991</v>
      </c>
      <c r="J9" s="25">
        <f t="shared" si="0"/>
        <v>1107.2</v>
      </c>
      <c r="K9" s="26">
        <f t="shared" si="0"/>
        <v>1276.0999999999999</v>
      </c>
      <c r="L9" s="27">
        <f t="shared" si="0"/>
        <v>1445</v>
      </c>
      <c r="N9" s="30" t="s">
        <v>35</v>
      </c>
      <c r="O9" s="33">
        <v>6</v>
      </c>
    </row>
    <row r="10" spans="2:15" ht="16.5" customHeight="1" thickBot="1" x14ac:dyDescent="0.35">
      <c r="N10" s="31" t="s">
        <v>36</v>
      </c>
      <c r="O10" s="34">
        <v>5</v>
      </c>
    </row>
  </sheetData>
  <mergeCells count="8">
    <mergeCell ref="B8:G8"/>
    <mergeCell ref="B9:G9"/>
    <mergeCell ref="B2:G2"/>
    <mergeCell ref="B3:G3"/>
    <mergeCell ref="B4:G4"/>
    <mergeCell ref="B5:G5"/>
    <mergeCell ref="B6:G6"/>
    <mergeCell ref="B7:G7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연금술 비용 산정 종합</vt:lpstr>
      <vt:lpstr>균열 던전 강화 정수 및 골드 획득</vt:lpstr>
      <vt:lpstr>초월 던전 강화 정수 및 골드 획득</vt:lpstr>
      <vt:lpstr>일반 던전 강화 정수 및 골드 획득</vt:lpstr>
      <vt:lpstr>강화 정수 정보</vt:lpstr>
      <vt:lpstr>일일 열쇠 획득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LHK</dc:creator>
  <cp:lastModifiedBy>LHK</cp:lastModifiedBy>
  <cp:lastPrinted>2017-06-05T07:59:12Z</cp:lastPrinted>
  <dcterms:created xsi:type="dcterms:W3CDTF">2017-06-02T06:02:14Z</dcterms:created>
  <dcterms:modified xsi:type="dcterms:W3CDTF">2017-06-12T13:34:42Z</dcterms:modified>
</cp:coreProperties>
</file>