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13. 유료화\"/>
    </mc:Choice>
  </mc:AlternateContent>
  <bookViews>
    <workbookView xWindow="0" yWindow="0" windowWidth="28800" windowHeight="14115"/>
  </bookViews>
  <sheets>
    <sheet name="시뮬레이션-액트별 등급 확률개선" sheetId="5" r:id="rId1"/>
    <sheet name="강화 &amp; 정수량 표" sheetId="2" r:id="rId2"/>
    <sheet name="히트 강화수량 비교" sheetId="4" r:id="rId3"/>
    <sheet name="시뮬레이션" sheetId="1" r:id="rId4"/>
  </sheets>
  <definedNames>
    <definedName name="_xlnm.Print_Area" localSheetId="2">'히트 강화수량 비교'!$B$1:$T$35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5" l="1"/>
  <c r="H58" i="5" l="1"/>
  <c r="G37" i="5" l="1"/>
  <c r="H37" i="5"/>
  <c r="G38" i="5"/>
  <c r="H38" i="5"/>
  <c r="G39" i="5"/>
  <c r="H39" i="5"/>
  <c r="C28" i="5" l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E56" i="5" l="1"/>
  <c r="H56" i="5"/>
  <c r="E55" i="5"/>
  <c r="G55" i="5" s="1"/>
  <c r="H54" i="5"/>
  <c r="E54" i="5"/>
  <c r="G54" i="5" s="1"/>
  <c r="E51" i="5"/>
  <c r="H51" i="5" s="1"/>
  <c r="E50" i="5"/>
  <c r="H50" i="5" s="1"/>
  <c r="H49" i="5"/>
  <c r="E49" i="5"/>
  <c r="G49" i="5" s="1"/>
  <c r="H48" i="5"/>
  <c r="G48" i="5"/>
  <c r="E48" i="5"/>
  <c r="E47" i="5"/>
  <c r="H47" i="5" s="1"/>
  <c r="E46" i="5"/>
  <c r="G46" i="5" s="1"/>
  <c r="E45" i="5"/>
  <c r="H45" i="5" s="1"/>
  <c r="E44" i="5"/>
  <c r="G44" i="5" s="1"/>
  <c r="H43" i="5"/>
  <c r="G43" i="5"/>
  <c r="H42" i="5"/>
  <c r="G42" i="5"/>
  <c r="H41" i="5"/>
  <c r="G40" i="5"/>
  <c r="E52" i="5"/>
  <c r="H52" i="5" s="1"/>
  <c r="E53" i="5"/>
  <c r="G53" i="5"/>
  <c r="H53" i="5"/>
  <c r="H55" i="5" l="1"/>
  <c r="G56" i="5"/>
  <c r="G47" i="5"/>
  <c r="G51" i="5"/>
  <c r="G50" i="5"/>
  <c r="H46" i="5"/>
  <c r="H40" i="5"/>
  <c r="H44" i="5"/>
  <c r="G45" i="5"/>
  <c r="G41" i="5"/>
  <c r="G52" i="5"/>
  <c r="L20" i="5" l="1"/>
  <c r="L21" i="5"/>
  <c r="L22" i="5"/>
  <c r="L23" i="5"/>
  <c r="L24" i="5"/>
  <c r="L25" i="5"/>
  <c r="L26" i="5"/>
  <c r="L27" i="5"/>
  <c r="E57" i="5"/>
  <c r="S20" i="5" l="1"/>
  <c r="V20" i="5" s="1"/>
  <c r="S14" i="5"/>
  <c r="M38" i="5"/>
  <c r="P13" i="5" l="1"/>
  <c r="E58" i="5"/>
  <c r="L43" i="5"/>
  <c r="T8" i="5" s="1"/>
  <c r="M37" i="5"/>
  <c r="M36" i="5"/>
  <c r="S23" i="5"/>
  <c r="V23" i="5" s="1"/>
  <c r="M35" i="5"/>
  <c r="S22" i="5"/>
  <c r="V22" i="5" s="1"/>
  <c r="M34" i="5"/>
  <c r="S21" i="5"/>
  <c r="V21" i="5" s="1"/>
  <c r="M33" i="5"/>
  <c r="V14" i="5"/>
  <c r="S13" i="5"/>
  <c r="V13" i="5" s="1"/>
  <c r="S12" i="5"/>
  <c r="V12" i="5" s="1"/>
  <c r="P12" i="5"/>
  <c r="S11" i="5"/>
  <c r="V11" i="5" s="1"/>
  <c r="S10" i="5"/>
  <c r="S9" i="5"/>
  <c r="V9" i="5" s="1"/>
  <c r="S8" i="5"/>
  <c r="V8" i="5" s="1"/>
  <c r="P8" i="5"/>
  <c r="V10" i="5" l="1"/>
  <c r="U30" i="5"/>
  <c r="G8" i="5"/>
  <c r="G16" i="5"/>
  <c r="G15" i="5"/>
  <c r="G12" i="5"/>
  <c r="W8" i="5"/>
  <c r="G35" i="5"/>
  <c r="G14" i="5"/>
  <c r="G36" i="5"/>
  <c r="G10" i="5"/>
  <c r="G9" i="5"/>
  <c r="G11" i="5"/>
  <c r="G33" i="5"/>
  <c r="G13" i="5"/>
  <c r="G34" i="5"/>
  <c r="C47" i="5"/>
  <c r="V24" i="5"/>
  <c r="P9" i="5"/>
  <c r="P10" i="5"/>
  <c r="G25" i="5" s="1"/>
  <c r="V15" i="5"/>
  <c r="P14" i="5"/>
  <c r="C31" i="5"/>
  <c r="C43" i="5"/>
  <c r="N43" i="5"/>
  <c r="C44" i="5"/>
  <c r="C48" i="5"/>
  <c r="C8" i="5"/>
  <c r="C29" i="5"/>
  <c r="C38" i="5"/>
  <c r="C39" i="5"/>
  <c r="C40" i="5"/>
  <c r="C41" i="5"/>
  <c r="C45" i="5"/>
  <c r="C49" i="5"/>
  <c r="C50" i="5"/>
  <c r="C51" i="5"/>
  <c r="C52" i="5"/>
  <c r="C53" i="5"/>
  <c r="C54" i="5"/>
  <c r="C55" i="5"/>
  <c r="C56" i="5"/>
  <c r="C57" i="5"/>
  <c r="C30" i="5"/>
  <c r="C32" i="5"/>
  <c r="C33" i="5"/>
  <c r="C34" i="5"/>
  <c r="C35" i="5"/>
  <c r="C36" i="5"/>
  <c r="C37" i="5"/>
  <c r="C42" i="5"/>
  <c r="C46" i="5"/>
  <c r="X8" i="1"/>
  <c r="G19" i="5" l="1"/>
  <c r="G17" i="5"/>
  <c r="G18" i="5"/>
  <c r="G24" i="5"/>
  <c r="G22" i="5"/>
  <c r="G21" i="5"/>
  <c r="G20" i="5"/>
  <c r="G26" i="5"/>
  <c r="R4" i="5"/>
  <c r="G23" i="5"/>
  <c r="D27" i="4"/>
  <c r="P15" i="5"/>
  <c r="P11" i="5"/>
  <c r="D5" i="2"/>
  <c r="C6" i="2"/>
  <c r="G57" i="5" l="1"/>
  <c r="G58" i="5"/>
  <c r="G27" i="5"/>
  <c r="G29" i="5"/>
  <c r="G30" i="5"/>
  <c r="G31" i="5"/>
  <c r="G28" i="5"/>
  <c r="G32" i="5"/>
  <c r="G4" i="5"/>
  <c r="M19" i="4"/>
  <c r="M22" i="4"/>
  <c r="M21" i="4"/>
  <c r="M20" i="4"/>
  <c r="M10" i="4"/>
  <c r="N4" i="5" l="1"/>
  <c r="I10" i="4"/>
  <c r="I11" i="4" s="1"/>
  <c r="I9" i="4"/>
  <c r="H10" i="4"/>
  <c r="G10" i="4"/>
  <c r="F10" i="4"/>
  <c r="M13" i="4" s="1"/>
  <c r="O13" i="4" s="1"/>
  <c r="E10" i="4"/>
  <c r="E11" i="4" s="1"/>
  <c r="H9" i="4"/>
  <c r="G9" i="4"/>
  <c r="F9" i="4"/>
  <c r="E9" i="4"/>
  <c r="M12" i="4" s="1"/>
  <c r="D9" i="4"/>
  <c r="H8" i="4"/>
  <c r="G8" i="4"/>
  <c r="F8" i="4"/>
  <c r="E8" i="4"/>
  <c r="M11" i="4" s="1"/>
  <c r="O20" i="4" s="1"/>
  <c r="D8" i="4"/>
  <c r="D10" i="4"/>
  <c r="I22" i="4"/>
  <c r="H22" i="4"/>
  <c r="G22" i="4"/>
  <c r="F22" i="4"/>
  <c r="E22" i="4"/>
  <c r="D22" i="4"/>
  <c r="O21" i="4"/>
  <c r="G11" i="4"/>
  <c r="D11" i="4"/>
  <c r="O10" i="4"/>
  <c r="M9" i="4"/>
  <c r="O9" i="4" s="1"/>
  <c r="M8" i="4"/>
  <c r="O8" i="4" s="1"/>
  <c r="M7" i="4"/>
  <c r="O7" i="4" s="1"/>
  <c r="H11" i="4" l="1"/>
  <c r="F11" i="4"/>
  <c r="O22" i="4"/>
  <c r="O11" i="4"/>
  <c r="O12" i="4"/>
  <c r="O19" i="4"/>
  <c r="O14" i="4" l="1"/>
  <c r="O23" i="4"/>
  <c r="L3" i="4" l="1"/>
  <c r="C20" i="2" l="1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D23" i="2"/>
  <c r="D11" i="2" l="1"/>
  <c r="D18" i="2"/>
  <c r="D20" i="2"/>
  <c r="D10" i="2"/>
  <c r="D12" i="2"/>
  <c r="D19" i="2"/>
  <c r="D6" i="2"/>
  <c r="D8" i="2"/>
  <c r="D15" i="2"/>
  <c r="D22" i="2"/>
  <c r="D24" i="2"/>
  <c r="E5" i="2"/>
  <c r="E6" i="2" s="1"/>
  <c r="D7" i="2"/>
  <c r="D14" i="2"/>
  <c r="D16" i="2"/>
  <c r="C25" i="2"/>
  <c r="D9" i="2"/>
  <c r="D13" i="2"/>
  <c r="D17" i="2"/>
  <c r="D21" i="2"/>
  <c r="E14" i="1"/>
  <c r="E8" i="1"/>
  <c r="E9" i="1"/>
  <c r="E10" i="1"/>
  <c r="E11" i="1"/>
  <c r="E12" i="1"/>
  <c r="E13" i="1"/>
  <c r="E58" i="1"/>
  <c r="C8" i="1" l="1"/>
  <c r="L31" i="1"/>
  <c r="N31" i="1" s="1"/>
  <c r="E13" i="2"/>
  <c r="E24" i="2"/>
  <c r="E22" i="2"/>
  <c r="E9" i="2"/>
  <c r="E11" i="2"/>
  <c r="E19" i="2"/>
  <c r="E12" i="2"/>
  <c r="E18" i="2"/>
  <c r="C14" i="1"/>
  <c r="E17" i="2"/>
  <c r="E16" i="2"/>
  <c r="E23" i="2"/>
  <c r="E8" i="2"/>
  <c r="E7" i="2"/>
  <c r="E10" i="2"/>
  <c r="E21" i="2"/>
  <c r="F5" i="2"/>
  <c r="F11" i="2" s="1"/>
  <c r="E20" i="2"/>
  <c r="E15" i="2"/>
  <c r="E14" i="2"/>
  <c r="D25" i="2"/>
  <c r="C12" i="1"/>
  <c r="C13" i="1"/>
  <c r="C11" i="1"/>
  <c r="C10" i="1"/>
  <c r="C9" i="1"/>
  <c r="O26" i="1"/>
  <c r="O25" i="1"/>
  <c r="O24" i="1"/>
  <c r="O23" i="1"/>
  <c r="O22" i="1"/>
  <c r="O21" i="1"/>
  <c r="O20" i="1"/>
  <c r="T20" i="1"/>
  <c r="T8" i="1"/>
  <c r="L32" i="1" l="1"/>
  <c r="N32" i="1" s="1"/>
  <c r="L44" i="5"/>
  <c r="D28" i="4" s="1"/>
  <c r="R8" i="4" s="1"/>
  <c r="T8" i="4" s="1"/>
  <c r="R7" i="4"/>
  <c r="T7" i="4" s="1"/>
  <c r="F20" i="2"/>
  <c r="F14" i="2"/>
  <c r="F8" i="2"/>
  <c r="F9" i="2"/>
  <c r="E25" i="2"/>
  <c r="F13" i="2"/>
  <c r="F24" i="2"/>
  <c r="F10" i="2"/>
  <c r="G5" i="2"/>
  <c r="G12" i="2" s="1"/>
  <c r="F15" i="2"/>
  <c r="F19" i="2"/>
  <c r="F18" i="2"/>
  <c r="F17" i="2"/>
  <c r="F12" i="2"/>
  <c r="F7" i="2"/>
  <c r="F23" i="2"/>
  <c r="F6" i="2"/>
  <c r="F22" i="2"/>
  <c r="F21" i="2"/>
  <c r="F16" i="2"/>
  <c r="U8" i="1"/>
  <c r="T23" i="1"/>
  <c r="T22" i="1"/>
  <c r="T21" i="1"/>
  <c r="T14" i="1"/>
  <c r="T13" i="1"/>
  <c r="T12" i="1"/>
  <c r="T11" i="1"/>
  <c r="T10" i="1"/>
  <c r="T9" i="1"/>
  <c r="L33" i="1" l="1"/>
  <c r="N33" i="1" s="1"/>
  <c r="L45" i="5"/>
  <c r="D29" i="4" s="1"/>
  <c r="R9" i="4" s="1"/>
  <c r="T9" i="4" s="1"/>
  <c r="N44" i="5"/>
  <c r="T9" i="5"/>
  <c r="M44" i="5"/>
  <c r="G24" i="2"/>
  <c r="G14" i="2"/>
  <c r="G20" i="2"/>
  <c r="G22" i="2"/>
  <c r="G19" i="2"/>
  <c r="H5" i="2"/>
  <c r="I5" i="2" s="1"/>
  <c r="G15" i="2"/>
  <c r="G21" i="2"/>
  <c r="G6" i="2"/>
  <c r="G9" i="2"/>
  <c r="G8" i="2"/>
  <c r="G11" i="2"/>
  <c r="G10" i="2"/>
  <c r="G13" i="2"/>
  <c r="G16" i="2"/>
  <c r="F25" i="2"/>
  <c r="G7" i="2"/>
  <c r="G23" i="2"/>
  <c r="G18" i="2"/>
  <c r="G17" i="2"/>
  <c r="U9" i="1"/>
  <c r="X9" i="1" s="1"/>
  <c r="M32" i="1"/>
  <c r="W8" i="1"/>
  <c r="W9" i="1"/>
  <c r="W10" i="1"/>
  <c r="W12" i="1"/>
  <c r="W21" i="1"/>
  <c r="W13" i="1"/>
  <c r="W22" i="1"/>
  <c r="W11" i="1"/>
  <c r="W20" i="1"/>
  <c r="W14" i="1"/>
  <c r="W23" i="1"/>
  <c r="W9" i="5" l="1"/>
  <c r="E29" i="4"/>
  <c r="E28" i="4"/>
  <c r="N45" i="5"/>
  <c r="T10" i="5"/>
  <c r="M45" i="5"/>
  <c r="L34" i="1"/>
  <c r="N34" i="1" s="1"/>
  <c r="L46" i="5"/>
  <c r="E30" i="4" s="1"/>
  <c r="R10" i="4" s="1"/>
  <c r="H20" i="2"/>
  <c r="H14" i="2"/>
  <c r="H11" i="2"/>
  <c r="H13" i="2"/>
  <c r="H19" i="2"/>
  <c r="H12" i="2"/>
  <c r="H6" i="2"/>
  <c r="H21" i="2"/>
  <c r="H22" i="2"/>
  <c r="H8" i="2"/>
  <c r="H7" i="2"/>
  <c r="H23" i="2"/>
  <c r="H18" i="2"/>
  <c r="H17" i="2"/>
  <c r="I6" i="2"/>
  <c r="I8" i="2"/>
  <c r="H16" i="2"/>
  <c r="H15" i="2"/>
  <c r="H10" i="2"/>
  <c r="H9" i="2"/>
  <c r="H24" i="2"/>
  <c r="I7" i="2"/>
  <c r="G25" i="2"/>
  <c r="I22" i="2"/>
  <c r="I18" i="2"/>
  <c r="I14" i="2"/>
  <c r="I10" i="2"/>
  <c r="I23" i="2"/>
  <c r="I19" i="2"/>
  <c r="I15" i="2"/>
  <c r="I11" i="2"/>
  <c r="I24" i="2"/>
  <c r="I20" i="2"/>
  <c r="I16" i="2"/>
  <c r="I12" i="2"/>
  <c r="I21" i="2"/>
  <c r="I17" i="2"/>
  <c r="I13" i="2"/>
  <c r="I9" i="2"/>
  <c r="U10" i="1"/>
  <c r="M33" i="1"/>
  <c r="W24" i="1"/>
  <c r="W15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T20" i="5" l="1"/>
  <c r="W20" i="5" s="1"/>
  <c r="D30" i="4"/>
  <c r="F30" i="4"/>
  <c r="F29" i="4"/>
  <c r="N46" i="5"/>
  <c r="P24" i="5" s="1"/>
  <c r="T11" i="5"/>
  <c r="W11" i="5" s="1"/>
  <c r="M46" i="5"/>
  <c r="X10" i="1"/>
  <c r="W10" i="5"/>
  <c r="L35" i="1"/>
  <c r="N35" i="1" s="1"/>
  <c r="L47" i="5"/>
  <c r="H25" i="2"/>
  <c r="T10" i="4"/>
  <c r="R19" i="4"/>
  <c r="T19" i="4" s="1"/>
  <c r="C29" i="1"/>
  <c r="C22" i="1"/>
  <c r="C48" i="1"/>
  <c r="C37" i="1"/>
  <c r="C32" i="1"/>
  <c r="C45" i="1"/>
  <c r="C20" i="1"/>
  <c r="C41" i="1"/>
  <c r="C19" i="1"/>
  <c r="C35" i="1"/>
  <c r="C51" i="1"/>
  <c r="C53" i="1"/>
  <c r="C42" i="1"/>
  <c r="C33" i="1"/>
  <c r="C16" i="1"/>
  <c r="C57" i="1"/>
  <c r="C38" i="1"/>
  <c r="C50" i="1"/>
  <c r="C25" i="1"/>
  <c r="C46" i="1"/>
  <c r="C23" i="1"/>
  <c r="C39" i="1"/>
  <c r="C54" i="1"/>
  <c r="C44" i="1"/>
  <c r="C26" i="1"/>
  <c r="C18" i="1"/>
  <c r="C17" i="1"/>
  <c r="C49" i="1"/>
  <c r="C56" i="1"/>
  <c r="C30" i="1"/>
  <c r="C52" i="1"/>
  <c r="C27" i="1"/>
  <c r="C43" i="1"/>
  <c r="C21" i="1"/>
  <c r="C55" i="1"/>
  <c r="C34" i="1"/>
  <c r="C28" i="1"/>
  <c r="C24" i="1"/>
  <c r="C40" i="1"/>
  <c r="C36" i="1"/>
  <c r="C15" i="1"/>
  <c r="C31" i="1"/>
  <c r="C47" i="1"/>
  <c r="I25" i="2"/>
  <c r="U20" i="1"/>
  <c r="X20" i="1" s="1"/>
  <c r="M34" i="1"/>
  <c r="U11" i="1"/>
  <c r="X11" i="1" s="1"/>
  <c r="S4" i="1"/>
  <c r="U34" i="5" l="1"/>
  <c r="H33" i="5"/>
  <c r="H34" i="5"/>
  <c r="D31" i="4"/>
  <c r="E31" i="4"/>
  <c r="R11" i="4" s="1"/>
  <c r="R20" i="4" s="1"/>
  <c r="T20" i="4" s="1"/>
  <c r="F31" i="4"/>
  <c r="P26" i="5"/>
  <c r="P23" i="5"/>
  <c r="P25" i="5"/>
  <c r="P22" i="5"/>
  <c r="P21" i="5"/>
  <c r="H17" i="5" s="1"/>
  <c r="P27" i="5"/>
  <c r="P20" i="5"/>
  <c r="G30" i="4"/>
  <c r="G31" i="4"/>
  <c r="T21" i="5"/>
  <c r="W21" i="5" s="1"/>
  <c r="M47" i="5"/>
  <c r="T12" i="5"/>
  <c r="N47" i="5"/>
  <c r="L37" i="1"/>
  <c r="L49" i="5"/>
  <c r="G33" i="4" s="1"/>
  <c r="L36" i="1"/>
  <c r="N36" i="1" s="1"/>
  <c r="L48" i="5"/>
  <c r="G32" i="4" s="1"/>
  <c r="N37" i="1"/>
  <c r="U21" i="1"/>
  <c r="X21" i="1" s="1"/>
  <c r="M35" i="1"/>
  <c r="U12" i="1"/>
  <c r="X12" i="1" s="1"/>
  <c r="M12" i="1"/>
  <c r="M8" i="1"/>
  <c r="H16" i="5" l="1"/>
  <c r="H14" i="5"/>
  <c r="H15" i="5"/>
  <c r="U35" i="5"/>
  <c r="U29" i="5"/>
  <c r="H25" i="5"/>
  <c r="H26" i="5"/>
  <c r="H20" i="5"/>
  <c r="H24" i="5"/>
  <c r="H23" i="5"/>
  <c r="H22" i="5"/>
  <c r="H21" i="5"/>
  <c r="H18" i="5"/>
  <c r="H19" i="5"/>
  <c r="H12" i="5"/>
  <c r="H10" i="5"/>
  <c r="H11" i="5"/>
  <c r="H9" i="5"/>
  <c r="H13" i="5"/>
  <c r="H36" i="5"/>
  <c r="H35" i="5"/>
  <c r="H4" i="5"/>
  <c r="H57" i="5"/>
  <c r="H29" i="5"/>
  <c r="H30" i="5"/>
  <c r="H31" i="5"/>
  <c r="H28" i="5"/>
  <c r="H32" i="5"/>
  <c r="H27" i="5"/>
  <c r="V35" i="1"/>
  <c r="V34" i="1"/>
  <c r="T11" i="4"/>
  <c r="D32" i="4"/>
  <c r="E32" i="4"/>
  <c r="R12" i="4" s="1"/>
  <c r="T12" i="4" s="1"/>
  <c r="F32" i="4"/>
  <c r="D33" i="4"/>
  <c r="E33" i="4"/>
  <c r="F33" i="4"/>
  <c r="F34" i="4" s="1"/>
  <c r="H31" i="4"/>
  <c r="H33" i="4"/>
  <c r="G34" i="4" s="1"/>
  <c r="H32" i="4"/>
  <c r="T23" i="5"/>
  <c r="W23" i="5" s="1"/>
  <c r="M49" i="5"/>
  <c r="N49" i="5"/>
  <c r="J33" i="4" s="1"/>
  <c r="T14" i="5"/>
  <c r="W14" i="5" s="1"/>
  <c r="N48" i="5"/>
  <c r="M48" i="5"/>
  <c r="T22" i="5"/>
  <c r="W22" i="5" s="1"/>
  <c r="T13" i="5"/>
  <c r="W13" i="5" s="1"/>
  <c r="W12" i="5"/>
  <c r="Q8" i="1"/>
  <c r="H8" i="1" s="1"/>
  <c r="Q12" i="1"/>
  <c r="P8" i="1"/>
  <c r="G8" i="1" s="1"/>
  <c r="U22" i="1"/>
  <c r="X22" i="1" s="1"/>
  <c r="U13" i="1"/>
  <c r="V31" i="1" s="1"/>
  <c r="M36" i="1"/>
  <c r="L9" i="1"/>
  <c r="U28" i="5" l="1"/>
  <c r="U40" i="5" s="1"/>
  <c r="U42" i="5" s="1"/>
  <c r="U44" i="5" s="1"/>
  <c r="U46" i="5"/>
  <c r="U47" i="5" s="1"/>
  <c r="U31" i="5"/>
  <c r="U32" i="5"/>
  <c r="U41" i="5"/>
  <c r="U43" i="5" s="1"/>
  <c r="U45" i="5" s="1"/>
  <c r="U33" i="5"/>
  <c r="P4" i="5"/>
  <c r="E34" i="4"/>
  <c r="R21" i="4"/>
  <c r="T21" i="4" s="1"/>
  <c r="D34" i="4"/>
  <c r="R13" i="4"/>
  <c r="R22" i="4" s="1"/>
  <c r="T22" i="4" s="1"/>
  <c r="I33" i="4"/>
  <c r="H34" i="4" s="1"/>
  <c r="I32" i="4"/>
  <c r="W24" i="5"/>
  <c r="X13" i="1"/>
  <c r="V32" i="1"/>
  <c r="V33" i="1"/>
  <c r="V30" i="1"/>
  <c r="W15" i="5"/>
  <c r="V29" i="1"/>
  <c r="H34" i="1"/>
  <c r="H33" i="1"/>
  <c r="H12" i="1"/>
  <c r="H10" i="1"/>
  <c r="H13" i="1"/>
  <c r="H11" i="1"/>
  <c r="H14" i="1"/>
  <c r="H9" i="1"/>
  <c r="M37" i="1"/>
  <c r="U23" i="1"/>
  <c r="U14" i="1"/>
  <c r="X14" i="1" s="1"/>
  <c r="G12" i="1"/>
  <c r="M9" i="1"/>
  <c r="L10" i="1"/>
  <c r="T13" i="4" l="1"/>
  <c r="T14" i="4" s="1"/>
  <c r="X15" i="1"/>
  <c r="V28" i="1" s="1"/>
  <c r="T4" i="5"/>
  <c r="T23" i="4"/>
  <c r="I34" i="4"/>
  <c r="V45" i="1"/>
  <c r="V44" i="1"/>
  <c r="V41" i="1"/>
  <c r="V43" i="1"/>
  <c r="V42" i="1"/>
  <c r="X23" i="1"/>
  <c r="X24" i="1" s="1"/>
  <c r="U4" i="1" s="1"/>
  <c r="V46" i="1"/>
  <c r="V47" i="1"/>
  <c r="V36" i="1"/>
  <c r="Q9" i="1"/>
  <c r="P9" i="1"/>
  <c r="M10" i="1"/>
  <c r="P10" i="1" s="1"/>
  <c r="L11" i="1"/>
  <c r="Q3" i="4" l="1"/>
  <c r="V48" i="1"/>
  <c r="H24" i="1"/>
  <c r="H20" i="1"/>
  <c r="H16" i="1"/>
  <c r="H22" i="1"/>
  <c r="H18" i="1"/>
  <c r="H21" i="1"/>
  <c r="H23" i="1"/>
  <c r="H19" i="1"/>
  <c r="H15" i="1"/>
  <c r="H17" i="1"/>
  <c r="Q10" i="1"/>
  <c r="G9" i="1"/>
  <c r="G20" i="1"/>
  <c r="M11" i="1"/>
  <c r="P11" i="1" s="1"/>
  <c r="H26" i="1" l="1"/>
  <c r="H25" i="1"/>
  <c r="Q11" i="1"/>
  <c r="M21" i="1"/>
  <c r="M26" i="1"/>
  <c r="M25" i="1"/>
  <c r="M24" i="1"/>
  <c r="M23" i="1"/>
  <c r="M22" i="1"/>
  <c r="H30" i="1" l="1"/>
  <c r="H32" i="1"/>
  <c r="H31" i="1"/>
  <c r="H29" i="1"/>
  <c r="H28" i="1"/>
  <c r="H27" i="1"/>
  <c r="G14" i="1"/>
  <c r="G13" i="1"/>
  <c r="G11" i="1"/>
  <c r="G10" i="1"/>
  <c r="M13" i="1" l="1"/>
  <c r="N13" i="1" l="1"/>
  <c r="P12" i="1"/>
  <c r="M14" i="1"/>
  <c r="Q13" i="1" l="1"/>
  <c r="Q14" i="1"/>
  <c r="P13" i="1"/>
  <c r="G40" i="1" s="1"/>
  <c r="G31" i="1"/>
  <c r="G22" i="1"/>
  <c r="G24" i="1"/>
  <c r="G26" i="1"/>
  <c r="G28" i="1"/>
  <c r="G33" i="1"/>
  <c r="G27" i="1"/>
  <c r="G23" i="1"/>
  <c r="G34" i="1"/>
  <c r="G29" i="1"/>
  <c r="G25" i="1"/>
  <c r="G30" i="1"/>
  <c r="G32" i="1"/>
  <c r="N14" i="1"/>
  <c r="P14" i="1" s="1"/>
  <c r="M15" i="1"/>
  <c r="G19" i="1"/>
  <c r="G17" i="1"/>
  <c r="G16" i="1"/>
  <c r="G21" i="1"/>
  <c r="G18" i="1"/>
  <c r="G15" i="1"/>
  <c r="H49" i="1" l="1"/>
  <c r="H47" i="1"/>
  <c r="H44" i="1"/>
  <c r="H46" i="1"/>
  <c r="H45" i="1"/>
  <c r="H48" i="1"/>
  <c r="H40" i="1"/>
  <c r="H36" i="1"/>
  <c r="H42" i="1"/>
  <c r="H41" i="1"/>
  <c r="H43" i="1"/>
  <c r="H39" i="1"/>
  <c r="H35" i="1"/>
  <c r="H38" i="1"/>
  <c r="H37" i="1"/>
  <c r="G39" i="1"/>
  <c r="G41" i="1"/>
  <c r="G42" i="1"/>
  <c r="G43" i="1"/>
  <c r="G45" i="1"/>
  <c r="G49" i="1"/>
  <c r="G48" i="1"/>
  <c r="G46" i="1"/>
  <c r="G44" i="1"/>
  <c r="G47" i="1"/>
  <c r="G38" i="1"/>
  <c r="G35" i="1"/>
  <c r="G37" i="1"/>
  <c r="G36" i="1"/>
  <c r="N15" i="1"/>
  <c r="Q15" i="1" s="1"/>
  <c r="H58" i="1" l="1"/>
  <c r="H54" i="1"/>
  <c r="H50" i="1"/>
  <c r="H55" i="1"/>
  <c r="H57" i="1"/>
  <c r="H53" i="1"/>
  <c r="H56" i="1"/>
  <c r="H52" i="1"/>
  <c r="H51" i="1"/>
  <c r="P15" i="1"/>
  <c r="G58" i="1" s="1"/>
  <c r="G4" i="1" s="1"/>
  <c r="Q4" i="1" l="1"/>
  <c r="G57" i="1"/>
  <c r="G56" i="1"/>
  <c r="G50" i="1"/>
  <c r="G54" i="1"/>
  <c r="G52" i="1"/>
  <c r="G53" i="1"/>
  <c r="G55" i="1"/>
  <c r="G51" i="1"/>
  <c r="P4" i="1" l="1"/>
  <c r="H4" i="1" l="1"/>
  <c r="U36" i="5" l="1"/>
  <c r="U48" i="5" l="1"/>
</calcChain>
</file>

<file path=xl/sharedStrings.xml><?xml version="1.0" encoding="utf-8"?>
<sst xmlns="http://schemas.openxmlformats.org/spreadsheetml/2006/main" count="232" uniqueCount="88">
  <si>
    <t>액트</t>
    <phoneticPr fontId="4" type="noConversion"/>
  </si>
  <si>
    <t>날짜</t>
    <phoneticPr fontId="4" type="noConversion"/>
  </si>
  <si>
    <t>등급</t>
    <phoneticPr fontId="4" type="noConversion"/>
  </si>
  <si>
    <t>아이템 등급</t>
    <phoneticPr fontId="4" type="noConversion"/>
  </si>
  <si>
    <t>합성 필요 수량</t>
    <phoneticPr fontId="4" type="noConversion"/>
  </si>
  <si>
    <t>분해</t>
    <phoneticPr fontId="4" type="noConversion"/>
  </si>
  <si>
    <t>개선전 +20 강화
필요 정수량</t>
    <phoneticPr fontId="4" type="noConversion"/>
  </si>
  <si>
    <t>개선전 정수량</t>
    <phoneticPr fontId="4" type="noConversion"/>
  </si>
  <si>
    <t>증가율</t>
    <phoneticPr fontId="4" type="noConversion"/>
  </si>
  <si>
    <t>&gt; 개선후 액트별 등급 확률</t>
    <phoneticPr fontId="4" type="noConversion"/>
  </si>
  <si>
    <t>&gt; 일반던전 기준 정수 획득량 시뮬레이션</t>
    <phoneticPr fontId="4" type="noConversion"/>
  </si>
  <si>
    <t>* 정수 획득량 : 플레이 액트별 획득가능 장비아이템의 등급별 획득 확률에 의한 기대 수량에 정수 분해량을 곱한 값이다.</t>
    <phoneticPr fontId="4" type="noConversion"/>
  </si>
  <si>
    <t>* 평균획득수량 : 액트에 상관없이 1회 플레이 시 아이템 획득 기대 수량은 1.5개이며, 아이템 중 장비획득 확률은 90%이다.</t>
    <phoneticPr fontId="4" type="noConversion"/>
  </si>
  <si>
    <t>레벨</t>
    <phoneticPr fontId="4" type="noConversion"/>
  </si>
  <si>
    <t>반복</t>
    <phoneticPr fontId="4" type="noConversion"/>
  </si>
  <si>
    <t>&gt; 무기 단계별 필요 정수량</t>
    <phoneticPr fontId="4" type="noConversion"/>
  </si>
  <si>
    <t>&gt; 개선전 강화용 정수량</t>
    <phoneticPr fontId="4" type="noConversion"/>
  </si>
  <si>
    <t>개선전 1회 평균
획득 정수량</t>
    <phoneticPr fontId="4" type="noConversion"/>
  </si>
  <si>
    <t>2차 개선 1회 평균
획득 정수량</t>
    <phoneticPr fontId="4" type="noConversion"/>
  </si>
  <si>
    <t>1일 최대
행동력</t>
    <phoneticPr fontId="4" type="noConversion"/>
  </si>
  <si>
    <t>플레이
액트</t>
    <phoneticPr fontId="4" type="noConversion"/>
  </si>
  <si>
    <t>플레이
횟수</t>
    <phoneticPr fontId="4" type="noConversion"/>
  </si>
  <si>
    <t>평균장비
획득수량</t>
    <phoneticPr fontId="4" type="noConversion"/>
  </si>
  <si>
    <t>개선전
정수 획득량</t>
    <phoneticPr fontId="4" type="noConversion"/>
  </si>
  <si>
    <t>2차 개선
정수 획득량</t>
    <phoneticPr fontId="4" type="noConversion"/>
  </si>
  <si>
    <t>개선전 1개월
획득 정수량</t>
    <phoneticPr fontId="4" type="noConversion"/>
  </si>
  <si>
    <t>개선전 8종 장비
강화&amp;합성 정수량</t>
    <phoneticPr fontId="4" type="noConversion"/>
  </si>
  <si>
    <t>풀강화
정수량</t>
    <phoneticPr fontId="4" type="noConversion"/>
  </si>
  <si>
    <t>풀강화
분해율</t>
    <phoneticPr fontId="4" type="noConversion"/>
  </si>
  <si>
    <t>&gt; 2차 개선 강화용 정수량</t>
    <phoneticPr fontId="4" type="noConversion"/>
  </si>
  <si>
    <t>개선전 반복 1개월
정수 획득량</t>
    <phoneticPr fontId="4" type="noConversion"/>
  </si>
  <si>
    <t>등급</t>
    <phoneticPr fontId="4" type="noConversion"/>
  </si>
  <si>
    <t>Item Grade 에 따른  등급별 강화 단계에 따른 요구 재료 개수</t>
    <phoneticPr fontId="4" type="noConversion"/>
  </si>
  <si>
    <t>총계</t>
    <phoneticPr fontId="4" type="noConversion"/>
  </si>
  <si>
    <t>무기</t>
    <phoneticPr fontId="4" type="noConversion"/>
  </si>
  <si>
    <t>등급</t>
    <phoneticPr fontId="4" type="noConversion"/>
  </si>
  <si>
    <t>강화단계</t>
    <phoneticPr fontId="4" type="noConversion"/>
  </si>
  <si>
    <t>장비</t>
    <phoneticPr fontId="4" type="noConversion"/>
  </si>
  <si>
    <t>투구</t>
    <phoneticPr fontId="4" type="noConversion"/>
  </si>
  <si>
    <t>갑옷</t>
    <phoneticPr fontId="4" type="noConversion"/>
  </si>
  <si>
    <t>하의</t>
    <phoneticPr fontId="4" type="noConversion"/>
  </si>
  <si>
    <t>장갑</t>
    <phoneticPr fontId="4" type="noConversion"/>
  </si>
  <si>
    <t>부츠</t>
    <phoneticPr fontId="4" type="noConversion"/>
  </si>
  <si>
    <t>목걸이</t>
    <phoneticPr fontId="4" type="noConversion"/>
  </si>
  <si>
    <t>반지</t>
    <phoneticPr fontId="4" type="noConversion"/>
  </si>
  <si>
    <t>필요 정수량</t>
    <phoneticPr fontId="4" type="noConversion"/>
  </si>
  <si>
    <t>총합</t>
    <phoneticPr fontId="4" type="noConversion"/>
  </si>
  <si>
    <t>&gt; 장비 단계별 필요 정수량(장비는 4성부터 강화&amp;합성)</t>
    <phoneticPr fontId="4" type="noConversion"/>
  </si>
  <si>
    <t>희귀</t>
    <phoneticPr fontId="4" type="noConversion"/>
  </si>
  <si>
    <t>영웅</t>
    <phoneticPr fontId="4" type="noConversion"/>
  </si>
  <si>
    <t>고대</t>
    <phoneticPr fontId="4" type="noConversion"/>
  </si>
  <si>
    <t>전설</t>
    <phoneticPr fontId="4" type="noConversion"/>
  </si>
  <si>
    <t>불멸</t>
    <phoneticPr fontId="4" type="noConversion"/>
  </si>
  <si>
    <t>티어</t>
    <phoneticPr fontId="4" type="noConversion"/>
  </si>
  <si>
    <t>일반</t>
    <phoneticPr fontId="4" type="noConversion"/>
  </si>
  <si>
    <t>고급</t>
    <phoneticPr fontId="4" type="noConversion"/>
  </si>
  <si>
    <t>3 티어 재료</t>
    <phoneticPr fontId="4" type="noConversion"/>
  </si>
  <si>
    <t>&gt; 히트 무기</t>
    <phoneticPr fontId="4" type="noConversion"/>
  </si>
  <si>
    <t>&gt; 히트 방어구</t>
    <phoneticPr fontId="4" type="noConversion"/>
  </si>
  <si>
    <t>&gt; 녹스</t>
    <phoneticPr fontId="4" type="noConversion"/>
  </si>
  <si>
    <t>20 강화
필요 아이템 수량</t>
    <phoneticPr fontId="4" type="noConversion"/>
  </si>
  <si>
    <t>녹스 8종 장비
강화&amp;합성 정수량</t>
    <phoneticPr fontId="4" type="noConversion"/>
  </si>
  <si>
    <t>히트 8종 장비
강화&amp;합성 정수량</t>
    <phoneticPr fontId="4" type="noConversion"/>
  </si>
  <si>
    <t>&gt; 1개월 플레이로 획득한 약 30만 정수량으로 강화&amp;합성으로 획득 가능한 장비 등급</t>
    <phoneticPr fontId="4" type="noConversion"/>
  </si>
  <si>
    <t>개선 반복 1개월
정수 획득량</t>
    <phoneticPr fontId="4" type="noConversion"/>
  </si>
  <si>
    <t>개선 1개월
획득 정수량</t>
    <phoneticPr fontId="4" type="noConversion"/>
  </si>
  <si>
    <t>개선 8종 장비
강화&amp;합성 정수량</t>
    <phoneticPr fontId="4" type="noConversion"/>
  </si>
  <si>
    <t>개선 정수량</t>
    <phoneticPr fontId="4" type="noConversion"/>
  </si>
  <si>
    <t>개선 +20 강화
필요 정수량</t>
    <phoneticPr fontId="4" type="noConversion"/>
  </si>
  <si>
    <t>1 -&gt; 7</t>
    <phoneticPr fontId="4" type="noConversion"/>
  </si>
  <si>
    <t>3 -&gt; 5</t>
    <phoneticPr fontId="4" type="noConversion"/>
  </si>
  <si>
    <t>3 -&gt; 6</t>
    <phoneticPr fontId="4" type="noConversion"/>
  </si>
  <si>
    <t>완료</t>
    <phoneticPr fontId="4" type="noConversion"/>
  </si>
  <si>
    <t>6 -&gt; 7</t>
    <phoneticPr fontId="4" type="noConversion"/>
  </si>
  <si>
    <t>5 -&gt; 7</t>
    <phoneticPr fontId="4" type="noConversion"/>
  </si>
  <si>
    <t>&gt; 1개월 이후 필요 나머지 강화&amp;합성을 위한 필요 정수량(약 44만 정수 획득을 위해 약 40일 소요 예상)</t>
    <phoneticPr fontId="4" type="noConversion"/>
  </si>
  <si>
    <t>&gt; 개선전 액트별 등급 확률</t>
    <phoneticPr fontId="4" type="noConversion"/>
  </si>
  <si>
    <t>1 -&gt; 6</t>
    <phoneticPr fontId="4" type="noConversion"/>
  </si>
  <si>
    <t>3 -&gt; 5</t>
    <phoneticPr fontId="4" type="noConversion"/>
  </si>
  <si>
    <t>3 -&gt; 4</t>
    <phoneticPr fontId="4" type="noConversion"/>
  </si>
  <si>
    <t>&gt; 1개월 플레이로 획득한 약 13만 정수량으로 강화&amp;합성으로 획득 가능한 장비 등급</t>
    <phoneticPr fontId="4" type="noConversion"/>
  </si>
  <si>
    <t>3 -&gt; 6</t>
    <phoneticPr fontId="4" type="noConversion"/>
  </si>
  <si>
    <t>5 -&gt; 7</t>
    <phoneticPr fontId="4" type="noConversion"/>
  </si>
  <si>
    <t>4 -&gt; 7</t>
    <phoneticPr fontId="4" type="noConversion"/>
  </si>
  <si>
    <t>&gt; 1개월 이후 필요 나머지 강화&amp;합성을 위한 필요 정수량(약 50만 정수 획득을 위해 약 3.6개월 소요 예상)</t>
    <phoneticPr fontId="4" type="noConversion"/>
  </si>
  <si>
    <t>※ 퀘스트, 업적 등으로 획득하는 장비는 제외되었기 때문에 기간은 축소될 수 있음</t>
    <phoneticPr fontId="4" type="noConversion"/>
  </si>
  <si>
    <t>개선후 평균
획득 정수량</t>
    <phoneticPr fontId="4" type="noConversion"/>
  </si>
  <si>
    <t>개선전 평균
획득 정수량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</si>
</sst>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_-;\-* #,##0_-;_-* &quot;-&quot;??_-;_-@_-"/>
    <numFmt numFmtId="178" formatCode="0.0"/>
    <numFmt numFmtId="179" formatCode="_-* #,##0.0_-;\-* #,##0.0_-;_-* &quot;-&quot;_-;_-@_-"/>
    <numFmt numFmtId="180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41" fontId="5" fillId="5" borderId="2" xfId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41" fontId="5" fillId="11" borderId="2" xfId="1" applyFont="1" applyFill="1" applyBorder="1" applyAlignment="1">
      <alignment horizontal="center" vertical="center"/>
    </xf>
    <xf numFmtId="176" fontId="5" fillId="11" borderId="2" xfId="1" applyNumberFormat="1" applyFont="1" applyFill="1" applyBorder="1" applyAlignment="1">
      <alignment horizontal="center" vertical="center"/>
    </xf>
    <xf numFmtId="41" fontId="5" fillId="6" borderId="2" xfId="1" applyFont="1" applyFill="1" applyBorder="1" applyAlignment="1">
      <alignment horizontal="center" vertical="center"/>
    </xf>
    <xf numFmtId="176" fontId="5" fillId="6" borderId="2" xfId="1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41" fontId="5" fillId="12" borderId="2" xfId="1" applyFont="1" applyFill="1" applyBorder="1" applyAlignment="1">
      <alignment horizontal="center" vertical="center"/>
    </xf>
    <xf numFmtId="176" fontId="5" fillId="12" borderId="2" xfId="1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41" fontId="5" fillId="9" borderId="2" xfId="1" applyFont="1" applyFill="1" applyBorder="1" applyAlignment="1">
      <alignment horizontal="center" vertical="center"/>
    </xf>
    <xf numFmtId="176" fontId="5" fillId="9" borderId="2" xfId="1" applyNumberFormat="1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41" fontId="5" fillId="14" borderId="2" xfId="1" applyFont="1" applyFill="1" applyBorder="1" applyAlignment="1">
      <alignment horizontal="center" vertical="center"/>
    </xf>
    <xf numFmtId="176" fontId="5" fillId="14" borderId="2" xfId="1" applyNumberFormat="1" applyFont="1" applyFill="1" applyBorder="1" applyAlignment="1">
      <alignment horizontal="center" vertical="center"/>
    </xf>
    <xf numFmtId="41" fontId="5" fillId="10" borderId="2" xfId="1" applyFont="1" applyFill="1" applyBorder="1" applyAlignment="1">
      <alignment horizontal="center" vertical="center"/>
    </xf>
    <xf numFmtId="41" fontId="5" fillId="16" borderId="2" xfId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41" fontId="6" fillId="2" borderId="2" xfId="1" applyFont="1" applyFill="1" applyBorder="1">
      <alignment vertical="center"/>
    </xf>
    <xf numFmtId="41" fontId="6" fillId="2" borderId="0" xfId="1" applyFont="1" applyFill="1" applyAlignment="1">
      <alignment horizontal="center" vertical="center"/>
    </xf>
    <xf numFmtId="41" fontId="6" fillId="2" borderId="0" xfId="1" applyFont="1" applyFill="1">
      <alignment vertical="center"/>
    </xf>
    <xf numFmtId="41" fontId="6" fillId="6" borderId="2" xfId="1" applyFont="1" applyFill="1" applyBorder="1">
      <alignment vertical="center"/>
    </xf>
    <xf numFmtId="41" fontId="6" fillId="5" borderId="2" xfId="1" applyFont="1" applyFill="1" applyBorder="1">
      <alignment vertical="center"/>
    </xf>
    <xf numFmtId="176" fontId="6" fillId="2" borderId="2" xfId="1" applyNumberFormat="1" applyFont="1" applyFill="1" applyBorder="1">
      <alignment vertical="center"/>
    </xf>
    <xf numFmtId="2" fontId="6" fillId="2" borderId="0" xfId="0" applyNumberFormat="1" applyFont="1" applyFill="1">
      <alignment vertical="center"/>
    </xf>
    <xf numFmtId="41" fontId="7" fillId="4" borderId="2" xfId="1" applyNumberFormat="1" applyFont="1" applyFill="1" applyBorder="1">
      <alignment vertical="center"/>
    </xf>
    <xf numFmtId="0" fontId="8" fillId="2" borderId="0" xfId="0" applyFont="1" applyFill="1">
      <alignment vertical="center"/>
    </xf>
    <xf numFmtId="177" fontId="9" fillId="16" borderId="2" xfId="0" applyNumberFormat="1" applyFont="1" applyFill="1" applyBorder="1" applyAlignment="1">
      <alignment vertical="center"/>
    </xf>
    <xf numFmtId="177" fontId="9" fillId="5" borderId="2" xfId="0" applyNumberFormat="1" applyFont="1" applyFill="1" applyBorder="1" applyAlignment="1">
      <alignment vertical="center"/>
    </xf>
    <xf numFmtId="41" fontId="6" fillId="9" borderId="2" xfId="1" applyFont="1" applyFill="1" applyBorder="1">
      <alignment vertical="center"/>
    </xf>
    <xf numFmtId="179" fontId="6" fillId="8" borderId="2" xfId="1" applyNumberFormat="1" applyFont="1" applyFill="1" applyBorder="1">
      <alignment vertical="center"/>
    </xf>
    <xf numFmtId="41" fontId="5" fillId="10" borderId="2" xfId="0" applyNumberFormat="1" applyFont="1" applyFill="1" applyBorder="1" applyAlignment="1">
      <alignment vertical="center"/>
    </xf>
    <xf numFmtId="41" fontId="5" fillId="13" borderId="2" xfId="0" applyNumberFormat="1" applyFont="1" applyFill="1" applyBorder="1" applyAlignment="1">
      <alignment vertical="center"/>
    </xf>
    <xf numFmtId="0" fontId="6" fillId="8" borderId="2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0" fillId="2" borderId="0" xfId="0" applyFill="1">
      <alignment vertical="center"/>
    </xf>
    <xf numFmtId="0" fontId="6" fillId="2" borderId="0" xfId="0" quotePrefix="1" applyFont="1" applyFill="1">
      <alignment vertical="center"/>
    </xf>
    <xf numFmtId="41" fontId="5" fillId="2" borderId="2" xfId="0" applyNumberFormat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41" fontId="5" fillId="15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41" fontId="5" fillId="8" borderId="2" xfId="0" applyNumberFormat="1" applyFont="1" applyFill="1" applyBorder="1" applyAlignment="1">
      <alignment horizontal="center" vertical="center"/>
    </xf>
    <xf numFmtId="179" fontId="6" fillId="7" borderId="2" xfId="1" applyNumberFormat="1" applyFont="1" applyFill="1" applyBorder="1">
      <alignment vertical="center"/>
    </xf>
    <xf numFmtId="177" fontId="6" fillId="0" borderId="2" xfId="1" applyNumberFormat="1" applyFont="1" applyFill="1" applyBorder="1">
      <alignment vertical="center"/>
    </xf>
    <xf numFmtId="179" fontId="6" fillId="6" borderId="2" xfId="1" applyNumberFormat="1" applyFont="1" applyFill="1" applyBorder="1">
      <alignment vertical="center"/>
    </xf>
    <xf numFmtId="41" fontId="6" fillId="0" borderId="2" xfId="1" applyNumberFormat="1" applyFont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9" fontId="6" fillId="0" borderId="2" xfId="1" applyNumberFormat="1" applyFont="1" applyBorder="1">
      <alignment vertical="center"/>
    </xf>
    <xf numFmtId="179" fontId="6" fillId="5" borderId="2" xfId="1" applyNumberFormat="1" applyFont="1" applyFill="1" applyBorder="1">
      <alignment vertical="center"/>
    </xf>
    <xf numFmtId="179" fontId="6" fillId="2" borderId="0" xfId="0" applyNumberFormat="1" applyFont="1" applyFill="1">
      <alignment vertical="center"/>
    </xf>
    <xf numFmtId="179" fontId="6" fillId="5" borderId="2" xfId="1" applyNumberFormat="1" applyFont="1" applyFill="1" applyBorder="1" applyAlignment="1">
      <alignment horizontal="right" vertical="center"/>
    </xf>
    <xf numFmtId="179" fontId="6" fillId="0" borderId="2" xfId="1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79" fontId="5" fillId="2" borderId="2" xfId="1" applyNumberFormat="1" applyFont="1" applyFill="1" applyBorder="1" applyAlignment="1">
      <alignment horizontal="right" vertical="center"/>
    </xf>
    <xf numFmtId="179" fontId="6" fillId="2" borderId="0" xfId="1" applyNumberFormat="1" applyFont="1" applyFill="1" applyAlignment="1">
      <alignment horizontal="right" vertical="center"/>
    </xf>
    <xf numFmtId="43" fontId="6" fillId="2" borderId="0" xfId="0" applyNumberFormat="1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9" fontId="5" fillId="11" borderId="2" xfId="1" applyNumberFormat="1" applyFont="1" applyFill="1" applyBorder="1" applyAlignment="1">
      <alignment horizontal="center" vertical="center"/>
    </xf>
    <xf numFmtId="179" fontId="5" fillId="12" borderId="2" xfId="1" applyNumberFormat="1" applyFont="1" applyFill="1" applyBorder="1" applyAlignment="1">
      <alignment horizontal="center" vertical="center"/>
    </xf>
    <xf numFmtId="179" fontId="5" fillId="14" borderId="2" xfId="1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80" fontId="5" fillId="10" borderId="2" xfId="0" applyNumberFormat="1" applyFont="1" applyFill="1" applyBorder="1" applyAlignment="1">
      <alignment vertical="center"/>
    </xf>
    <xf numFmtId="180" fontId="5" fillId="13" borderId="2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9" fillId="16" borderId="5" xfId="0" applyNumberFormat="1" applyFont="1" applyFill="1" applyBorder="1" applyAlignment="1">
      <alignment horizontal="center" vertical="center"/>
    </xf>
    <xf numFmtId="177" fontId="9" fillId="16" borderId="0" xfId="0" applyNumberFormat="1" applyFont="1" applyFill="1" applyBorder="1" applyAlignment="1">
      <alignment horizontal="center" vertical="center"/>
    </xf>
    <xf numFmtId="177" fontId="10" fillId="16" borderId="2" xfId="0" applyNumberFormat="1" applyFont="1" applyFill="1" applyBorder="1" applyAlignment="1">
      <alignment horizontal="center" vertical="center"/>
    </xf>
    <xf numFmtId="177" fontId="10" fillId="5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9" fontId="6" fillId="8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0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0"/>
  <sheetViews>
    <sheetView tabSelected="1" zoomScaleNormal="100" workbookViewId="0">
      <pane ySplit="4" topLeftCell="A5" activePane="bottomLeft" state="frozen"/>
      <selection pane="bottomLeft" activeCell="I25" sqref="I25"/>
    </sheetView>
  </sheetViews>
  <sheetFormatPr defaultColWidth="3.625" defaultRowHeight="13.5" x14ac:dyDescent="0.3"/>
  <cols>
    <col min="1" max="1" width="3.625" style="24"/>
    <col min="2" max="2" width="8" style="24" customWidth="1"/>
    <col min="3" max="3" width="5.875" style="24" customWidth="1"/>
    <col min="4" max="6" width="6.625" style="24" customWidth="1"/>
    <col min="7" max="8" width="17.375" style="24" customWidth="1"/>
    <col min="9" max="9" width="13.125" style="24" customWidth="1"/>
    <col min="10" max="10" width="3.625" style="24"/>
    <col min="11" max="11" width="4.75" style="24" customWidth="1"/>
    <col min="12" max="12" width="7.875" style="24" customWidth="1"/>
    <col min="13" max="13" width="6.625" style="24" customWidth="1"/>
    <col min="14" max="14" width="7" style="24" customWidth="1"/>
    <col min="15" max="15" width="6.625" style="24" customWidth="1"/>
    <col min="16" max="16" width="13.625" style="24" customWidth="1"/>
    <col min="17" max="17" width="3.625" style="24" customWidth="1"/>
    <col min="18" max="18" width="12.125" style="24" customWidth="1"/>
    <col min="19" max="19" width="14" style="24" customWidth="1"/>
    <col min="20" max="21" width="15.375" style="24" customWidth="1"/>
    <col min="22" max="23" width="13.5" style="24" customWidth="1"/>
    <col min="24" max="24" width="12.75" style="24" customWidth="1"/>
    <col min="25" max="25" width="13" style="24" customWidth="1"/>
    <col min="26" max="16384" width="3.625" style="24"/>
  </cols>
  <sheetData>
    <row r="2" spans="2:23" ht="16.5" customHeight="1" x14ac:dyDescent="0.3">
      <c r="B2" s="79" t="s">
        <v>19</v>
      </c>
      <c r="G2" s="88" t="s">
        <v>30</v>
      </c>
      <c r="H2" s="88" t="s">
        <v>64</v>
      </c>
      <c r="N2" s="79" t="s">
        <v>25</v>
      </c>
      <c r="O2" s="79"/>
      <c r="P2" s="77" t="s">
        <v>65</v>
      </c>
      <c r="R2" s="79" t="s">
        <v>26</v>
      </c>
      <c r="S2" s="80"/>
      <c r="T2" s="79" t="s">
        <v>66</v>
      </c>
      <c r="U2" s="80"/>
    </row>
    <row r="3" spans="2:23" ht="16.5" customHeight="1" x14ac:dyDescent="0.3">
      <c r="B3" s="81"/>
      <c r="G3" s="89"/>
      <c r="H3" s="89"/>
      <c r="N3" s="79"/>
      <c r="O3" s="79"/>
      <c r="P3" s="78"/>
      <c r="R3" s="81"/>
      <c r="S3" s="81"/>
      <c r="T3" s="81"/>
      <c r="U3" s="81"/>
    </row>
    <row r="4" spans="2:23" s="33" customFormat="1" ht="30" customHeight="1" x14ac:dyDescent="0.3">
      <c r="B4" s="32">
        <v>300</v>
      </c>
      <c r="G4" s="34">
        <f>G58*30</f>
        <v>292896</v>
      </c>
      <c r="H4" s="35">
        <f>H58*30</f>
        <v>137592.00000000003</v>
      </c>
      <c r="N4" s="84">
        <f>SUM(G8:G57)+G58*(30-$C$57)</f>
        <v>262241.8236</v>
      </c>
      <c r="O4" s="85"/>
      <c r="P4" s="35">
        <f>SUM(H8:H57)+H58*(30-$C$57)</f>
        <v>123566.52240000002</v>
      </c>
      <c r="R4" s="86">
        <f>V15+V24*7</f>
        <v>650288</v>
      </c>
      <c r="S4" s="86"/>
      <c r="T4" s="87">
        <f>W15+W24*7</f>
        <v>623096</v>
      </c>
      <c r="U4" s="87"/>
    </row>
    <row r="5" spans="2:23" ht="16.5" customHeight="1" x14ac:dyDescent="0.3">
      <c r="B5" s="2" t="s">
        <v>10</v>
      </c>
      <c r="C5" s="2"/>
      <c r="D5" s="2"/>
      <c r="K5" s="2" t="s">
        <v>76</v>
      </c>
      <c r="R5" s="24" t="s">
        <v>15</v>
      </c>
    </row>
    <row r="6" spans="2:23" ht="13.5" customHeight="1" x14ac:dyDescent="0.3">
      <c r="B6" s="90" t="s">
        <v>13</v>
      </c>
      <c r="C6" s="90" t="s">
        <v>1</v>
      </c>
      <c r="D6" s="91" t="s">
        <v>20</v>
      </c>
      <c r="E6" s="91" t="s">
        <v>21</v>
      </c>
      <c r="F6" s="91" t="s">
        <v>22</v>
      </c>
      <c r="G6" s="91" t="s">
        <v>23</v>
      </c>
      <c r="H6" s="91" t="s">
        <v>24</v>
      </c>
      <c r="K6" s="82" t="s">
        <v>0</v>
      </c>
      <c r="L6" s="83" t="s">
        <v>2</v>
      </c>
      <c r="M6" s="80"/>
      <c r="N6" s="80"/>
      <c r="O6" s="80"/>
      <c r="P6" s="77" t="s">
        <v>87</v>
      </c>
      <c r="R6" s="80" t="s">
        <v>3</v>
      </c>
      <c r="S6" s="79" t="s">
        <v>6</v>
      </c>
      <c r="T6" s="79" t="s">
        <v>68</v>
      </c>
      <c r="U6" s="80" t="s">
        <v>4</v>
      </c>
      <c r="V6" s="80" t="s">
        <v>7</v>
      </c>
      <c r="W6" s="80" t="s">
        <v>67</v>
      </c>
    </row>
    <row r="7" spans="2:23" x14ac:dyDescent="0.3">
      <c r="B7" s="90"/>
      <c r="C7" s="90"/>
      <c r="D7" s="90"/>
      <c r="E7" s="90"/>
      <c r="F7" s="90"/>
      <c r="G7" s="90"/>
      <c r="H7" s="90"/>
      <c r="K7" s="78"/>
      <c r="L7" s="66">
        <v>1</v>
      </c>
      <c r="M7" s="66">
        <v>2</v>
      </c>
      <c r="N7" s="66">
        <v>3</v>
      </c>
      <c r="O7" s="66">
        <v>4</v>
      </c>
      <c r="P7" s="78"/>
      <c r="R7" s="81"/>
      <c r="S7" s="81"/>
      <c r="T7" s="81"/>
      <c r="U7" s="81"/>
      <c r="V7" s="81"/>
      <c r="W7" s="81"/>
    </row>
    <row r="8" spans="2:23" x14ac:dyDescent="0.3">
      <c r="B8" s="15">
        <v>1</v>
      </c>
      <c r="C8" s="38">
        <f>(INT(SUM($E$8:E8)/100)+1)</f>
        <v>1</v>
      </c>
      <c r="D8" s="7">
        <v>1</v>
      </c>
      <c r="E8" s="8">
        <v>1</v>
      </c>
      <c r="F8" s="70">
        <v>1.8</v>
      </c>
      <c r="G8" s="8">
        <f t="shared" ref="G8:G39" si="0">VLOOKUP(D8,$K$8:$P$15,6,0)*E8*F8</f>
        <v>42.181199999999997</v>
      </c>
      <c r="H8" s="22">
        <f>VLOOKUP(D8,$K$20:$P$27,6,0)*E8*F8</f>
        <v>19.504799999999999</v>
      </c>
      <c r="K8" s="3">
        <v>1</v>
      </c>
      <c r="L8" s="5">
        <v>89.8</v>
      </c>
      <c r="M8" s="5">
        <v>0.2</v>
      </c>
      <c r="N8" s="5"/>
      <c r="O8" s="5"/>
      <c r="P8" s="11">
        <f t="shared" ref="P8:P15" si="1">(L8*N$32+M8*N$33+N8*N$34+O8*N$35)/100</f>
        <v>23.433999999999997</v>
      </c>
      <c r="R8" s="3">
        <v>1</v>
      </c>
      <c r="S8" s="25">
        <f>$L$32</f>
        <v>290</v>
      </c>
      <c r="T8" s="25">
        <f>$L$43</f>
        <v>290</v>
      </c>
      <c r="U8" s="25">
        <v>64</v>
      </c>
      <c r="V8" s="25">
        <f>S8*U8</f>
        <v>18560</v>
      </c>
      <c r="W8" s="25">
        <f>T8*U8</f>
        <v>18560</v>
      </c>
    </row>
    <row r="9" spans="2:23" x14ac:dyDescent="0.3">
      <c r="B9" s="15">
        <v>2</v>
      </c>
      <c r="C9" s="75">
        <f>(INT(SUM($E$8:E9)/100)+1)</f>
        <v>1</v>
      </c>
      <c r="D9" s="7">
        <v>1</v>
      </c>
      <c r="E9" s="8">
        <v>1</v>
      </c>
      <c r="F9" s="70">
        <v>1.8</v>
      </c>
      <c r="G9" s="8">
        <f t="shared" si="0"/>
        <v>42.181199999999997</v>
      </c>
      <c r="H9" s="22">
        <f t="shared" ref="H8:H39" si="2">VLOOKUP(D9,$K$20:$P$27,6,0)*E9*F9</f>
        <v>19.504799999999999</v>
      </c>
      <c r="K9" s="3">
        <v>2</v>
      </c>
      <c r="L9" s="5">
        <v>88</v>
      </c>
      <c r="M9" s="5">
        <v>2</v>
      </c>
      <c r="N9" s="5"/>
      <c r="O9" s="5"/>
      <c r="P9" s="11">
        <f t="shared" si="1"/>
        <v>23.74</v>
      </c>
      <c r="R9" s="3">
        <v>2</v>
      </c>
      <c r="S9" s="25">
        <f>$L$33</f>
        <v>430</v>
      </c>
      <c r="T9" s="25">
        <f>$L$44</f>
        <v>430</v>
      </c>
      <c r="U9" s="25">
        <v>32</v>
      </c>
      <c r="V9" s="25">
        <f t="shared" ref="V9:V14" si="3">S9*U9</f>
        <v>13760</v>
      </c>
      <c r="W9" s="25">
        <f t="shared" ref="W9:W14" si="4">T9*U9</f>
        <v>13760</v>
      </c>
    </row>
    <row r="10" spans="2:23" x14ac:dyDescent="0.3">
      <c r="B10" s="15">
        <v>3</v>
      </c>
      <c r="C10" s="75">
        <f>(INT(SUM($E$8:E10)/100)+1)</f>
        <v>1</v>
      </c>
      <c r="D10" s="7">
        <v>1</v>
      </c>
      <c r="E10" s="8">
        <v>1</v>
      </c>
      <c r="F10" s="70">
        <v>1.8</v>
      </c>
      <c r="G10" s="8">
        <f t="shared" si="0"/>
        <v>42.181199999999997</v>
      </c>
      <c r="H10" s="22">
        <f t="shared" si="2"/>
        <v>19.504799999999999</v>
      </c>
      <c r="K10" s="3">
        <v>3</v>
      </c>
      <c r="L10" s="5">
        <v>85</v>
      </c>
      <c r="M10" s="5">
        <v>5</v>
      </c>
      <c r="N10" s="5"/>
      <c r="O10" s="5"/>
      <c r="P10" s="11">
        <f t="shared" si="1"/>
        <v>24.25</v>
      </c>
      <c r="R10" s="3">
        <v>3</v>
      </c>
      <c r="S10" s="25">
        <f>$L$34</f>
        <v>790</v>
      </c>
      <c r="T10" s="25">
        <f>$L$45</f>
        <v>790</v>
      </c>
      <c r="U10" s="25">
        <v>16</v>
      </c>
      <c r="V10" s="25">
        <f t="shared" si="3"/>
        <v>12640</v>
      </c>
      <c r="W10" s="25">
        <f t="shared" si="4"/>
        <v>12640</v>
      </c>
    </row>
    <row r="11" spans="2:23" x14ac:dyDescent="0.3">
      <c r="B11" s="15">
        <v>4</v>
      </c>
      <c r="C11" s="75">
        <f>(INT(SUM($E$8:E11)/100)+1)</f>
        <v>1</v>
      </c>
      <c r="D11" s="7">
        <v>1</v>
      </c>
      <c r="E11" s="8">
        <v>1</v>
      </c>
      <c r="F11" s="70">
        <v>1.8</v>
      </c>
      <c r="G11" s="8">
        <f t="shared" si="0"/>
        <v>42.181199999999997</v>
      </c>
      <c r="H11" s="22">
        <f t="shared" si="2"/>
        <v>19.504799999999999</v>
      </c>
      <c r="K11" s="3">
        <v>4</v>
      </c>
      <c r="L11" s="5">
        <v>77.8</v>
      </c>
      <c r="M11" s="5">
        <v>12</v>
      </c>
      <c r="N11" s="5">
        <v>0.2</v>
      </c>
      <c r="O11" s="5"/>
      <c r="P11" s="11">
        <f t="shared" si="1"/>
        <v>25.562000000000001</v>
      </c>
      <c r="R11" s="3">
        <v>4</v>
      </c>
      <c r="S11" s="25">
        <f>$L$35</f>
        <v>1710</v>
      </c>
      <c r="T11" s="25">
        <f>$L$46</f>
        <v>1690</v>
      </c>
      <c r="U11" s="25">
        <v>8</v>
      </c>
      <c r="V11" s="25">
        <f t="shared" si="3"/>
        <v>13680</v>
      </c>
      <c r="W11" s="25">
        <f t="shared" si="4"/>
        <v>13520</v>
      </c>
    </row>
    <row r="12" spans="2:23" x14ac:dyDescent="0.3">
      <c r="B12" s="15">
        <v>5</v>
      </c>
      <c r="C12" s="75">
        <f>(INT(SUM($E$8:E12)/100)+1)</f>
        <v>1</v>
      </c>
      <c r="D12" s="7">
        <v>1</v>
      </c>
      <c r="E12" s="8">
        <v>1</v>
      </c>
      <c r="F12" s="70">
        <v>1.8</v>
      </c>
      <c r="G12" s="8">
        <f t="shared" si="0"/>
        <v>42.181199999999997</v>
      </c>
      <c r="H12" s="22">
        <f t="shared" si="2"/>
        <v>19.504799999999999</v>
      </c>
      <c r="K12" s="3">
        <v>5</v>
      </c>
      <c r="L12" s="5">
        <v>54</v>
      </c>
      <c r="M12" s="5">
        <v>34</v>
      </c>
      <c r="N12" s="5">
        <v>2</v>
      </c>
      <c r="O12" s="5"/>
      <c r="P12" s="11">
        <f t="shared" si="1"/>
        <v>30.4</v>
      </c>
      <c r="R12" s="3">
        <v>5</v>
      </c>
      <c r="S12" s="25">
        <f>$L$36</f>
        <v>4069</v>
      </c>
      <c r="T12" s="25">
        <f>$L$47</f>
        <v>3949</v>
      </c>
      <c r="U12" s="25">
        <v>4</v>
      </c>
      <c r="V12" s="25">
        <f t="shared" si="3"/>
        <v>16276</v>
      </c>
      <c r="W12" s="25">
        <f t="shared" si="4"/>
        <v>15796</v>
      </c>
    </row>
    <row r="13" spans="2:23" x14ac:dyDescent="0.3">
      <c r="B13" s="15">
        <v>6</v>
      </c>
      <c r="C13" s="75">
        <f>(INT(SUM($E$8:E13)/100)+1)</f>
        <v>1</v>
      </c>
      <c r="D13" s="7">
        <v>1</v>
      </c>
      <c r="E13" s="8">
        <v>1</v>
      </c>
      <c r="F13" s="70">
        <v>1.8</v>
      </c>
      <c r="G13" s="8">
        <f t="shared" si="0"/>
        <v>42.181199999999997</v>
      </c>
      <c r="H13" s="22">
        <f t="shared" si="2"/>
        <v>19.504799999999999</v>
      </c>
      <c r="K13" s="3">
        <v>6</v>
      </c>
      <c r="L13" s="5">
        <v>25</v>
      </c>
      <c r="M13" s="5">
        <v>58</v>
      </c>
      <c r="N13" s="5">
        <v>7</v>
      </c>
      <c r="O13" s="5"/>
      <c r="P13" s="11">
        <f t="shared" si="1"/>
        <v>37.53</v>
      </c>
      <c r="R13" s="3">
        <v>6</v>
      </c>
      <c r="S13" s="25">
        <f>$L$37</f>
        <v>10106</v>
      </c>
      <c r="T13" s="25">
        <f>$L$48</f>
        <v>9606</v>
      </c>
      <c r="U13" s="25">
        <v>2</v>
      </c>
      <c r="V13" s="25">
        <f t="shared" si="3"/>
        <v>20212</v>
      </c>
      <c r="W13" s="25">
        <f t="shared" si="4"/>
        <v>19212</v>
      </c>
    </row>
    <row r="14" spans="2:23" x14ac:dyDescent="0.3">
      <c r="B14" s="15">
        <v>7</v>
      </c>
      <c r="C14" s="75">
        <f>(INT(SUM($E$8:E14)/100)+1)</f>
        <v>1</v>
      </c>
      <c r="D14" s="7">
        <v>1</v>
      </c>
      <c r="E14" s="8">
        <v>2</v>
      </c>
      <c r="F14" s="70">
        <v>1.8</v>
      </c>
      <c r="G14" s="8">
        <f t="shared" si="0"/>
        <v>84.362399999999994</v>
      </c>
      <c r="H14" s="22">
        <f t="shared" si="2"/>
        <v>39.009599999999999</v>
      </c>
      <c r="K14" s="3">
        <v>7</v>
      </c>
      <c r="L14" s="5"/>
      <c r="M14" s="5">
        <v>70.2</v>
      </c>
      <c r="N14" s="5">
        <v>19</v>
      </c>
      <c r="O14" s="5">
        <v>0.8</v>
      </c>
      <c r="P14" s="11">
        <f t="shared" si="1"/>
        <v>48.42</v>
      </c>
      <c r="R14" s="3">
        <v>7</v>
      </c>
      <c r="S14" s="25">
        <f>$L$38</f>
        <v>25498</v>
      </c>
      <c r="T14" s="25">
        <f>$L$49</f>
        <v>23739</v>
      </c>
      <c r="U14" s="25">
        <v>1</v>
      </c>
      <c r="V14" s="25">
        <f t="shared" si="3"/>
        <v>25498</v>
      </c>
      <c r="W14" s="25">
        <f t="shared" si="4"/>
        <v>23739</v>
      </c>
    </row>
    <row r="15" spans="2:23" ht="13.5" customHeight="1" x14ac:dyDescent="0.3">
      <c r="B15" s="15">
        <v>8</v>
      </c>
      <c r="C15" s="75">
        <f>(INT(SUM($E$8:E15)/100)+1)</f>
        <v>1</v>
      </c>
      <c r="D15" s="7">
        <v>1</v>
      </c>
      <c r="E15" s="8">
        <v>2</v>
      </c>
      <c r="F15" s="70">
        <v>1.8</v>
      </c>
      <c r="G15" s="8">
        <f t="shared" si="0"/>
        <v>84.362399999999994</v>
      </c>
      <c r="H15" s="22">
        <f t="shared" si="2"/>
        <v>39.009599999999999</v>
      </c>
      <c r="K15" s="3">
        <v>8</v>
      </c>
      <c r="L15" s="5"/>
      <c r="M15" s="5">
        <v>61.2</v>
      </c>
      <c r="N15" s="5">
        <v>27.2</v>
      </c>
      <c r="O15" s="5">
        <v>2</v>
      </c>
      <c r="P15" s="11">
        <f t="shared" si="1"/>
        <v>54.24</v>
      </c>
      <c r="R15" s="26"/>
      <c r="S15" s="27"/>
      <c r="T15" s="27"/>
      <c r="U15" s="27"/>
      <c r="V15" s="28">
        <f>SUM(V8:V14)</f>
        <v>120626</v>
      </c>
      <c r="W15" s="36">
        <f>SUM(W8:W14)</f>
        <v>117227</v>
      </c>
    </row>
    <row r="16" spans="2:23" x14ac:dyDescent="0.3">
      <c r="B16" s="15">
        <v>9</v>
      </c>
      <c r="C16" s="75">
        <f>(INT(SUM($E$8:E16)/100)+1)</f>
        <v>1</v>
      </c>
      <c r="D16" s="7">
        <v>1</v>
      </c>
      <c r="E16" s="8">
        <v>3</v>
      </c>
      <c r="F16" s="70">
        <v>1.8</v>
      </c>
      <c r="G16" s="8">
        <f t="shared" si="0"/>
        <v>126.54359999999998</v>
      </c>
      <c r="H16" s="22">
        <f t="shared" si="2"/>
        <v>58.514399999999995</v>
      </c>
    </row>
    <row r="17" spans="2:23" x14ac:dyDescent="0.3">
      <c r="B17" s="15">
        <v>10</v>
      </c>
      <c r="C17" s="75">
        <f>(INT(SUM($E$8:E17)/100)+1)</f>
        <v>1</v>
      </c>
      <c r="D17" s="12">
        <v>2</v>
      </c>
      <c r="E17" s="13">
        <v>4</v>
      </c>
      <c r="F17" s="71">
        <v>1.8</v>
      </c>
      <c r="G17" s="10">
        <f t="shared" si="0"/>
        <v>170.928</v>
      </c>
      <c r="H17" s="17">
        <f t="shared" si="2"/>
        <v>79.056000000000012</v>
      </c>
      <c r="K17" s="2" t="s">
        <v>9</v>
      </c>
      <c r="R17" s="24" t="s">
        <v>47</v>
      </c>
    </row>
    <row r="18" spans="2:23" ht="13.5" customHeight="1" x14ac:dyDescent="0.3">
      <c r="B18" s="15">
        <v>11</v>
      </c>
      <c r="C18" s="75">
        <f>(INT(SUM($E$8:E18)/100)+1)</f>
        <v>1</v>
      </c>
      <c r="D18" s="12">
        <v>2</v>
      </c>
      <c r="E18" s="13">
        <v>4</v>
      </c>
      <c r="F18" s="71">
        <v>1.8</v>
      </c>
      <c r="G18" s="10">
        <f t="shared" si="0"/>
        <v>170.928</v>
      </c>
      <c r="H18" s="17">
        <f t="shared" si="2"/>
        <v>79.056000000000012</v>
      </c>
      <c r="K18" s="82" t="s">
        <v>0</v>
      </c>
      <c r="L18" s="83" t="s">
        <v>2</v>
      </c>
      <c r="M18" s="80"/>
      <c r="N18" s="80"/>
      <c r="O18" s="80"/>
      <c r="P18" s="77" t="s">
        <v>86</v>
      </c>
      <c r="R18" s="80" t="s">
        <v>3</v>
      </c>
      <c r="S18" s="79" t="s">
        <v>6</v>
      </c>
      <c r="T18" s="79" t="s">
        <v>6</v>
      </c>
      <c r="U18" s="80" t="s">
        <v>4</v>
      </c>
      <c r="V18" s="80" t="s">
        <v>7</v>
      </c>
      <c r="W18" s="80" t="s">
        <v>67</v>
      </c>
    </row>
    <row r="19" spans="2:23" ht="13.5" customHeight="1" x14ac:dyDescent="0.3">
      <c r="B19" s="15">
        <v>12</v>
      </c>
      <c r="C19" s="75">
        <f>(INT(SUM($E$8:E19)/100)+1)</f>
        <v>1</v>
      </c>
      <c r="D19" s="12">
        <v>2</v>
      </c>
      <c r="E19" s="13">
        <v>4</v>
      </c>
      <c r="F19" s="71">
        <v>1.8</v>
      </c>
      <c r="G19" s="10">
        <f t="shared" si="0"/>
        <v>170.928</v>
      </c>
      <c r="H19" s="17">
        <f t="shared" si="2"/>
        <v>79.056000000000012</v>
      </c>
      <c r="K19" s="78"/>
      <c r="L19" s="68">
        <v>1</v>
      </c>
      <c r="M19" s="68">
        <v>2</v>
      </c>
      <c r="N19" s="68">
        <v>3</v>
      </c>
      <c r="O19" s="68">
        <v>4</v>
      </c>
      <c r="P19" s="78"/>
      <c r="R19" s="81"/>
      <c r="S19" s="81"/>
      <c r="T19" s="81"/>
      <c r="U19" s="81"/>
      <c r="V19" s="81"/>
      <c r="W19" s="81"/>
    </row>
    <row r="20" spans="2:23" x14ac:dyDescent="0.3">
      <c r="B20" s="15">
        <v>13</v>
      </c>
      <c r="C20" s="75">
        <f>(INT(SUM($E$8:E20)/100)+1)</f>
        <v>1</v>
      </c>
      <c r="D20" s="7">
        <v>3</v>
      </c>
      <c r="E20" s="8">
        <v>6</v>
      </c>
      <c r="F20" s="70">
        <v>1.8</v>
      </c>
      <c r="G20" s="8">
        <f t="shared" si="0"/>
        <v>261.90000000000003</v>
      </c>
      <c r="H20" s="22">
        <f t="shared" si="2"/>
        <v>124.41600000000001</v>
      </c>
      <c r="K20" s="3">
        <v>1</v>
      </c>
      <c r="L20" s="5">
        <f>90-N20-M20</f>
        <v>89.8</v>
      </c>
      <c r="M20" s="5">
        <v>0.2</v>
      </c>
      <c r="N20" s="5"/>
      <c r="O20" s="5"/>
      <c r="P20" s="18">
        <f t="shared" ref="P20:P27" si="5">($L20*$N$43+$M20*$N$44+$N20*$N$45+$O20*$N$46)/100</f>
        <v>10.835999999999999</v>
      </c>
      <c r="R20" s="3">
        <v>4</v>
      </c>
      <c r="S20" s="25">
        <f>$L$35</f>
        <v>1710</v>
      </c>
      <c r="T20" s="25">
        <f>$L$46</f>
        <v>1690</v>
      </c>
      <c r="U20" s="25">
        <v>8</v>
      </c>
      <c r="V20" s="25">
        <f>S20*U20</f>
        <v>13680</v>
      </c>
      <c r="W20" s="25">
        <f>T20*U20</f>
        <v>13520</v>
      </c>
    </row>
    <row r="21" spans="2:23" x14ac:dyDescent="0.3">
      <c r="B21" s="15">
        <v>14</v>
      </c>
      <c r="C21" s="75">
        <f>(INT(SUM($E$8:E21)/100)+1)</f>
        <v>1</v>
      </c>
      <c r="D21" s="7">
        <v>3</v>
      </c>
      <c r="E21" s="8">
        <v>5</v>
      </c>
      <c r="F21" s="70">
        <v>1.8</v>
      </c>
      <c r="G21" s="8">
        <f t="shared" si="0"/>
        <v>218.25</v>
      </c>
      <c r="H21" s="22">
        <f t="shared" si="2"/>
        <v>103.67999999999999</v>
      </c>
      <c r="K21" s="3">
        <v>2</v>
      </c>
      <c r="L21" s="5">
        <f t="shared" ref="L21:L27" si="6">90-N21-M21</f>
        <v>89</v>
      </c>
      <c r="M21" s="5">
        <v>1</v>
      </c>
      <c r="N21" s="5"/>
      <c r="O21" s="5"/>
      <c r="P21" s="18">
        <f t="shared" si="5"/>
        <v>10.98</v>
      </c>
      <c r="R21" s="3">
        <v>5</v>
      </c>
      <c r="S21" s="25">
        <f>$L$36</f>
        <v>4069</v>
      </c>
      <c r="T21" s="25">
        <f>$L$47</f>
        <v>3949</v>
      </c>
      <c r="U21" s="25">
        <v>4</v>
      </c>
      <c r="V21" s="25">
        <f>S21*U21</f>
        <v>16276</v>
      </c>
      <c r="W21" s="25">
        <f>T21*U21</f>
        <v>15796</v>
      </c>
    </row>
    <row r="22" spans="2:23" x14ac:dyDescent="0.3">
      <c r="B22" s="15">
        <v>15</v>
      </c>
      <c r="C22" s="75">
        <f>(INT(SUM($E$8:E22)/100)+1)</f>
        <v>1</v>
      </c>
      <c r="D22" s="7">
        <v>3</v>
      </c>
      <c r="E22" s="8">
        <v>5</v>
      </c>
      <c r="F22" s="70">
        <v>1.8</v>
      </c>
      <c r="G22" s="8">
        <f t="shared" si="0"/>
        <v>218.25</v>
      </c>
      <c r="H22" s="22">
        <f t="shared" si="2"/>
        <v>103.67999999999999</v>
      </c>
      <c r="K22" s="3">
        <v>3</v>
      </c>
      <c r="L22" s="5">
        <f t="shared" si="6"/>
        <v>86</v>
      </c>
      <c r="M22" s="5">
        <v>4</v>
      </c>
      <c r="N22" s="5"/>
      <c r="O22" s="5"/>
      <c r="P22" s="18">
        <f t="shared" si="5"/>
        <v>11.52</v>
      </c>
      <c r="R22" s="3">
        <v>6</v>
      </c>
      <c r="S22" s="25">
        <f>$L$37</f>
        <v>10106</v>
      </c>
      <c r="T22" s="25">
        <f>$L$48</f>
        <v>9606</v>
      </c>
      <c r="U22" s="25">
        <v>2</v>
      </c>
      <c r="V22" s="25">
        <f>S22*U22</f>
        <v>20212</v>
      </c>
      <c r="W22" s="25">
        <f>T22*U22</f>
        <v>19212</v>
      </c>
    </row>
    <row r="23" spans="2:23" ht="13.5" customHeight="1" x14ac:dyDescent="0.3">
      <c r="B23" s="15">
        <v>16</v>
      </c>
      <c r="C23" s="75">
        <f>(INT(SUM($E$8:E23)/100)+1)</f>
        <v>1</v>
      </c>
      <c r="D23" s="7">
        <v>3</v>
      </c>
      <c r="E23" s="8">
        <v>8</v>
      </c>
      <c r="F23" s="70">
        <v>1.8</v>
      </c>
      <c r="G23" s="8">
        <f t="shared" si="0"/>
        <v>349.2</v>
      </c>
      <c r="H23" s="22">
        <f t="shared" si="2"/>
        <v>165.88800000000001</v>
      </c>
      <c r="K23" s="3">
        <v>4</v>
      </c>
      <c r="L23" s="5">
        <f t="shared" si="6"/>
        <v>80.8</v>
      </c>
      <c r="M23" s="5">
        <v>9</v>
      </c>
      <c r="N23" s="5">
        <v>0.2</v>
      </c>
      <c r="O23" s="5"/>
      <c r="P23" s="18">
        <f t="shared" si="5"/>
        <v>12.591999999999999</v>
      </c>
      <c r="R23" s="3">
        <v>7</v>
      </c>
      <c r="S23" s="25">
        <f>$L$38</f>
        <v>25498</v>
      </c>
      <c r="T23" s="25">
        <f>$L$49</f>
        <v>23739</v>
      </c>
      <c r="U23" s="25">
        <v>1</v>
      </c>
      <c r="V23" s="25">
        <f>S23*U23</f>
        <v>25498</v>
      </c>
      <c r="W23" s="25">
        <f>T23*U23</f>
        <v>23739</v>
      </c>
    </row>
    <row r="24" spans="2:23" x14ac:dyDescent="0.3">
      <c r="B24" s="15">
        <v>17</v>
      </c>
      <c r="C24" s="75">
        <f>(INT(SUM($E$8:E24)/100)+1)</f>
        <v>1</v>
      </c>
      <c r="D24" s="7">
        <v>3</v>
      </c>
      <c r="E24" s="8">
        <v>7</v>
      </c>
      <c r="F24" s="70">
        <v>1.8</v>
      </c>
      <c r="G24" s="8">
        <f t="shared" si="0"/>
        <v>305.55</v>
      </c>
      <c r="H24" s="22">
        <f t="shared" si="2"/>
        <v>145.15200000000002</v>
      </c>
      <c r="K24" s="3">
        <v>5</v>
      </c>
      <c r="L24" s="5">
        <f t="shared" si="6"/>
        <v>73</v>
      </c>
      <c r="M24" s="5">
        <v>16</v>
      </c>
      <c r="N24" s="5">
        <v>1</v>
      </c>
      <c r="O24" s="5"/>
      <c r="P24" s="18">
        <f t="shared" si="5"/>
        <v>14.54</v>
      </c>
      <c r="R24" s="26"/>
      <c r="S24" s="27"/>
      <c r="V24" s="28">
        <f>SUM(V20:V23)</f>
        <v>75666</v>
      </c>
      <c r="W24" s="36">
        <f>SUM(W20:W23)</f>
        <v>72267</v>
      </c>
    </row>
    <row r="25" spans="2:23" x14ac:dyDescent="0.3">
      <c r="B25" s="15">
        <v>18</v>
      </c>
      <c r="C25" s="75">
        <f>(INT(SUM($E$8:E25)/100)+1)</f>
        <v>1</v>
      </c>
      <c r="D25" s="7">
        <v>3</v>
      </c>
      <c r="E25" s="8">
        <v>7</v>
      </c>
      <c r="F25" s="70">
        <v>1.8</v>
      </c>
      <c r="G25" s="8">
        <f t="shared" si="0"/>
        <v>305.55</v>
      </c>
      <c r="H25" s="22">
        <f t="shared" si="2"/>
        <v>145.15200000000002</v>
      </c>
      <c r="K25" s="3">
        <v>6</v>
      </c>
      <c r="L25" s="5">
        <f t="shared" si="6"/>
        <v>61</v>
      </c>
      <c r="M25" s="5">
        <v>26</v>
      </c>
      <c r="N25" s="5">
        <v>3</v>
      </c>
      <c r="O25" s="5"/>
      <c r="P25" s="18">
        <f t="shared" si="5"/>
        <v>18.059999999999999</v>
      </c>
    </row>
    <row r="26" spans="2:23" x14ac:dyDescent="0.3">
      <c r="B26" s="15">
        <v>19</v>
      </c>
      <c r="C26" s="75">
        <f>(INT(SUM($E$8:E26)/100)+1)</f>
        <v>1</v>
      </c>
      <c r="D26" s="7">
        <v>3</v>
      </c>
      <c r="E26" s="8">
        <v>7</v>
      </c>
      <c r="F26" s="70">
        <v>1.8</v>
      </c>
      <c r="G26" s="8">
        <f t="shared" si="0"/>
        <v>305.55</v>
      </c>
      <c r="H26" s="22">
        <f t="shared" si="2"/>
        <v>145.15200000000002</v>
      </c>
      <c r="K26" s="3">
        <v>7</v>
      </c>
      <c r="L26" s="5">
        <f t="shared" si="6"/>
        <v>48</v>
      </c>
      <c r="M26" s="5">
        <v>36</v>
      </c>
      <c r="N26" s="5">
        <v>6</v>
      </c>
      <c r="O26" s="5"/>
      <c r="P26" s="18">
        <f t="shared" si="5"/>
        <v>22.44</v>
      </c>
      <c r="R26" s="24" t="s">
        <v>80</v>
      </c>
    </row>
    <row r="27" spans="2:23" ht="13.5" customHeight="1" x14ac:dyDescent="0.3">
      <c r="B27" s="15">
        <v>20</v>
      </c>
      <c r="C27" s="75">
        <f>(INT(SUM($E$8:E27)/100)+1)</f>
        <v>1</v>
      </c>
      <c r="D27" s="7">
        <v>3</v>
      </c>
      <c r="E27" s="8">
        <v>11</v>
      </c>
      <c r="F27" s="70">
        <v>1.8</v>
      </c>
      <c r="G27" s="8">
        <f t="shared" si="0"/>
        <v>480.15000000000003</v>
      </c>
      <c r="H27" s="22">
        <f t="shared" si="2"/>
        <v>228.096</v>
      </c>
      <c r="K27" s="3">
        <v>8</v>
      </c>
      <c r="L27" s="5">
        <f t="shared" si="6"/>
        <v>50</v>
      </c>
      <c r="M27" s="5">
        <v>29</v>
      </c>
      <c r="N27" s="5">
        <v>11</v>
      </c>
      <c r="O27" s="5"/>
      <c r="P27" s="18">
        <f t="shared" si="5"/>
        <v>25.48</v>
      </c>
      <c r="R27" s="66" t="s">
        <v>37</v>
      </c>
      <c r="S27" s="66" t="s">
        <v>2</v>
      </c>
      <c r="T27" s="66" t="s">
        <v>36</v>
      </c>
      <c r="U27" s="66" t="s">
        <v>45</v>
      </c>
    </row>
    <row r="28" spans="2:23" x14ac:dyDescent="0.3">
      <c r="B28" s="15">
        <v>21</v>
      </c>
      <c r="C28" s="75">
        <f>(INT(SUM($E$8:E28)/100)+1)</f>
        <v>1</v>
      </c>
      <c r="D28" s="12">
        <v>4</v>
      </c>
      <c r="E28" s="13">
        <v>14</v>
      </c>
      <c r="F28" s="71">
        <v>1.8</v>
      </c>
      <c r="G28" s="10">
        <f t="shared" si="0"/>
        <v>644.16240000000005</v>
      </c>
      <c r="H28" s="17">
        <f t="shared" si="2"/>
        <v>317.3184</v>
      </c>
      <c r="R28" s="3" t="s">
        <v>34</v>
      </c>
      <c r="S28" s="3" t="s">
        <v>77</v>
      </c>
      <c r="T28" s="3">
        <v>20</v>
      </c>
      <c r="U28" s="45">
        <f>T8*U9+T9*U10+T10*U11+T11*U12+T12*U13+T13</f>
        <v>46744</v>
      </c>
    </row>
    <row r="29" spans="2:23" ht="13.5" customHeight="1" x14ac:dyDescent="0.3">
      <c r="B29" s="16">
        <v>22</v>
      </c>
      <c r="C29" s="76">
        <f>(INT(SUM($E$8:E29)/100)+1)</f>
        <v>2</v>
      </c>
      <c r="D29" s="12">
        <v>4</v>
      </c>
      <c r="E29" s="13">
        <v>12</v>
      </c>
      <c r="F29" s="71">
        <v>1.8</v>
      </c>
      <c r="G29" s="10">
        <f t="shared" si="0"/>
        <v>552.13920000000007</v>
      </c>
      <c r="H29" s="17">
        <f t="shared" si="2"/>
        <v>271.98719999999997</v>
      </c>
      <c r="K29" s="2" t="s">
        <v>16</v>
      </c>
      <c r="R29" s="46" t="s">
        <v>38</v>
      </c>
      <c r="S29" s="46" t="s">
        <v>78</v>
      </c>
      <c r="T29" s="46">
        <v>20</v>
      </c>
      <c r="U29" s="47">
        <f>T10*U12+T11*U13+T12</f>
        <v>10489</v>
      </c>
    </row>
    <row r="30" spans="2:23" ht="13.5" customHeight="1" x14ac:dyDescent="0.3">
      <c r="B30" s="16">
        <v>23</v>
      </c>
      <c r="C30" s="76">
        <f>(INT(SUM($E$8:E30)/100)+1)</f>
        <v>2</v>
      </c>
      <c r="D30" s="12">
        <v>4</v>
      </c>
      <c r="E30" s="13">
        <v>11</v>
      </c>
      <c r="F30" s="71">
        <v>1.8</v>
      </c>
      <c r="G30" s="10">
        <f t="shared" si="0"/>
        <v>506.12760000000003</v>
      </c>
      <c r="H30" s="17">
        <f t="shared" si="2"/>
        <v>249.32160000000002</v>
      </c>
      <c r="K30" s="91" t="s">
        <v>2</v>
      </c>
      <c r="L30" s="91" t="s">
        <v>27</v>
      </c>
      <c r="M30" s="90" t="s">
        <v>8</v>
      </c>
      <c r="N30" s="90" t="s">
        <v>5</v>
      </c>
      <c r="O30" s="91" t="s">
        <v>28</v>
      </c>
      <c r="R30" s="46" t="s">
        <v>39</v>
      </c>
      <c r="S30" s="46" t="s">
        <v>81</v>
      </c>
      <c r="T30" s="46">
        <v>20</v>
      </c>
      <c r="U30" s="47">
        <f>S10*U11+S11*U12+S12*U13+S13</f>
        <v>31404</v>
      </c>
    </row>
    <row r="31" spans="2:23" x14ac:dyDescent="0.3">
      <c r="B31" s="16">
        <v>24</v>
      </c>
      <c r="C31" s="76">
        <f>(INT(SUM($E$8:E31)/100)+1)</f>
        <v>2</v>
      </c>
      <c r="D31" s="12">
        <v>4</v>
      </c>
      <c r="E31" s="13">
        <v>11</v>
      </c>
      <c r="F31" s="71">
        <v>1.8</v>
      </c>
      <c r="G31" s="10">
        <f t="shared" si="0"/>
        <v>506.12760000000003</v>
      </c>
      <c r="H31" s="17">
        <f t="shared" si="2"/>
        <v>249.32160000000002</v>
      </c>
      <c r="K31" s="90"/>
      <c r="L31" s="90"/>
      <c r="M31" s="90"/>
      <c r="N31" s="90"/>
      <c r="O31" s="90"/>
      <c r="R31" s="46" t="s">
        <v>40</v>
      </c>
      <c r="S31" s="46" t="s">
        <v>78</v>
      </c>
      <c r="T31" s="46">
        <v>20</v>
      </c>
      <c r="U31" s="47">
        <f>U29</f>
        <v>10489</v>
      </c>
    </row>
    <row r="32" spans="2:23" x14ac:dyDescent="0.3">
      <c r="B32" s="16">
        <v>25</v>
      </c>
      <c r="C32" s="76">
        <f>(INT(SUM($E$8:E32)/100)+1)</f>
        <v>2</v>
      </c>
      <c r="D32" s="12">
        <v>4</v>
      </c>
      <c r="E32" s="13">
        <v>19</v>
      </c>
      <c r="F32" s="71">
        <v>1.8</v>
      </c>
      <c r="G32" s="10">
        <f t="shared" si="0"/>
        <v>874.22040000000004</v>
      </c>
      <c r="H32" s="17">
        <f t="shared" si="2"/>
        <v>430.64639999999997</v>
      </c>
      <c r="K32" s="3">
        <v>1</v>
      </c>
      <c r="L32" s="28">
        <v>290</v>
      </c>
      <c r="M32" s="25"/>
      <c r="N32" s="51">
        <v>26</v>
      </c>
      <c r="O32" s="52">
        <v>11</v>
      </c>
      <c r="R32" s="46" t="s">
        <v>41</v>
      </c>
      <c r="S32" s="46" t="s">
        <v>78</v>
      </c>
      <c r="T32" s="46">
        <v>20</v>
      </c>
      <c r="U32" s="47">
        <f>U29</f>
        <v>10489</v>
      </c>
    </row>
    <row r="33" spans="2:21" x14ac:dyDescent="0.3">
      <c r="B33" s="16">
        <v>26</v>
      </c>
      <c r="C33" s="76">
        <f>(INT(SUM($E$8:E33)/100)+1)</f>
        <v>2</v>
      </c>
      <c r="D33" s="12">
        <v>4</v>
      </c>
      <c r="E33" s="13">
        <v>13</v>
      </c>
      <c r="F33" s="71">
        <v>1.8</v>
      </c>
      <c r="G33" s="10">
        <f t="shared" si="0"/>
        <v>598.15080000000012</v>
      </c>
      <c r="H33" s="17">
        <f t="shared" si="2"/>
        <v>294.65279999999996</v>
      </c>
      <c r="K33" s="3">
        <v>2</v>
      </c>
      <c r="L33" s="28">
        <v>430</v>
      </c>
      <c r="M33" s="30">
        <f>L33/L32</f>
        <v>1.4827586206896552</v>
      </c>
      <c r="N33" s="51">
        <v>43</v>
      </c>
      <c r="O33" s="52">
        <v>10</v>
      </c>
      <c r="R33" s="46" t="s">
        <v>42</v>
      </c>
      <c r="S33" s="46" t="s">
        <v>78</v>
      </c>
      <c r="T33" s="46">
        <v>20</v>
      </c>
      <c r="U33" s="47">
        <f>U29</f>
        <v>10489</v>
      </c>
    </row>
    <row r="34" spans="2:21" x14ac:dyDescent="0.3">
      <c r="B34" s="16">
        <v>27</v>
      </c>
      <c r="C34" s="76">
        <f>(INT(SUM($E$8:E34)/100)+1)</f>
        <v>2</v>
      </c>
      <c r="D34" s="12">
        <v>4</v>
      </c>
      <c r="E34" s="13">
        <v>15</v>
      </c>
      <c r="F34" s="71">
        <v>1.8</v>
      </c>
      <c r="G34" s="10">
        <f t="shared" si="0"/>
        <v>690.17399999999998</v>
      </c>
      <c r="H34" s="17">
        <f t="shared" si="2"/>
        <v>339.98399999999998</v>
      </c>
      <c r="K34" s="3">
        <v>3</v>
      </c>
      <c r="L34" s="28">
        <v>790</v>
      </c>
      <c r="M34" s="30">
        <f t="shared" ref="M34:M37" si="7">L34/L33</f>
        <v>1.8372093023255813</v>
      </c>
      <c r="N34" s="51">
        <v>87</v>
      </c>
      <c r="O34" s="52">
        <v>9</v>
      </c>
      <c r="R34" s="3" t="s">
        <v>43</v>
      </c>
      <c r="S34" s="3" t="s">
        <v>79</v>
      </c>
      <c r="T34" s="3">
        <v>20</v>
      </c>
      <c r="U34" s="45">
        <f>T10*U13+T11</f>
        <v>3270</v>
      </c>
    </row>
    <row r="35" spans="2:21" x14ac:dyDescent="0.3">
      <c r="B35" s="16">
        <v>28</v>
      </c>
      <c r="C35" s="76">
        <f>(INT(SUM($E$8:E35)/100)+1)</f>
        <v>2</v>
      </c>
      <c r="D35" s="12">
        <v>4</v>
      </c>
      <c r="E35" s="13">
        <v>16</v>
      </c>
      <c r="F35" s="71">
        <v>1.8</v>
      </c>
      <c r="G35" s="10">
        <f t="shared" si="0"/>
        <v>736.18560000000002</v>
      </c>
      <c r="H35" s="17">
        <f t="shared" si="2"/>
        <v>362.64959999999996</v>
      </c>
      <c r="K35" s="3">
        <v>4</v>
      </c>
      <c r="L35" s="28">
        <v>1710</v>
      </c>
      <c r="M35" s="30">
        <f t="shared" si="7"/>
        <v>2.1645569620253164</v>
      </c>
      <c r="N35" s="51">
        <v>213</v>
      </c>
      <c r="O35" s="52">
        <v>8</v>
      </c>
      <c r="R35" s="3" t="s">
        <v>44</v>
      </c>
      <c r="S35" s="3" t="s">
        <v>79</v>
      </c>
      <c r="T35" s="3">
        <v>20</v>
      </c>
      <c r="U35" s="45">
        <f>U34</f>
        <v>3270</v>
      </c>
    </row>
    <row r="36" spans="2:21" x14ac:dyDescent="0.3">
      <c r="B36" s="15">
        <v>29</v>
      </c>
      <c r="C36" s="75">
        <f>(INT(SUM($E$8:E36)/100)+1)</f>
        <v>3</v>
      </c>
      <c r="D36" s="12">
        <v>4</v>
      </c>
      <c r="E36" s="13">
        <v>18</v>
      </c>
      <c r="F36" s="71">
        <v>1.8</v>
      </c>
      <c r="G36" s="10">
        <f t="shared" si="0"/>
        <v>828.20880000000011</v>
      </c>
      <c r="H36" s="17">
        <f t="shared" si="2"/>
        <v>407.98079999999999</v>
      </c>
      <c r="K36" s="3">
        <v>5</v>
      </c>
      <c r="L36" s="28">
        <v>4069</v>
      </c>
      <c r="M36" s="30">
        <f t="shared" si="7"/>
        <v>2.3795321637426903</v>
      </c>
      <c r="N36" s="51">
        <v>581</v>
      </c>
      <c r="O36" s="52">
        <v>7</v>
      </c>
      <c r="R36" s="48" t="s">
        <v>46</v>
      </c>
      <c r="S36" s="48"/>
      <c r="T36" s="48"/>
      <c r="U36" s="49">
        <f>SUM(U28:U35)</f>
        <v>126644</v>
      </c>
    </row>
    <row r="37" spans="2:21" x14ac:dyDescent="0.3">
      <c r="B37" s="15">
        <v>30</v>
      </c>
      <c r="C37" s="75">
        <f>(INT(SUM($E$8:E37)/100)+1)</f>
        <v>3</v>
      </c>
      <c r="D37" s="12">
        <v>4</v>
      </c>
      <c r="E37" s="13">
        <v>19</v>
      </c>
      <c r="F37" s="71">
        <v>1.8</v>
      </c>
      <c r="G37" s="10">
        <f t="shared" si="0"/>
        <v>874.22040000000004</v>
      </c>
      <c r="H37" s="17">
        <f t="shared" si="2"/>
        <v>430.64639999999997</v>
      </c>
      <c r="K37" s="3">
        <v>6</v>
      </c>
      <c r="L37" s="28">
        <v>10106</v>
      </c>
      <c r="M37" s="30">
        <f t="shared" si="7"/>
        <v>2.4836569181617105</v>
      </c>
      <c r="N37" s="51">
        <v>1684</v>
      </c>
      <c r="O37" s="52">
        <v>6</v>
      </c>
    </row>
    <row r="38" spans="2:21" x14ac:dyDescent="0.3">
      <c r="B38" s="15">
        <v>31</v>
      </c>
      <c r="C38" s="75">
        <f>(INT(SUM($E$8:E38)/100)+1)</f>
        <v>3</v>
      </c>
      <c r="D38" s="12">
        <v>4</v>
      </c>
      <c r="E38" s="13">
        <v>20</v>
      </c>
      <c r="F38" s="71">
        <v>1.8</v>
      </c>
      <c r="G38" s="10">
        <f t="shared" si="0"/>
        <v>920.23200000000008</v>
      </c>
      <c r="H38" s="17">
        <f t="shared" si="2"/>
        <v>453.31199999999995</v>
      </c>
      <c r="K38" s="3">
        <v>7</v>
      </c>
      <c r="L38" s="28">
        <v>25498</v>
      </c>
      <c r="M38" s="30">
        <f>L38/L37</f>
        <v>2.5230556105283988</v>
      </c>
      <c r="N38" s="51">
        <v>5099</v>
      </c>
      <c r="O38" s="52">
        <v>5</v>
      </c>
      <c r="R38" s="24" t="s">
        <v>84</v>
      </c>
    </row>
    <row r="39" spans="2:21" ht="13.5" customHeight="1" x14ac:dyDescent="0.3">
      <c r="B39" s="15">
        <v>32</v>
      </c>
      <c r="C39" s="75">
        <f>(INT(SUM($E$8:E39)/100)+1)</f>
        <v>3</v>
      </c>
      <c r="D39" s="12">
        <v>4</v>
      </c>
      <c r="E39" s="13">
        <v>22</v>
      </c>
      <c r="F39" s="71">
        <v>1.8</v>
      </c>
      <c r="G39" s="10">
        <f t="shared" si="0"/>
        <v>1012.2552000000001</v>
      </c>
      <c r="H39" s="17">
        <f t="shared" si="2"/>
        <v>498.64320000000004</v>
      </c>
      <c r="R39" s="66" t="s">
        <v>37</v>
      </c>
      <c r="S39" s="66" t="s">
        <v>2</v>
      </c>
      <c r="T39" s="66" t="s">
        <v>36</v>
      </c>
      <c r="U39" s="66" t="s">
        <v>45</v>
      </c>
    </row>
    <row r="40" spans="2:21" x14ac:dyDescent="0.3">
      <c r="B40" s="16">
        <v>33</v>
      </c>
      <c r="C40" s="76">
        <f>(INT(SUM($E$8:E40)/100)+1)</f>
        <v>3</v>
      </c>
      <c r="D40" s="7">
        <v>5</v>
      </c>
      <c r="E40" s="8">
        <v>20</v>
      </c>
      <c r="F40" s="70">
        <v>1.8</v>
      </c>
      <c r="G40" s="8">
        <f t="shared" ref="G40:G51" si="8">VLOOKUP(D40,$K$8:$P$15,6,0)*E40*F40</f>
        <v>1094.4000000000001</v>
      </c>
      <c r="H40" s="22">
        <f t="shared" ref="H40:H51" si="9">VLOOKUP(D40,$K$20:$P$27,6,0)*E40*F40</f>
        <v>523.43999999999994</v>
      </c>
      <c r="K40" s="2" t="s">
        <v>29</v>
      </c>
      <c r="R40" s="3" t="s">
        <v>34</v>
      </c>
      <c r="S40" s="69" t="s">
        <v>73</v>
      </c>
      <c r="T40" s="69">
        <v>20</v>
      </c>
      <c r="U40" s="73">
        <f>$U$28+$T$14</f>
        <v>70483</v>
      </c>
    </row>
    <row r="41" spans="2:21" x14ac:dyDescent="0.3">
      <c r="B41" s="16">
        <v>34</v>
      </c>
      <c r="C41" s="76">
        <f>(INT(SUM($E$8:E41)/100)+1)</f>
        <v>4</v>
      </c>
      <c r="D41" s="7">
        <v>5</v>
      </c>
      <c r="E41" s="8">
        <v>31</v>
      </c>
      <c r="F41" s="70">
        <v>1.8</v>
      </c>
      <c r="G41" s="8">
        <f t="shared" si="8"/>
        <v>1696.32</v>
      </c>
      <c r="H41" s="22">
        <f t="shared" si="9"/>
        <v>811.33199999999988</v>
      </c>
      <c r="K41" s="91" t="s">
        <v>2</v>
      </c>
      <c r="L41" s="91" t="s">
        <v>27</v>
      </c>
      <c r="M41" s="90" t="s">
        <v>8</v>
      </c>
      <c r="N41" s="90" t="s">
        <v>5</v>
      </c>
      <c r="O41" s="91" t="s">
        <v>28</v>
      </c>
      <c r="R41" s="46" t="s">
        <v>38</v>
      </c>
      <c r="S41" s="46" t="s">
        <v>82</v>
      </c>
      <c r="T41" s="46">
        <v>20</v>
      </c>
      <c r="U41" s="47">
        <f>U29+T13*U13+T14</f>
        <v>53440</v>
      </c>
    </row>
    <row r="42" spans="2:21" x14ac:dyDescent="0.3">
      <c r="B42" s="16">
        <v>35</v>
      </c>
      <c r="C42" s="76">
        <f>(INT(SUM($E$8:E42)/100)+1)</f>
        <v>4</v>
      </c>
      <c r="D42" s="7">
        <v>5</v>
      </c>
      <c r="E42" s="8">
        <v>23</v>
      </c>
      <c r="F42" s="70">
        <v>1.8</v>
      </c>
      <c r="G42" s="8">
        <f t="shared" si="8"/>
        <v>1258.56</v>
      </c>
      <c r="H42" s="22">
        <f t="shared" si="9"/>
        <v>601.9559999999999</v>
      </c>
      <c r="K42" s="90"/>
      <c r="L42" s="90"/>
      <c r="M42" s="90"/>
      <c r="N42" s="90"/>
      <c r="O42" s="90"/>
      <c r="R42" s="46" t="s">
        <v>39</v>
      </c>
      <c r="S42" s="46" t="s">
        <v>73</v>
      </c>
      <c r="T42" s="46">
        <v>20</v>
      </c>
      <c r="U42" s="47">
        <f>U40</f>
        <v>70483</v>
      </c>
    </row>
    <row r="43" spans="2:21" x14ac:dyDescent="0.3">
      <c r="B43" s="16">
        <v>36</v>
      </c>
      <c r="C43" s="76">
        <f>(INT(SUM($E$8:E43)/100)+1)</f>
        <v>4</v>
      </c>
      <c r="D43" s="7">
        <v>5</v>
      </c>
      <c r="E43" s="8">
        <v>23</v>
      </c>
      <c r="F43" s="70">
        <v>1.8</v>
      </c>
      <c r="G43" s="8">
        <f t="shared" si="8"/>
        <v>1258.56</v>
      </c>
      <c r="H43" s="22">
        <f t="shared" si="9"/>
        <v>601.9559999999999</v>
      </c>
      <c r="K43" s="3">
        <v>1</v>
      </c>
      <c r="L43" s="36">
        <f>'강화 &amp; 정수량 표'!C25</f>
        <v>290</v>
      </c>
      <c r="M43" s="25"/>
      <c r="N43" s="51">
        <f>INT(L43/O43)</f>
        <v>12</v>
      </c>
      <c r="O43" s="50">
        <v>23</v>
      </c>
      <c r="P43" s="31"/>
      <c r="R43" s="46" t="s">
        <v>40</v>
      </c>
      <c r="S43" s="46" t="s">
        <v>82</v>
      </c>
      <c r="T43" s="46">
        <v>20</v>
      </c>
      <c r="U43" s="47">
        <f>U41</f>
        <v>53440</v>
      </c>
    </row>
    <row r="44" spans="2:21" x14ac:dyDescent="0.3">
      <c r="B44" s="15">
        <v>37</v>
      </c>
      <c r="C44" s="75">
        <f>(INT(SUM($E$8:E44)/100)+1)</f>
        <v>4</v>
      </c>
      <c r="D44" s="7">
        <v>5</v>
      </c>
      <c r="E44" s="8">
        <f t="shared" ref="E44:E51" si="10">ROUNDUP(I44,0)</f>
        <v>29</v>
      </c>
      <c r="F44" s="70">
        <v>1.8</v>
      </c>
      <c r="G44" s="8">
        <f t="shared" si="8"/>
        <v>1586.8799999999999</v>
      </c>
      <c r="H44" s="22">
        <f t="shared" si="9"/>
        <v>758.98799999999994</v>
      </c>
      <c r="I44" s="24">
        <v>28.285714285714285</v>
      </c>
      <c r="K44" s="3">
        <v>2</v>
      </c>
      <c r="L44" s="36">
        <f>'강화 &amp; 정수량 표'!D25</f>
        <v>430</v>
      </c>
      <c r="M44" s="30">
        <f>L44/L43</f>
        <v>1.4827586206896552</v>
      </c>
      <c r="N44" s="51">
        <f t="shared" ref="N44:N49" si="11">INT(L44/O44)</f>
        <v>30</v>
      </c>
      <c r="O44" s="50">
        <v>14</v>
      </c>
      <c r="P44" s="31"/>
      <c r="R44" s="46" t="s">
        <v>41</v>
      </c>
      <c r="S44" s="46" t="s">
        <v>82</v>
      </c>
      <c r="T44" s="46">
        <v>20</v>
      </c>
      <c r="U44" s="47">
        <f t="shared" ref="U44:U45" si="12">U42</f>
        <v>70483</v>
      </c>
    </row>
    <row r="45" spans="2:21" x14ac:dyDescent="0.3">
      <c r="B45" s="15">
        <v>38</v>
      </c>
      <c r="C45" s="75">
        <f>(INT(SUM($E$8:E45)/100)+1)</f>
        <v>5</v>
      </c>
      <c r="D45" s="7">
        <v>5</v>
      </c>
      <c r="E45" s="8">
        <f t="shared" si="10"/>
        <v>30</v>
      </c>
      <c r="F45" s="70">
        <v>1.8</v>
      </c>
      <c r="G45" s="8">
        <f t="shared" si="8"/>
        <v>1641.6000000000001</v>
      </c>
      <c r="H45" s="22">
        <f t="shared" si="9"/>
        <v>785.16</v>
      </c>
      <c r="I45" s="24">
        <v>29.984962406015036</v>
      </c>
      <c r="K45" s="3">
        <v>3</v>
      </c>
      <c r="L45" s="36">
        <f>'강화 &amp; 정수량 표'!E25</f>
        <v>790</v>
      </c>
      <c r="M45" s="30">
        <f>L45/L44</f>
        <v>1.8372093023255813</v>
      </c>
      <c r="N45" s="51">
        <f t="shared" si="11"/>
        <v>98</v>
      </c>
      <c r="O45" s="50">
        <v>8</v>
      </c>
      <c r="P45" s="31"/>
      <c r="R45" s="46" t="s">
        <v>42</v>
      </c>
      <c r="S45" s="46" t="s">
        <v>82</v>
      </c>
      <c r="T45" s="46">
        <v>20</v>
      </c>
      <c r="U45" s="47">
        <f t="shared" si="12"/>
        <v>53440</v>
      </c>
    </row>
    <row r="46" spans="2:21" x14ac:dyDescent="0.3">
      <c r="B46" s="15">
        <v>39</v>
      </c>
      <c r="C46" s="75">
        <f>(INT(SUM($E$8:E46)/100)+1)</f>
        <v>5</v>
      </c>
      <c r="D46" s="12">
        <v>6</v>
      </c>
      <c r="E46" s="13">
        <f t="shared" si="10"/>
        <v>32</v>
      </c>
      <c r="F46" s="71">
        <v>1.8</v>
      </c>
      <c r="G46" s="10">
        <f t="shared" si="8"/>
        <v>2161.7280000000001</v>
      </c>
      <c r="H46" s="17">
        <f t="shared" si="9"/>
        <v>1040.2559999999999</v>
      </c>
      <c r="I46" s="24">
        <v>31.739849624060149</v>
      </c>
      <c r="K46" s="3">
        <v>4</v>
      </c>
      <c r="L46" s="36">
        <f>'강화 &amp; 정수량 표'!F25</f>
        <v>1690</v>
      </c>
      <c r="M46" s="30">
        <f t="shared" ref="M46:M49" si="13">L46/L45</f>
        <v>2.1392405063291138</v>
      </c>
      <c r="N46" s="51">
        <f t="shared" si="11"/>
        <v>211</v>
      </c>
      <c r="O46" s="50">
        <v>8</v>
      </c>
      <c r="P46" s="31"/>
      <c r="R46" s="3" t="s">
        <v>43</v>
      </c>
      <c r="S46" s="3" t="s">
        <v>83</v>
      </c>
      <c r="T46" s="3">
        <v>20</v>
      </c>
      <c r="U46" s="45">
        <f>U34+T12*U12+T13*U13+T14</f>
        <v>62017</v>
      </c>
    </row>
    <row r="47" spans="2:21" x14ac:dyDescent="0.3">
      <c r="B47" s="16">
        <v>40</v>
      </c>
      <c r="C47" s="76">
        <f>(INT(SUM($E$8:E47)/100)+1)</f>
        <v>5</v>
      </c>
      <c r="D47" s="12">
        <v>6</v>
      </c>
      <c r="E47" s="13">
        <f t="shared" si="10"/>
        <v>34</v>
      </c>
      <c r="F47" s="71">
        <v>1.8</v>
      </c>
      <c r="G47" s="10">
        <f t="shared" si="8"/>
        <v>2296.8360000000002</v>
      </c>
      <c r="H47" s="17">
        <f t="shared" si="9"/>
        <v>1105.2719999999999</v>
      </c>
      <c r="I47" s="24">
        <v>33.548872180451127</v>
      </c>
      <c r="K47" s="3">
        <v>5</v>
      </c>
      <c r="L47" s="36">
        <f>'강화 &amp; 정수량 표'!G25</f>
        <v>3949</v>
      </c>
      <c r="M47" s="30">
        <f t="shared" si="13"/>
        <v>2.3366863905325443</v>
      </c>
      <c r="N47" s="51">
        <f t="shared" si="11"/>
        <v>564</v>
      </c>
      <c r="O47" s="50">
        <v>7</v>
      </c>
      <c r="P47" s="31"/>
      <c r="R47" s="3" t="s">
        <v>44</v>
      </c>
      <c r="S47" s="3" t="s">
        <v>83</v>
      </c>
      <c r="T47" s="3">
        <v>20</v>
      </c>
      <c r="U47" s="45">
        <f>U46</f>
        <v>62017</v>
      </c>
    </row>
    <row r="48" spans="2:21" x14ac:dyDescent="0.3">
      <c r="B48" s="16">
        <v>41</v>
      </c>
      <c r="C48" s="76">
        <f>(INT(SUM($E$8:E48)/100)+1)</f>
        <v>6</v>
      </c>
      <c r="D48" s="12">
        <v>6</v>
      </c>
      <c r="E48" s="13">
        <f t="shared" si="10"/>
        <v>36</v>
      </c>
      <c r="F48" s="71">
        <v>1.8</v>
      </c>
      <c r="G48" s="10">
        <f t="shared" si="8"/>
        <v>2431.944</v>
      </c>
      <c r="H48" s="17">
        <f t="shared" si="9"/>
        <v>1170.288</v>
      </c>
      <c r="I48" s="24">
        <v>35.413533834586467</v>
      </c>
      <c r="K48" s="3">
        <v>6</v>
      </c>
      <c r="L48" s="36">
        <f>'강화 &amp; 정수량 표'!H25</f>
        <v>9606</v>
      </c>
      <c r="M48" s="30">
        <f t="shared" si="13"/>
        <v>2.4325145606482654</v>
      </c>
      <c r="N48" s="51">
        <f t="shared" si="11"/>
        <v>1601</v>
      </c>
      <c r="O48" s="50">
        <v>6</v>
      </c>
      <c r="P48" s="31"/>
      <c r="R48" s="48" t="s">
        <v>46</v>
      </c>
      <c r="S48" s="48"/>
      <c r="T48" s="48"/>
      <c r="U48" s="49">
        <f>SUM(U40:U47)</f>
        <v>495803</v>
      </c>
    </row>
    <row r="49" spans="2:18" x14ac:dyDescent="0.3">
      <c r="B49" s="16">
        <v>42</v>
      </c>
      <c r="C49" s="76">
        <f>(INT(SUM($E$8:E49)/100)+1)</f>
        <v>6</v>
      </c>
      <c r="D49" s="12">
        <v>6</v>
      </c>
      <c r="E49" s="13">
        <f t="shared" si="10"/>
        <v>38</v>
      </c>
      <c r="F49" s="71">
        <v>1.8</v>
      </c>
      <c r="G49" s="10">
        <f t="shared" si="8"/>
        <v>2567.0520000000001</v>
      </c>
      <c r="H49" s="17">
        <f t="shared" si="9"/>
        <v>1235.3040000000001</v>
      </c>
      <c r="I49" s="24">
        <v>37.333834586466168</v>
      </c>
      <c r="K49" s="3">
        <v>7</v>
      </c>
      <c r="L49" s="36">
        <f>'강화 &amp; 정수량 표'!I25</f>
        <v>23739</v>
      </c>
      <c r="M49" s="30">
        <f t="shared" si="13"/>
        <v>2.4712679575265457</v>
      </c>
      <c r="N49" s="51">
        <f t="shared" si="11"/>
        <v>4747</v>
      </c>
      <c r="O49" s="50">
        <v>5</v>
      </c>
      <c r="P49" s="31"/>
      <c r="R49" s="74" t="s">
        <v>85</v>
      </c>
    </row>
    <row r="50" spans="2:18" x14ac:dyDescent="0.3">
      <c r="B50" s="15">
        <v>43</v>
      </c>
      <c r="C50" s="75">
        <f>(INT(SUM($E$8:E50)/100)+1)</f>
        <v>7</v>
      </c>
      <c r="D50" s="12">
        <v>6</v>
      </c>
      <c r="E50" s="13">
        <f t="shared" si="10"/>
        <v>34</v>
      </c>
      <c r="F50" s="71">
        <v>1.8</v>
      </c>
      <c r="G50" s="10">
        <f t="shared" si="8"/>
        <v>2296.8360000000002</v>
      </c>
      <c r="H50" s="17">
        <f t="shared" si="9"/>
        <v>1105.2719999999999</v>
      </c>
      <c r="I50" s="24">
        <v>33.861398963730572</v>
      </c>
    </row>
    <row r="51" spans="2:18" x14ac:dyDescent="0.3">
      <c r="B51" s="15">
        <v>44</v>
      </c>
      <c r="C51" s="75">
        <f>(INT(SUM($E$8:E51)/100)+1)</f>
        <v>7</v>
      </c>
      <c r="D51" s="12">
        <v>6</v>
      </c>
      <c r="E51" s="13">
        <f t="shared" si="10"/>
        <v>36</v>
      </c>
      <c r="F51" s="71">
        <v>1.8</v>
      </c>
      <c r="G51" s="10">
        <f t="shared" si="8"/>
        <v>2431.944</v>
      </c>
      <c r="H51" s="17">
        <f t="shared" si="9"/>
        <v>1170.288</v>
      </c>
      <c r="I51" s="24">
        <v>35.611398963730572</v>
      </c>
    </row>
    <row r="52" spans="2:18" x14ac:dyDescent="0.3">
      <c r="B52" s="16">
        <v>45</v>
      </c>
      <c r="C52" s="76">
        <f>(INT(SUM($E$8:E52)/100)+1)</f>
        <v>7</v>
      </c>
      <c r="D52" s="12">
        <v>6</v>
      </c>
      <c r="E52" s="13">
        <f>ROUNDUP(I52,0)</f>
        <v>38</v>
      </c>
      <c r="F52" s="71">
        <v>1.8</v>
      </c>
      <c r="G52" s="10">
        <f>VLOOKUP(D52,$K$8:$P$15,6,0)*E52*F52</f>
        <v>2567.0520000000001</v>
      </c>
      <c r="H52" s="17">
        <f>VLOOKUP(D52,$K$20:$P$27,6,0)*E52*F52</f>
        <v>1235.3040000000001</v>
      </c>
      <c r="I52" s="24">
        <v>37.409326424870464</v>
      </c>
    </row>
    <row r="53" spans="2:18" x14ac:dyDescent="0.3">
      <c r="B53" s="16">
        <v>46</v>
      </c>
      <c r="C53" s="76">
        <f>(INT(SUM($E$8:E53)/100)+1)</f>
        <v>8</v>
      </c>
      <c r="D53" s="7">
        <v>7</v>
      </c>
      <c r="E53" s="8">
        <f t="shared" ref="E53" si="14">ROUNDUP(I53,0)</f>
        <v>40</v>
      </c>
      <c r="F53" s="70">
        <v>1.8</v>
      </c>
      <c r="G53" s="8">
        <f t="shared" ref="G53" si="15">VLOOKUP(D53,$K$8:$P$15,6,0)*E53*F53</f>
        <v>3486.2400000000002</v>
      </c>
      <c r="H53" s="22">
        <f t="shared" ref="H53" si="16">VLOOKUP(D53,$K$20:$P$27,6,0)*E53*F53</f>
        <v>1615.68</v>
      </c>
      <c r="I53" s="24">
        <v>39.256476683937827</v>
      </c>
    </row>
    <row r="54" spans="2:18" x14ac:dyDescent="0.3">
      <c r="B54" s="16">
        <v>47</v>
      </c>
      <c r="C54" s="76">
        <f>(INT(SUM($E$8:E54)/100)+1)</f>
        <v>8</v>
      </c>
      <c r="D54" s="7">
        <v>7</v>
      </c>
      <c r="E54" s="8">
        <f t="shared" ref="E54:E55" si="17">ROUNDUP(I54,0)</f>
        <v>42</v>
      </c>
      <c r="F54" s="70">
        <v>1.8</v>
      </c>
      <c r="G54" s="8">
        <f t="shared" ref="G54:G56" si="18">VLOOKUP(D54,$K$8:$P$15,6,0)*E54*F54</f>
        <v>3660.5520000000001</v>
      </c>
      <c r="H54" s="22">
        <f t="shared" ref="H54:H56" si="19">VLOOKUP(D54,$K$20:$P$27,6,0)*E54*F54</f>
        <v>1696.4640000000002</v>
      </c>
      <c r="I54" s="24">
        <v>41.151554404145081</v>
      </c>
    </row>
    <row r="55" spans="2:18" x14ac:dyDescent="0.3">
      <c r="B55" s="15">
        <v>48</v>
      </c>
      <c r="C55" s="75">
        <f>(INT(SUM($E$8:E55)/100)+1)</f>
        <v>9</v>
      </c>
      <c r="D55" s="7">
        <v>7</v>
      </c>
      <c r="E55" s="8">
        <f t="shared" si="17"/>
        <v>44</v>
      </c>
      <c r="F55" s="70">
        <v>1.8</v>
      </c>
      <c r="G55" s="8">
        <f t="shared" si="18"/>
        <v>3834.864</v>
      </c>
      <c r="H55" s="22">
        <f t="shared" si="19"/>
        <v>1777.248</v>
      </c>
      <c r="I55" s="24">
        <v>43.097150259067355</v>
      </c>
    </row>
    <row r="56" spans="2:18" x14ac:dyDescent="0.3">
      <c r="B56" s="15">
        <v>49</v>
      </c>
      <c r="C56" s="75">
        <f>(INT(SUM($E$8:E56)/100)+1)</f>
        <v>9</v>
      </c>
      <c r="D56" s="7">
        <v>7</v>
      </c>
      <c r="E56" s="8">
        <f>ROUNDUP(I56,0)</f>
        <v>46</v>
      </c>
      <c r="F56" s="70">
        <v>1.8</v>
      </c>
      <c r="G56" s="8">
        <f t="shared" si="18"/>
        <v>4009.1760000000004</v>
      </c>
      <c r="H56" s="22">
        <f t="shared" si="19"/>
        <v>1858.0320000000002</v>
      </c>
      <c r="I56" s="24">
        <v>45.090673575129536</v>
      </c>
    </row>
    <row r="57" spans="2:18" x14ac:dyDescent="0.3">
      <c r="B57" s="16">
        <v>50</v>
      </c>
      <c r="C57" s="76">
        <f>(INT(SUM($E$8:E57)/100)+1)</f>
        <v>9</v>
      </c>
      <c r="D57" s="12">
        <v>8</v>
      </c>
      <c r="E57" s="13">
        <f>ROUNDUP(I57,0)</f>
        <v>48</v>
      </c>
      <c r="F57" s="71">
        <v>1.8</v>
      </c>
      <c r="G57" s="10">
        <f>VLOOKUP(D57,$K$8:$P$15,6,0)*E57*F57</f>
        <v>4686.3360000000002</v>
      </c>
      <c r="H57" s="17">
        <f>VLOOKUP(D57,$K$20:$P$27,6,0)*E57*F57</f>
        <v>2201.4720000000002</v>
      </c>
      <c r="I57" s="24">
        <v>47.134715025906736</v>
      </c>
    </row>
    <row r="58" spans="2:18" x14ac:dyDescent="0.3">
      <c r="B58" s="19" t="s">
        <v>14</v>
      </c>
      <c r="C58" s="19"/>
      <c r="D58" s="19">
        <v>8</v>
      </c>
      <c r="E58" s="20">
        <f>B4/3</f>
        <v>100</v>
      </c>
      <c r="F58" s="72">
        <v>1.8</v>
      </c>
      <c r="G58" s="23">
        <f>VLOOKUP(D58,$K$8:$P$15,6,0)*E58*F58</f>
        <v>9763.2000000000007</v>
      </c>
      <c r="H58" s="4">
        <f>VLOOKUP(D58,$K$20:$P$27,6,0)*E58*F58</f>
        <v>4586.4000000000005</v>
      </c>
    </row>
    <row r="59" spans="2:18" x14ac:dyDescent="0.3">
      <c r="B59" s="24" t="s">
        <v>12</v>
      </c>
    </row>
    <row r="60" spans="2:18" x14ac:dyDescent="0.3">
      <c r="B60" s="24" t="s">
        <v>11</v>
      </c>
    </row>
  </sheetData>
  <mergeCells count="45">
    <mergeCell ref="W18:W19"/>
    <mergeCell ref="F6:F7"/>
    <mergeCell ref="K41:K42"/>
    <mergeCell ref="L41:L42"/>
    <mergeCell ref="M41:M42"/>
    <mergeCell ref="N41:N42"/>
    <mergeCell ref="O41:O42"/>
    <mergeCell ref="U6:U7"/>
    <mergeCell ref="V6:V7"/>
    <mergeCell ref="W6:W7"/>
    <mergeCell ref="K30:K31"/>
    <mergeCell ref="L30:L31"/>
    <mergeCell ref="M30:M31"/>
    <mergeCell ref="N30:N31"/>
    <mergeCell ref="O30:O31"/>
    <mergeCell ref="K6:K7"/>
    <mergeCell ref="L6:O6"/>
    <mergeCell ref="P6:P7"/>
    <mergeCell ref="R6:R7"/>
    <mergeCell ref="V18:V19"/>
    <mergeCell ref="G6:G7"/>
    <mergeCell ref="H6:H7"/>
    <mergeCell ref="B2:B3"/>
    <mergeCell ref="G2:G3"/>
    <mergeCell ref="H2:H3"/>
    <mergeCell ref="B6:B7"/>
    <mergeCell ref="C6:C7"/>
    <mergeCell ref="D6:D7"/>
    <mergeCell ref="E6:E7"/>
    <mergeCell ref="P2:P3"/>
    <mergeCell ref="R2:S3"/>
    <mergeCell ref="T6:T7"/>
    <mergeCell ref="K18:K19"/>
    <mergeCell ref="L18:O18"/>
    <mergeCell ref="P18:P19"/>
    <mergeCell ref="N2:O3"/>
    <mergeCell ref="N4:O4"/>
    <mergeCell ref="S6:S7"/>
    <mergeCell ref="S18:S19"/>
    <mergeCell ref="T18:T19"/>
    <mergeCell ref="T2:U3"/>
    <mergeCell ref="R4:S4"/>
    <mergeCell ref="T4:U4"/>
    <mergeCell ref="U18:U19"/>
    <mergeCell ref="R18:R19"/>
  </mergeCells>
  <phoneticPr fontId="4" type="noConversion"/>
  <dataValidations count="1">
    <dataValidation type="list" allowBlank="1" showInputMessage="1" showErrorMessage="1" sqref="B4">
      <formula1>"100,200,300,400,463"</formula1>
    </dataValidation>
  </dataValidations>
  <pageMargins left="0.25" right="0.25" top="0.75" bottom="0.75" header="0.3" footer="0.3"/>
  <pageSetup paperSize="9" scale="57" orientation="landscape" r:id="rId1"/>
  <ignoredErrors>
    <ignoredError sqref="U34" formula="1"/>
    <ignoredError sqref="C9:C28 C29:C5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K5" sqref="K5"/>
    </sheetView>
  </sheetViews>
  <sheetFormatPr defaultRowHeight="16.5" x14ac:dyDescent="0.3"/>
  <cols>
    <col min="1" max="1" width="3.625" style="43" customWidth="1"/>
    <col min="2" max="9" width="9" style="43"/>
    <col min="10" max="10" width="3.625" style="43" customWidth="1"/>
    <col min="11" max="16384" width="9" style="43"/>
  </cols>
  <sheetData>
    <row r="2" spans="1:11" x14ac:dyDescent="0.3">
      <c r="A2" s="1"/>
      <c r="J2" s="1"/>
    </row>
    <row r="3" spans="1:11" x14ac:dyDescent="0.3">
      <c r="A3" s="1"/>
      <c r="B3" s="1"/>
      <c r="C3" s="1" t="s">
        <v>32</v>
      </c>
      <c r="D3" s="1"/>
      <c r="E3" s="1"/>
      <c r="F3" s="1"/>
      <c r="G3" s="1"/>
      <c r="H3" s="1"/>
      <c r="I3" s="44"/>
      <c r="J3" s="1"/>
      <c r="K3" s="1"/>
    </row>
    <row r="4" spans="1:11" x14ac:dyDescent="0.3">
      <c r="A4" s="1"/>
      <c r="B4" s="41"/>
      <c r="C4" s="42">
        <v>1</v>
      </c>
      <c r="D4" s="42">
        <v>2</v>
      </c>
      <c r="E4" s="42">
        <v>3</v>
      </c>
      <c r="F4" s="42">
        <v>4</v>
      </c>
      <c r="G4" s="42">
        <v>5</v>
      </c>
      <c r="H4" s="42">
        <v>6</v>
      </c>
      <c r="I4" s="42">
        <v>7</v>
      </c>
      <c r="J4" s="1"/>
      <c r="K4" s="40">
        <v>1.5</v>
      </c>
    </row>
    <row r="5" spans="1:11" x14ac:dyDescent="0.3">
      <c r="B5" s="42">
        <v>0</v>
      </c>
      <c r="C5" s="25">
        <v>5</v>
      </c>
      <c r="D5" s="25">
        <f>INT(C5+(C5*$K$4))</f>
        <v>12</v>
      </c>
      <c r="E5" s="25">
        <f t="shared" ref="E5:H5" si="0">INT(D5+(D5*$K$4))</f>
        <v>30</v>
      </c>
      <c r="F5" s="25">
        <f t="shared" si="0"/>
        <v>75</v>
      </c>
      <c r="G5" s="25">
        <f t="shared" si="0"/>
        <v>187</v>
      </c>
      <c r="H5" s="25">
        <f t="shared" si="0"/>
        <v>467</v>
      </c>
      <c r="I5" s="25">
        <f>INT(H5+(H5*$K$4))</f>
        <v>1167</v>
      </c>
      <c r="J5" s="1"/>
      <c r="K5" s="67">
        <v>0.01</v>
      </c>
    </row>
    <row r="6" spans="1:11" x14ac:dyDescent="0.3">
      <c r="A6" s="1"/>
      <c r="B6" s="42">
        <v>1</v>
      </c>
      <c r="C6" s="25">
        <f>INT($C$5+($C$5*$K$5))+($B5+1)</f>
        <v>6</v>
      </c>
      <c r="D6" s="25">
        <f t="shared" ref="D6:D24" si="1">INT($D$5+($D$5*$K$5))+($B5+1)</f>
        <v>13</v>
      </c>
      <c r="E6" s="25">
        <f t="shared" ref="E6:E24" si="2">INT($E$5+($E$5*$K$5))+($B5+1)</f>
        <v>31</v>
      </c>
      <c r="F6" s="25">
        <f t="shared" ref="F6:F24" si="3">INT($F$5+($F$5*$K$5))+($B5+1)</f>
        <v>76</v>
      </c>
      <c r="G6" s="25">
        <f t="shared" ref="G6:G24" si="4">INT($G$5+($G$5*$K$5))+($B5+1)</f>
        <v>189</v>
      </c>
      <c r="H6" s="25">
        <f t="shared" ref="H6:H24" si="5">INT($H$5+($H$5*$K$5))+($B5+1)</f>
        <v>472</v>
      </c>
      <c r="I6" s="25">
        <f t="shared" ref="I6:I24" si="6">INT($I$5+($I$5*$K$5))+($B5+1)</f>
        <v>1179</v>
      </c>
      <c r="J6" s="1"/>
      <c r="K6" s="44"/>
    </row>
    <row r="7" spans="1:11" x14ac:dyDescent="0.3">
      <c r="A7" s="1"/>
      <c r="B7" s="42">
        <v>2</v>
      </c>
      <c r="C7" s="25">
        <f t="shared" ref="C7:C24" si="7">INT($C$5+($C$5*$K$5))+($B6+1)</f>
        <v>7</v>
      </c>
      <c r="D7" s="25">
        <f t="shared" si="1"/>
        <v>14</v>
      </c>
      <c r="E7" s="25">
        <f t="shared" si="2"/>
        <v>32</v>
      </c>
      <c r="F7" s="25">
        <f t="shared" si="3"/>
        <v>77</v>
      </c>
      <c r="G7" s="25">
        <f t="shared" si="4"/>
        <v>190</v>
      </c>
      <c r="H7" s="25">
        <f t="shared" si="5"/>
        <v>473</v>
      </c>
      <c r="I7" s="25">
        <f t="shared" si="6"/>
        <v>1180</v>
      </c>
      <c r="J7" s="1"/>
      <c r="K7" s="1"/>
    </row>
    <row r="8" spans="1:11" x14ac:dyDescent="0.3">
      <c r="A8" s="1"/>
      <c r="B8" s="42">
        <v>3</v>
      </c>
      <c r="C8" s="25">
        <f t="shared" si="7"/>
        <v>8</v>
      </c>
      <c r="D8" s="25">
        <f t="shared" si="1"/>
        <v>15</v>
      </c>
      <c r="E8" s="25">
        <f t="shared" si="2"/>
        <v>33</v>
      </c>
      <c r="F8" s="25">
        <f t="shared" si="3"/>
        <v>78</v>
      </c>
      <c r="G8" s="25">
        <f t="shared" si="4"/>
        <v>191</v>
      </c>
      <c r="H8" s="25">
        <f t="shared" si="5"/>
        <v>474</v>
      </c>
      <c r="I8" s="25">
        <f t="shared" si="6"/>
        <v>1181</v>
      </c>
      <c r="J8" s="1"/>
      <c r="K8" s="1"/>
    </row>
    <row r="9" spans="1:11" x14ac:dyDescent="0.3">
      <c r="A9" s="1"/>
      <c r="B9" s="42">
        <v>4</v>
      </c>
      <c r="C9" s="25">
        <f t="shared" si="7"/>
        <v>9</v>
      </c>
      <c r="D9" s="25">
        <f t="shared" si="1"/>
        <v>16</v>
      </c>
      <c r="E9" s="25">
        <f t="shared" si="2"/>
        <v>34</v>
      </c>
      <c r="F9" s="25">
        <f t="shared" si="3"/>
        <v>79</v>
      </c>
      <c r="G9" s="25">
        <f t="shared" si="4"/>
        <v>192</v>
      </c>
      <c r="H9" s="25">
        <f t="shared" si="5"/>
        <v>475</v>
      </c>
      <c r="I9" s="25">
        <f t="shared" si="6"/>
        <v>1182</v>
      </c>
      <c r="J9" s="1"/>
      <c r="K9" s="1"/>
    </row>
    <row r="10" spans="1:11" x14ac:dyDescent="0.3">
      <c r="A10" s="1"/>
      <c r="B10" s="42">
        <v>5</v>
      </c>
      <c r="C10" s="25">
        <f t="shared" si="7"/>
        <v>10</v>
      </c>
      <c r="D10" s="25">
        <f t="shared" si="1"/>
        <v>17</v>
      </c>
      <c r="E10" s="25">
        <f t="shared" si="2"/>
        <v>35</v>
      </c>
      <c r="F10" s="25">
        <f t="shared" si="3"/>
        <v>80</v>
      </c>
      <c r="G10" s="25">
        <f t="shared" si="4"/>
        <v>193</v>
      </c>
      <c r="H10" s="25">
        <f t="shared" si="5"/>
        <v>476</v>
      </c>
      <c r="I10" s="25">
        <f t="shared" si="6"/>
        <v>1183</v>
      </c>
      <c r="J10" s="1"/>
      <c r="K10" s="1"/>
    </row>
    <row r="11" spans="1:11" x14ac:dyDescent="0.3">
      <c r="A11" s="1"/>
      <c r="B11" s="42">
        <v>6</v>
      </c>
      <c r="C11" s="25">
        <f t="shared" si="7"/>
        <v>11</v>
      </c>
      <c r="D11" s="25">
        <f t="shared" si="1"/>
        <v>18</v>
      </c>
      <c r="E11" s="25">
        <f t="shared" si="2"/>
        <v>36</v>
      </c>
      <c r="F11" s="25">
        <f t="shared" si="3"/>
        <v>81</v>
      </c>
      <c r="G11" s="25">
        <f t="shared" si="4"/>
        <v>194</v>
      </c>
      <c r="H11" s="25">
        <f t="shared" si="5"/>
        <v>477</v>
      </c>
      <c r="I11" s="25">
        <f t="shared" si="6"/>
        <v>1184</v>
      </c>
      <c r="J11" s="1"/>
      <c r="K11" s="1"/>
    </row>
    <row r="12" spans="1:11" x14ac:dyDescent="0.3">
      <c r="A12" s="1"/>
      <c r="B12" s="42">
        <v>7</v>
      </c>
      <c r="C12" s="25">
        <f t="shared" si="7"/>
        <v>12</v>
      </c>
      <c r="D12" s="25">
        <f t="shared" si="1"/>
        <v>19</v>
      </c>
      <c r="E12" s="25">
        <f t="shared" si="2"/>
        <v>37</v>
      </c>
      <c r="F12" s="25">
        <f t="shared" si="3"/>
        <v>82</v>
      </c>
      <c r="G12" s="25">
        <f t="shared" si="4"/>
        <v>195</v>
      </c>
      <c r="H12" s="25">
        <f t="shared" si="5"/>
        <v>478</v>
      </c>
      <c r="I12" s="25">
        <f t="shared" si="6"/>
        <v>1185</v>
      </c>
      <c r="J12" s="1"/>
      <c r="K12" s="1"/>
    </row>
    <row r="13" spans="1:11" x14ac:dyDescent="0.3">
      <c r="A13" s="1"/>
      <c r="B13" s="42">
        <v>8</v>
      </c>
      <c r="C13" s="25">
        <f t="shared" si="7"/>
        <v>13</v>
      </c>
      <c r="D13" s="25">
        <f t="shared" si="1"/>
        <v>20</v>
      </c>
      <c r="E13" s="25">
        <f t="shared" si="2"/>
        <v>38</v>
      </c>
      <c r="F13" s="25">
        <f t="shared" si="3"/>
        <v>83</v>
      </c>
      <c r="G13" s="25">
        <f t="shared" si="4"/>
        <v>196</v>
      </c>
      <c r="H13" s="25">
        <f t="shared" si="5"/>
        <v>479</v>
      </c>
      <c r="I13" s="25">
        <f t="shared" si="6"/>
        <v>1186</v>
      </c>
      <c r="J13" s="1"/>
      <c r="K13" s="1"/>
    </row>
    <row r="14" spans="1:11" x14ac:dyDescent="0.3">
      <c r="A14" s="1"/>
      <c r="B14" s="42">
        <v>9</v>
      </c>
      <c r="C14" s="25">
        <f t="shared" si="7"/>
        <v>14</v>
      </c>
      <c r="D14" s="25">
        <f t="shared" si="1"/>
        <v>21</v>
      </c>
      <c r="E14" s="25">
        <f t="shared" si="2"/>
        <v>39</v>
      </c>
      <c r="F14" s="25">
        <f t="shared" si="3"/>
        <v>84</v>
      </c>
      <c r="G14" s="25">
        <f t="shared" si="4"/>
        <v>197</v>
      </c>
      <c r="H14" s="25">
        <f t="shared" si="5"/>
        <v>480</v>
      </c>
      <c r="I14" s="25">
        <f t="shared" si="6"/>
        <v>1187</v>
      </c>
      <c r="J14" s="1"/>
      <c r="K14" s="1"/>
    </row>
    <row r="15" spans="1:11" x14ac:dyDescent="0.3">
      <c r="A15" s="1"/>
      <c r="B15" s="42">
        <v>10</v>
      </c>
      <c r="C15" s="25">
        <f t="shared" si="7"/>
        <v>15</v>
      </c>
      <c r="D15" s="25">
        <f t="shared" si="1"/>
        <v>22</v>
      </c>
      <c r="E15" s="25">
        <f t="shared" si="2"/>
        <v>40</v>
      </c>
      <c r="F15" s="25">
        <f t="shared" si="3"/>
        <v>85</v>
      </c>
      <c r="G15" s="25">
        <f t="shared" si="4"/>
        <v>198</v>
      </c>
      <c r="H15" s="25">
        <f t="shared" si="5"/>
        <v>481</v>
      </c>
      <c r="I15" s="25">
        <f t="shared" si="6"/>
        <v>1188</v>
      </c>
      <c r="J15" s="1"/>
      <c r="K15" s="1"/>
    </row>
    <row r="16" spans="1:11" x14ac:dyDescent="0.3">
      <c r="A16" s="1"/>
      <c r="B16" s="42">
        <v>11</v>
      </c>
      <c r="C16" s="25">
        <f t="shared" si="7"/>
        <v>16</v>
      </c>
      <c r="D16" s="25">
        <f t="shared" si="1"/>
        <v>23</v>
      </c>
      <c r="E16" s="25">
        <f t="shared" si="2"/>
        <v>41</v>
      </c>
      <c r="F16" s="25">
        <f t="shared" si="3"/>
        <v>86</v>
      </c>
      <c r="G16" s="25">
        <f t="shared" si="4"/>
        <v>199</v>
      </c>
      <c r="H16" s="25">
        <f t="shared" si="5"/>
        <v>482</v>
      </c>
      <c r="I16" s="25">
        <f t="shared" si="6"/>
        <v>1189</v>
      </c>
      <c r="J16" s="1"/>
      <c r="K16" s="1"/>
    </row>
    <row r="17" spans="1:11" x14ac:dyDescent="0.3">
      <c r="A17" s="1"/>
      <c r="B17" s="42">
        <v>12</v>
      </c>
      <c r="C17" s="25">
        <f t="shared" si="7"/>
        <v>17</v>
      </c>
      <c r="D17" s="25">
        <f t="shared" si="1"/>
        <v>24</v>
      </c>
      <c r="E17" s="25">
        <f t="shared" si="2"/>
        <v>42</v>
      </c>
      <c r="F17" s="25">
        <f t="shared" si="3"/>
        <v>87</v>
      </c>
      <c r="G17" s="25">
        <f t="shared" si="4"/>
        <v>200</v>
      </c>
      <c r="H17" s="25">
        <f t="shared" si="5"/>
        <v>483</v>
      </c>
      <c r="I17" s="25">
        <f t="shared" si="6"/>
        <v>1190</v>
      </c>
      <c r="J17" s="1"/>
      <c r="K17" s="1"/>
    </row>
    <row r="18" spans="1:11" x14ac:dyDescent="0.3">
      <c r="A18" s="1"/>
      <c r="B18" s="42">
        <v>13</v>
      </c>
      <c r="C18" s="25">
        <f t="shared" si="7"/>
        <v>18</v>
      </c>
      <c r="D18" s="25">
        <f t="shared" si="1"/>
        <v>25</v>
      </c>
      <c r="E18" s="25">
        <f t="shared" si="2"/>
        <v>43</v>
      </c>
      <c r="F18" s="25">
        <f t="shared" si="3"/>
        <v>88</v>
      </c>
      <c r="G18" s="25">
        <f t="shared" si="4"/>
        <v>201</v>
      </c>
      <c r="H18" s="25">
        <f t="shared" si="5"/>
        <v>484</v>
      </c>
      <c r="I18" s="25">
        <f t="shared" si="6"/>
        <v>1191</v>
      </c>
      <c r="J18" s="1"/>
      <c r="K18" s="1"/>
    </row>
    <row r="19" spans="1:11" x14ac:dyDescent="0.3">
      <c r="A19" s="1"/>
      <c r="B19" s="42">
        <v>14</v>
      </c>
      <c r="C19" s="25">
        <f t="shared" si="7"/>
        <v>19</v>
      </c>
      <c r="D19" s="25">
        <f t="shared" si="1"/>
        <v>26</v>
      </c>
      <c r="E19" s="25">
        <f t="shared" si="2"/>
        <v>44</v>
      </c>
      <c r="F19" s="25">
        <f t="shared" si="3"/>
        <v>89</v>
      </c>
      <c r="G19" s="25">
        <f t="shared" si="4"/>
        <v>202</v>
      </c>
      <c r="H19" s="25">
        <f t="shared" si="5"/>
        <v>485</v>
      </c>
      <c r="I19" s="25">
        <f t="shared" si="6"/>
        <v>1192</v>
      </c>
      <c r="J19" s="1"/>
      <c r="K19" s="1"/>
    </row>
    <row r="20" spans="1:11" x14ac:dyDescent="0.3">
      <c r="A20" s="1"/>
      <c r="B20" s="42">
        <v>15</v>
      </c>
      <c r="C20" s="25">
        <f t="shared" si="7"/>
        <v>20</v>
      </c>
      <c r="D20" s="25">
        <f t="shared" si="1"/>
        <v>27</v>
      </c>
      <c r="E20" s="25">
        <f t="shared" si="2"/>
        <v>45</v>
      </c>
      <c r="F20" s="25">
        <f t="shared" si="3"/>
        <v>90</v>
      </c>
      <c r="G20" s="25">
        <f t="shared" si="4"/>
        <v>203</v>
      </c>
      <c r="H20" s="25">
        <f t="shared" si="5"/>
        <v>486</v>
      </c>
      <c r="I20" s="25">
        <f t="shared" si="6"/>
        <v>1193</v>
      </c>
      <c r="J20" s="1"/>
      <c r="K20" s="1"/>
    </row>
    <row r="21" spans="1:11" x14ac:dyDescent="0.3">
      <c r="A21" s="1"/>
      <c r="B21" s="42">
        <v>16</v>
      </c>
      <c r="C21" s="25">
        <f t="shared" si="7"/>
        <v>21</v>
      </c>
      <c r="D21" s="25">
        <f t="shared" si="1"/>
        <v>28</v>
      </c>
      <c r="E21" s="25">
        <f t="shared" si="2"/>
        <v>46</v>
      </c>
      <c r="F21" s="25">
        <f t="shared" si="3"/>
        <v>91</v>
      </c>
      <c r="G21" s="25">
        <f t="shared" si="4"/>
        <v>204</v>
      </c>
      <c r="H21" s="25">
        <f t="shared" si="5"/>
        <v>487</v>
      </c>
      <c r="I21" s="25">
        <f t="shared" si="6"/>
        <v>1194</v>
      </c>
      <c r="J21" s="1"/>
      <c r="K21" s="1"/>
    </row>
    <row r="22" spans="1:11" x14ac:dyDescent="0.3">
      <c r="A22" s="1"/>
      <c r="B22" s="42">
        <v>17</v>
      </c>
      <c r="C22" s="25">
        <f t="shared" si="7"/>
        <v>22</v>
      </c>
      <c r="D22" s="25">
        <f t="shared" si="1"/>
        <v>29</v>
      </c>
      <c r="E22" s="25">
        <f t="shared" si="2"/>
        <v>47</v>
      </c>
      <c r="F22" s="25">
        <f t="shared" si="3"/>
        <v>92</v>
      </c>
      <c r="G22" s="25">
        <f t="shared" si="4"/>
        <v>205</v>
      </c>
      <c r="H22" s="25">
        <f t="shared" si="5"/>
        <v>488</v>
      </c>
      <c r="I22" s="25">
        <f t="shared" si="6"/>
        <v>1195</v>
      </c>
      <c r="J22" s="1"/>
      <c r="K22" s="1"/>
    </row>
    <row r="23" spans="1:11" x14ac:dyDescent="0.3">
      <c r="A23" s="1"/>
      <c r="B23" s="42">
        <v>18</v>
      </c>
      <c r="C23" s="25">
        <f t="shared" si="7"/>
        <v>23</v>
      </c>
      <c r="D23" s="25">
        <f t="shared" si="1"/>
        <v>30</v>
      </c>
      <c r="E23" s="25">
        <f t="shared" si="2"/>
        <v>48</v>
      </c>
      <c r="F23" s="25">
        <f t="shared" si="3"/>
        <v>93</v>
      </c>
      <c r="G23" s="25">
        <f t="shared" si="4"/>
        <v>206</v>
      </c>
      <c r="H23" s="25">
        <f t="shared" si="5"/>
        <v>489</v>
      </c>
      <c r="I23" s="25">
        <f t="shared" si="6"/>
        <v>1196</v>
      </c>
      <c r="J23" s="1"/>
      <c r="K23" s="1"/>
    </row>
    <row r="24" spans="1:11" x14ac:dyDescent="0.3">
      <c r="A24" s="1"/>
      <c r="B24" s="42">
        <v>19</v>
      </c>
      <c r="C24" s="25">
        <f t="shared" si="7"/>
        <v>24</v>
      </c>
      <c r="D24" s="25">
        <f t="shared" si="1"/>
        <v>31</v>
      </c>
      <c r="E24" s="25">
        <f t="shared" si="2"/>
        <v>49</v>
      </c>
      <c r="F24" s="25">
        <f t="shared" si="3"/>
        <v>94</v>
      </c>
      <c r="G24" s="25">
        <f t="shared" si="4"/>
        <v>207</v>
      </c>
      <c r="H24" s="25">
        <f t="shared" si="5"/>
        <v>490</v>
      </c>
      <c r="I24" s="25">
        <f t="shared" si="6"/>
        <v>1197</v>
      </c>
      <c r="J24" s="1"/>
      <c r="K24" s="1"/>
    </row>
    <row r="25" spans="1:11" x14ac:dyDescent="0.3">
      <c r="B25" s="6" t="s">
        <v>33</v>
      </c>
      <c r="C25" s="29">
        <f>SUM(C5:C24)</f>
        <v>290</v>
      </c>
      <c r="D25" s="29">
        <f t="shared" ref="D25:I25" si="8">SUM(D5:D24)</f>
        <v>430</v>
      </c>
      <c r="E25" s="29">
        <f t="shared" si="8"/>
        <v>790</v>
      </c>
      <c r="F25" s="29">
        <f t="shared" si="8"/>
        <v>1690</v>
      </c>
      <c r="G25" s="29">
        <f t="shared" si="8"/>
        <v>3949</v>
      </c>
      <c r="H25" s="29">
        <f t="shared" si="8"/>
        <v>9606</v>
      </c>
      <c r="I25" s="29">
        <f t="shared" si="8"/>
        <v>23739</v>
      </c>
      <c r="J25" s="1"/>
      <c r="K25" s="1"/>
    </row>
    <row r="26" spans="1:11" x14ac:dyDescent="0.3">
      <c r="J26" s="1"/>
    </row>
    <row r="27" spans="1:11" x14ac:dyDescent="0.3">
      <c r="J27" s="1"/>
    </row>
    <row r="28" spans="1:11" x14ac:dyDescent="0.3">
      <c r="J28" s="1"/>
    </row>
    <row r="29" spans="1:11" x14ac:dyDescent="0.3">
      <c r="J29" s="1"/>
    </row>
    <row r="30" spans="1:11" x14ac:dyDescent="0.3">
      <c r="J30" s="1"/>
    </row>
    <row r="31" spans="1:11" x14ac:dyDescent="0.3">
      <c r="J31" s="1"/>
    </row>
    <row r="32" spans="1:11" x14ac:dyDescent="0.3">
      <c r="J32" s="1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zoomScaleNormal="100" workbookViewId="0">
      <selection activeCell="K29" sqref="K29"/>
    </sheetView>
  </sheetViews>
  <sheetFormatPr defaultRowHeight="13.5" x14ac:dyDescent="0.3"/>
  <cols>
    <col min="1" max="10" width="9" style="24"/>
    <col min="11" max="11" width="3.625" style="24" customWidth="1"/>
    <col min="12" max="12" width="10.625" style="24" customWidth="1"/>
    <col min="13" max="13" width="14.625" style="24" customWidth="1"/>
    <col min="14" max="14" width="12.75" style="24" customWidth="1"/>
    <col min="15" max="15" width="12.125" style="24" customWidth="1"/>
    <col min="16" max="16" width="3.625" style="24" customWidth="1"/>
    <col min="17" max="17" width="10.625" style="24" customWidth="1"/>
    <col min="18" max="18" width="14.625" style="24" customWidth="1"/>
    <col min="19" max="19" width="12.75" style="24" customWidth="1"/>
    <col min="20" max="20" width="12.125" style="24" customWidth="1"/>
    <col min="21" max="16384" width="9" style="24"/>
  </cols>
  <sheetData>
    <row r="1" spans="2:20" ht="13.5" customHeight="1" x14ac:dyDescent="0.3">
      <c r="L1" s="91" t="s">
        <v>62</v>
      </c>
      <c r="M1" s="90"/>
      <c r="N1" s="33"/>
      <c r="O1" s="33"/>
      <c r="Q1" s="91" t="s">
        <v>61</v>
      </c>
      <c r="R1" s="90"/>
    </row>
    <row r="2" spans="2:20" ht="20.25" x14ac:dyDescent="0.3">
      <c r="B2" s="24" t="s">
        <v>57</v>
      </c>
      <c r="D2" s="55" t="s">
        <v>54</v>
      </c>
      <c r="E2" s="55" t="s">
        <v>55</v>
      </c>
      <c r="F2" s="55" t="s">
        <v>48</v>
      </c>
      <c r="G2" s="55" t="s">
        <v>49</v>
      </c>
      <c r="H2" s="55" t="s">
        <v>50</v>
      </c>
      <c r="I2" s="55" t="s">
        <v>51</v>
      </c>
      <c r="J2" s="55" t="s">
        <v>52</v>
      </c>
      <c r="L2" s="90"/>
      <c r="M2" s="90"/>
      <c r="N2" s="33"/>
      <c r="O2" s="33"/>
      <c r="Q2" s="90"/>
      <c r="R2" s="90"/>
    </row>
    <row r="3" spans="2:20" ht="20.25" x14ac:dyDescent="0.3">
      <c r="B3" s="54" t="s">
        <v>31</v>
      </c>
      <c r="C3" s="54" t="s">
        <v>53</v>
      </c>
      <c r="D3" s="54">
        <v>1</v>
      </c>
      <c r="E3" s="54">
        <v>2</v>
      </c>
      <c r="F3" s="54">
        <v>3</v>
      </c>
      <c r="G3" s="54">
        <v>4</v>
      </c>
      <c r="H3" s="54">
        <v>5</v>
      </c>
      <c r="I3" s="54">
        <v>6</v>
      </c>
      <c r="J3" s="54">
        <v>7</v>
      </c>
      <c r="L3" s="86">
        <f>O14+O23*7</f>
        <v>15208.797961163073</v>
      </c>
      <c r="M3" s="86"/>
      <c r="N3" s="33"/>
      <c r="O3" s="33"/>
      <c r="Q3" s="86">
        <f>T14+T23*7</f>
        <v>18625.344217687074</v>
      </c>
      <c r="R3" s="86"/>
    </row>
    <row r="4" spans="2:20" x14ac:dyDescent="0.3">
      <c r="B4" s="53">
        <v>1</v>
      </c>
      <c r="C4" s="53">
        <v>1</v>
      </c>
      <c r="D4" s="57">
        <v>7.3179656055616533</v>
      </c>
      <c r="E4" s="58"/>
      <c r="F4" s="58"/>
      <c r="G4" s="58"/>
      <c r="H4" s="58"/>
      <c r="I4" s="58"/>
      <c r="J4" s="58"/>
      <c r="L4" s="24" t="s">
        <v>15</v>
      </c>
      <c r="Q4" s="24" t="s">
        <v>15</v>
      </c>
    </row>
    <row r="5" spans="2:20" ht="13.5" customHeight="1" x14ac:dyDescent="0.3">
      <c r="B5" s="53">
        <v>2</v>
      </c>
      <c r="C5" s="53">
        <v>1</v>
      </c>
      <c r="D5" s="57">
        <v>16.103059581320451</v>
      </c>
      <c r="E5" s="56">
        <v>8.1499592502037483</v>
      </c>
      <c r="F5" s="58"/>
      <c r="G5" s="58"/>
      <c r="H5" s="58"/>
      <c r="I5" s="92" t="s">
        <v>56</v>
      </c>
      <c r="J5" s="92"/>
      <c r="L5" s="80" t="s">
        <v>3</v>
      </c>
      <c r="M5" s="79" t="s">
        <v>60</v>
      </c>
      <c r="N5" s="80" t="s">
        <v>4</v>
      </c>
      <c r="O5" s="80" t="s">
        <v>7</v>
      </c>
      <c r="Q5" s="80" t="s">
        <v>3</v>
      </c>
      <c r="R5" s="79" t="s">
        <v>60</v>
      </c>
      <c r="S5" s="80" t="s">
        <v>4</v>
      </c>
      <c r="T5" s="80" t="s">
        <v>7</v>
      </c>
    </row>
    <row r="6" spans="2:20" x14ac:dyDescent="0.3">
      <c r="B6" s="53">
        <v>3</v>
      </c>
      <c r="C6" s="53">
        <v>1</v>
      </c>
      <c r="D6" s="57">
        <v>48.309178743961354</v>
      </c>
      <c r="E6" s="56">
        <v>24.449877750611247</v>
      </c>
      <c r="F6" s="56">
        <v>9.0415913200723317</v>
      </c>
      <c r="G6" s="58"/>
      <c r="H6" s="58"/>
      <c r="I6" s="58"/>
      <c r="J6" s="58"/>
      <c r="L6" s="81"/>
      <c r="M6" s="81"/>
      <c r="N6" s="81"/>
      <c r="O6" s="81"/>
      <c r="Q6" s="81"/>
      <c r="R6" s="81"/>
      <c r="S6" s="81"/>
      <c r="T6" s="81"/>
    </row>
    <row r="7" spans="2:20" x14ac:dyDescent="0.3">
      <c r="B7" s="53">
        <v>4</v>
      </c>
      <c r="C7" s="53">
        <v>1</v>
      </c>
      <c r="D7" s="56">
        <v>129.03225806451613</v>
      </c>
      <c r="E7" s="57">
        <v>65.359477124183002</v>
      </c>
      <c r="F7" s="56">
        <v>24.125452352231605</v>
      </c>
      <c r="G7" s="56">
        <v>6.6934404283801872</v>
      </c>
      <c r="H7" s="58"/>
      <c r="I7" s="58"/>
      <c r="J7" s="58"/>
      <c r="L7" s="3">
        <v>1</v>
      </c>
      <c r="M7" s="25">
        <f>D4</f>
        <v>7.3179656055616533</v>
      </c>
      <c r="N7" s="25">
        <v>64</v>
      </c>
      <c r="O7" s="25">
        <f t="shared" ref="O7:O13" si="0">M7*N7</f>
        <v>468.34979875594581</v>
      </c>
      <c r="Q7" s="3">
        <v>1</v>
      </c>
      <c r="R7" s="25">
        <f>D27</f>
        <v>24.166666666666668</v>
      </c>
      <c r="S7" s="25">
        <v>64</v>
      </c>
      <c r="T7" s="25">
        <f t="shared" ref="T7:T13" si="1">R7*S7</f>
        <v>1546.6666666666667</v>
      </c>
    </row>
    <row r="8" spans="2:20" x14ac:dyDescent="0.3">
      <c r="B8" s="53">
        <v>5</v>
      </c>
      <c r="C8" s="53">
        <v>3</v>
      </c>
      <c r="D8" s="50">
        <f t="shared" ref="D8:H8" si="2">D19*1.5</f>
        <v>322.58064516129036</v>
      </c>
      <c r="E8" s="57">
        <f t="shared" si="2"/>
        <v>163.04347826086956</v>
      </c>
      <c r="F8" s="50">
        <f t="shared" si="2"/>
        <v>60.24096385542169</v>
      </c>
      <c r="G8" s="50">
        <f t="shared" si="2"/>
        <v>16.731734523145569</v>
      </c>
      <c r="H8" s="50">
        <f t="shared" si="2"/>
        <v>7.4367873078829945</v>
      </c>
      <c r="I8" s="58"/>
      <c r="J8" s="58"/>
      <c r="L8" s="3">
        <v>2</v>
      </c>
      <c r="M8" s="25">
        <f>D5</f>
        <v>16.103059581320451</v>
      </c>
      <c r="N8" s="25">
        <v>32</v>
      </c>
      <c r="O8" s="25">
        <f t="shared" si="0"/>
        <v>515.29790660225444</v>
      </c>
      <c r="Q8" s="3">
        <v>2</v>
      </c>
      <c r="R8" s="25">
        <f>D28</f>
        <v>35.833333333333336</v>
      </c>
      <c r="S8" s="25">
        <v>32</v>
      </c>
      <c r="T8" s="25">
        <f t="shared" si="1"/>
        <v>1146.6666666666667</v>
      </c>
    </row>
    <row r="9" spans="2:20" x14ac:dyDescent="0.3">
      <c r="B9" s="53">
        <v>6</v>
      </c>
      <c r="C9" s="53">
        <v>3</v>
      </c>
      <c r="D9" s="50">
        <f t="shared" ref="D9:I9" si="3">D20*1.5</f>
        <v>810.81081081081084</v>
      </c>
      <c r="E9" s="57">
        <f t="shared" si="3"/>
        <v>410.95890410958907</v>
      </c>
      <c r="F9" s="50">
        <f t="shared" si="3"/>
        <v>150.7537688442211</v>
      </c>
      <c r="G9" s="50">
        <f t="shared" si="3"/>
        <v>41.84100418410042</v>
      </c>
      <c r="H9" s="50">
        <f t="shared" si="3"/>
        <v>18.598884066955982</v>
      </c>
      <c r="I9" s="50">
        <f t="shared" si="3"/>
        <v>5.5076188727740041</v>
      </c>
      <c r="J9" s="58"/>
      <c r="L9" s="3">
        <v>3</v>
      </c>
      <c r="M9" s="25">
        <f>D6</f>
        <v>48.309178743961354</v>
      </c>
      <c r="N9" s="25">
        <v>16</v>
      </c>
      <c r="O9" s="25">
        <f t="shared" si="0"/>
        <v>772.94685990338166</v>
      </c>
      <c r="Q9" s="3">
        <v>3</v>
      </c>
      <c r="R9" s="25">
        <f>D29</f>
        <v>65.833333333333329</v>
      </c>
      <c r="S9" s="25">
        <v>16</v>
      </c>
      <c r="T9" s="25">
        <f t="shared" si="1"/>
        <v>1053.3333333333333</v>
      </c>
    </row>
    <row r="10" spans="2:20" x14ac:dyDescent="0.3">
      <c r="B10" s="53">
        <v>7</v>
      </c>
      <c r="C10" s="53">
        <v>2</v>
      </c>
      <c r="D10" s="50">
        <f>D21*1.5</f>
        <v>2142.8571428571427</v>
      </c>
      <c r="E10" s="50">
        <f t="shared" ref="E10:I10" si="4">E21*1.5</f>
        <v>1034.4827586206895</v>
      </c>
      <c r="F10" s="57">
        <f t="shared" si="4"/>
        <v>379.74683544303798</v>
      </c>
      <c r="G10" s="50">
        <f t="shared" si="4"/>
        <v>104.89510489510491</v>
      </c>
      <c r="H10" s="50">
        <f t="shared" si="4"/>
        <v>46.511627906976742</v>
      </c>
      <c r="I10" s="50">
        <f t="shared" si="4"/>
        <v>20.66115702479339</v>
      </c>
      <c r="J10" s="50">
        <v>9.1785222579164749</v>
      </c>
      <c r="L10" s="3">
        <v>4</v>
      </c>
      <c r="M10" s="25">
        <f>E7</f>
        <v>65.359477124183002</v>
      </c>
      <c r="N10" s="25">
        <v>8</v>
      </c>
      <c r="O10" s="25">
        <f t="shared" si="0"/>
        <v>522.87581699346401</v>
      </c>
      <c r="Q10" s="3">
        <v>4</v>
      </c>
      <c r="R10" s="25">
        <f>E30</f>
        <v>56.333333333333336</v>
      </c>
      <c r="S10" s="25">
        <v>8</v>
      </c>
      <c r="T10" s="25">
        <f t="shared" si="1"/>
        <v>450.66666666666669</v>
      </c>
    </row>
    <row r="11" spans="2:20" x14ac:dyDescent="0.3">
      <c r="D11" s="56">
        <f t="shared" ref="D11:H11" si="5">D10/E10</f>
        <v>2.0714285714285716</v>
      </c>
      <c r="E11" s="56">
        <f t="shared" si="5"/>
        <v>2.7241379310344822</v>
      </c>
      <c r="F11" s="56">
        <f t="shared" si="5"/>
        <v>3.6202531645569618</v>
      </c>
      <c r="G11" s="56">
        <f t="shared" si="5"/>
        <v>2.2552447552447554</v>
      </c>
      <c r="H11" s="56">
        <f t="shared" si="5"/>
        <v>2.2511627906976743</v>
      </c>
      <c r="I11" s="56">
        <f>I10/J10</f>
        <v>2.2510330578512399</v>
      </c>
      <c r="L11" s="3">
        <v>5</v>
      </c>
      <c r="M11" s="25">
        <f>E8</f>
        <v>163.04347826086956</v>
      </c>
      <c r="N11" s="25">
        <v>4</v>
      </c>
      <c r="O11" s="25">
        <f t="shared" si="0"/>
        <v>652.17391304347825</v>
      </c>
      <c r="Q11" s="3">
        <v>5</v>
      </c>
      <c r="R11" s="25">
        <f>E31</f>
        <v>131.63333333333333</v>
      </c>
      <c r="S11" s="25">
        <v>4</v>
      </c>
      <c r="T11" s="25">
        <f t="shared" si="1"/>
        <v>526.5333333333333</v>
      </c>
    </row>
    <row r="12" spans="2:20" x14ac:dyDescent="0.3">
      <c r="L12" s="3">
        <v>6</v>
      </c>
      <c r="M12" s="25">
        <f>E9</f>
        <v>410.95890410958907</v>
      </c>
      <c r="N12" s="25">
        <v>2</v>
      </c>
      <c r="O12" s="25">
        <f t="shared" si="0"/>
        <v>821.91780821917814</v>
      </c>
      <c r="Q12" s="3">
        <v>6</v>
      </c>
      <c r="R12" s="25">
        <f>E32</f>
        <v>320.2</v>
      </c>
      <c r="S12" s="25">
        <v>2</v>
      </c>
      <c r="T12" s="25">
        <f t="shared" si="1"/>
        <v>640.4</v>
      </c>
    </row>
    <row r="13" spans="2:20" x14ac:dyDescent="0.3">
      <c r="B13" s="24" t="s">
        <v>58</v>
      </c>
      <c r="D13" s="64"/>
      <c r="E13" s="64"/>
      <c r="F13" s="64"/>
      <c r="G13" s="64"/>
      <c r="H13" s="64"/>
      <c r="L13" s="3">
        <v>7</v>
      </c>
      <c r="M13" s="25">
        <f>F10</f>
        <v>379.74683544303798</v>
      </c>
      <c r="N13" s="25">
        <v>1</v>
      </c>
      <c r="O13" s="25">
        <f t="shared" si="0"/>
        <v>379.74683544303798</v>
      </c>
      <c r="Q13" s="3">
        <v>7</v>
      </c>
      <c r="R13" s="25">
        <f>F33</f>
        <v>242.23469387755102</v>
      </c>
      <c r="S13" s="25">
        <v>1</v>
      </c>
      <c r="T13" s="25">
        <f t="shared" si="1"/>
        <v>242.23469387755102</v>
      </c>
    </row>
    <row r="14" spans="2:20" x14ac:dyDescent="0.3">
      <c r="B14" s="54" t="s">
        <v>31</v>
      </c>
      <c r="C14" s="54" t="s">
        <v>53</v>
      </c>
      <c r="D14" s="54">
        <v>1</v>
      </c>
      <c r="E14" s="54">
        <v>2</v>
      </c>
      <c r="F14" s="54">
        <v>3</v>
      </c>
      <c r="G14" s="54">
        <v>4</v>
      </c>
      <c r="H14" s="54">
        <v>5</v>
      </c>
      <c r="I14" s="54">
        <v>6</v>
      </c>
      <c r="J14" s="54">
        <v>7</v>
      </c>
      <c r="L14" s="26"/>
      <c r="M14" s="27"/>
      <c r="N14" s="27"/>
      <c r="O14" s="28">
        <f>SUM(O7:O13)</f>
        <v>4133.3089389607412</v>
      </c>
      <c r="Q14" s="26"/>
      <c r="R14" s="27"/>
      <c r="S14" s="27"/>
      <c r="T14" s="28">
        <f>SUM(T7:T13)</f>
        <v>5606.5013605442173</v>
      </c>
    </row>
    <row r="15" spans="2:20" x14ac:dyDescent="0.3">
      <c r="B15" s="53">
        <v>1</v>
      </c>
      <c r="C15" s="53">
        <v>1</v>
      </c>
      <c r="D15" s="56">
        <v>4.8780487804878057</v>
      </c>
      <c r="E15" s="58"/>
      <c r="F15" s="58"/>
      <c r="G15" s="58"/>
      <c r="H15" s="58"/>
      <c r="I15" s="58"/>
      <c r="J15" s="58"/>
    </row>
    <row r="16" spans="2:20" x14ac:dyDescent="0.3">
      <c r="B16" s="53">
        <v>2</v>
      </c>
      <c r="C16" s="53">
        <v>1</v>
      </c>
      <c r="D16" s="56">
        <v>10.735373054213634</v>
      </c>
      <c r="E16" s="56">
        <v>5.4112554112554108</v>
      </c>
      <c r="F16" s="58"/>
      <c r="G16" s="58"/>
      <c r="H16" s="58"/>
      <c r="I16" s="92" t="s">
        <v>56</v>
      </c>
      <c r="J16" s="92"/>
      <c r="L16" s="24" t="s">
        <v>47</v>
      </c>
      <c r="Q16" s="24" t="s">
        <v>47</v>
      </c>
    </row>
    <row r="17" spans="2:20" ht="13.5" customHeight="1" x14ac:dyDescent="0.3">
      <c r="B17" s="53">
        <v>3</v>
      </c>
      <c r="C17" s="53">
        <v>1</v>
      </c>
      <c r="D17" s="56">
        <v>32.206119162640903</v>
      </c>
      <c r="E17" s="56">
        <v>16.233766233766232</v>
      </c>
      <c r="F17" s="56">
        <v>6.0186578393018362</v>
      </c>
      <c r="G17" s="58"/>
      <c r="H17" s="58"/>
      <c r="I17" s="58"/>
      <c r="J17" s="58"/>
      <c r="L17" s="80" t="s">
        <v>3</v>
      </c>
      <c r="M17" s="79" t="s">
        <v>60</v>
      </c>
      <c r="N17" s="80" t="s">
        <v>4</v>
      </c>
      <c r="O17" s="80" t="s">
        <v>7</v>
      </c>
      <c r="Q17" s="80" t="s">
        <v>3</v>
      </c>
      <c r="R17" s="79" t="s">
        <v>60</v>
      </c>
      <c r="S17" s="80" t="s">
        <v>4</v>
      </c>
      <c r="T17" s="80" t="s">
        <v>7</v>
      </c>
    </row>
    <row r="18" spans="2:20" x14ac:dyDescent="0.3">
      <c r="B18" s="53">
        <v>4</v>
      </c>
      <c r="C18" s="53">
        <v>1</v>
      </c>
      <c r="D18" s="56">
        <v>86.206896551724128</v>
      </c>
      <c r="E18" s="57">
        <v>43.290043290043286</v>
      </c>
      <c r="F18" s="56">
        <v>16.051364365971107</v>
      </c>
      <c r="G18" s="56">
        <v>4.4622936189201248</v>
      </c>
      <c r="H18" s="58"/>
      <c r="I18" s="58"/>
      <c r="J18" s="58"/>
      <c r="L18" s="81"/>
      <c r="M18" s="81"/>
      <c r="N18" s="81"/>
      <c r="O18" s="81"/>
      <c r="Q18" s="81"/>
      <c r="R18" s="81"/>
      <c r="S18" s="81"/>
      <c r="T18" s="81"/>
    </row>
    <row r="19" spans="2:20" x14ac:dyDescent="0.3">
      <c r="B19" s="53">
        <v>5</v>
      </c>
      <c r="C19" s="53">
        <v>1</v>
      </c>
      <c r="D19" s="56">
        <v>215.05376344086022</v>
      </c>
      <c r="E19" s="57">
        <v>108.69565217391305</v>
      </c>
      <c r="F19" s="56">
        <v>40.160642570281126</v>
      </c>
      <c r="G19" s="56">
        <v>11.154489682097045</v>
      </c>
      <c r="H19" s="56">
        <v>4.9578582052553299</v>
      </c>
      <c r="I19" s="58"/>
      <c r="J19" s="58"/>
      <c r="L19" s="3">
        <v>4</v>
      </c>
      <c r="M19" s="25">
        <f>E18</f>
        <v>43.290043290043286</v>
      </c>
      <c r="N19" s="25">
        <v>8</v>
      </c>
      <c r="O19" s="25">
        <f>M19*N19</f>
        <v>346.32034632034629</v>
      </c>
      <c r="Q19" s="3">
        <v>4</v>
      </c>
      <c r="R19" s="25">
        <f>R10</f>
        <v>56.333333333333336</v>
      </c>
      <c r="S19" s="25">
        <v>8</v>
      </c>
      <c r="T19" s="25">
        <f>R19*S19</f>
        <v>450.66666666666669</v>
      </c>
    </row>
    <row r="20" spans="2:20" x14ac:dyDescent="0.3">
      <c r="B20" s="53">
        <v>6</v>
      </c>
      <c r="C20" s="53">
        <v>1</v>
      </c>
      <c r="D20" s="56">
        <v>540.54054054054052</v>
      </c>
      <c r="E20" s="57">
        <v>273.97260273972603</v>
      </c>
      <c r="F20" s="56">
        <v>100.50251256281406</v>
      </c>
      <c r="G20" s="56">
        <v>27.894002789400279</v>
      </c>
      <c r="H20" s="56">
        <v>12.399256044637323</v>
      </c>
      <c r="I20" s="37">
        <v>3.6717459151826692</v>
      </c>
      <c r="J20" s="58"/>
      <c r="L20" s="3">
        <v>5</v>
      </c>
      <c r="M20" s="25">
        <f>E19</f>
        <v>108.69565217391305</v>
      </c>
      <c r="N20" s="25">
        <v>4</v>
      </c>
      <c r="O20" s="25">
        <f>M20*N20</f>
        <v>434.78260869565219</v>
      </c>
      <c r="Q20" s="3">
        <v>5</v>
      </c>
      <c r="R20" s="25">
        <f t="shared" ref="R20:R22" si="6">R11</f>
        <v>131.63333333333333</v>
      </c>
      <c r="S20" s="25">
        <v>4</v>
      </c>
      <c r="T20" s="25">
        <f>R20*S20</f>
        <v>526.5333333333333</v>
      </c>
    </row>
    <row r="21" spans="2:20" x14ac:dyDescent="0.3">
      <c r="B21" s="53">
        <v>7</v>
      </c>
      <c r="C21" s="53">
        <v>1</v>
      </c>
      <c r="D21" s="56">
        <v>1428.5714285714284</v>
      </c>
      <c r="E21" s="56">
        <v>689.65517241379303</v>
      </c>
      <c r="F21" s="57">
        <v>253.1645569620253</v>
      </c>
      <c r="G21" s="56">
        <v>69.930069930069934</v>
      </c>
      <c r="H21" s="56">
        <v>31.007751937984494</v>
      </c>
      <c r="I21" s="56">
        <v>13.774104683195592</v>
      </c>
      <c r="J21" s="56">
        <v>6.119951040391677</v>
      </c>
      <c r="L21" s="3">
        <v>6</v>
      </c>
      <c r="M21" s="25">
        <f>E20</f>
        <v>273.97260273972603</v>
      </c>
      <c r="N21" s="25">
        <v>2</v>
      </c>
      <c r="O21" s="25">
        <f>M21*N21</f>
        <v>547.94520547945206</v>
      </c>
      <c r="Q21" s="3">
        <v>6</v>
      </c>
      <c r="R21" s="25">
        <f t="shared" si="6"/>
        <v>320.2</v>
      </c>
      <c r="S21" s="25">
        <v>2</v>
      </c>
      <c r="T21" s="25">
        <f>R21*S21</f>
        <v>640.4</v>
      </c>
    </row>
    <row r="22" spans="2:20" x14ac:dyDescent="0.3">
      <c r="D22" s="56">
        <f t="shared" ref="D22:I22" si="7">D21/E21</f>
        <v>2.0714285714285716</v>
      </c>
      <c r="E22" s="56">
        <f t="shared" si="7"/>
        <v>2.7241379310344827</v>
      </c>
      <c r="F22" s="56">
        <f t="shared" si="7"/>
        <v>3.6202531645569618</v>
      </c>
      <c r="G22" s="56">
        <f t="shared" si="7"/>
        <v>2.2552447552447554</v>
      </c>
      <c r="H22" s="56">
        <f t="shared" si="7"/>
        <v>2.2511627906976743</v>
      </c>
      <c r="I22" s="56">
        <f t="shared" si="7"/>
        <v>2.2506887052341598</v>
      </c>
      <c r="L22" s="3">
        <v>7</v>
      </c>
      <c r="M22" s="25">
        <f>F21</f>
        <v>253.1645569620253</v>
      </c>
      <c r="N22" s="25">
        <v>1</v>
      </c>
      <c r="O22" s="25">
        <f>M22*N22</f>
        <v>253.1645569620253</v>
      </c>
      <c r="Q22" s="3">
        <v>7</v>
      </c>
      <c r="R22" s="25">
        <f t="shared" si="6"/>
        <v>242.23469387755102</v>
      </c>
      <c r="S22" s="25">
        <v>1</v>
      </c>
      <c r="T22" s="25">
        <f>R22*S22</f>
        <v>242.23469387755102</v>
      </c>
    </row>
    <row r="23" spans="2:20" x14ac:dyDescent="0.3">
      <c r="L23" s="26"/>
      <c r="M23" s="27"/>
      <c r="O23" s="28">
        <f>SUM(O19:O22)</f>
        <v>1582.2127174574759</v>
      </c>
      <c r="Q23" s="26"/>
      <c r="R23" s="27"/>
      <c r="T23" s="28">
        <f>SUM(T19:T22)</f>
        <v>1859.834693877551</v>
      </c>
    </row>
    <row r="25" spans="2:20" ht="20.25" customHeight="1" x14ac:dyDescent="0.3">
      <c r="B25" s="24" t="s">
        <v>59</v>
      </c>
    </row>
    <row r="26" spans="2:20" ht="20.25" customHeight="1" x14ac:dyDescent="0.3">
      <c r="B26" s="83" t="s">
        <v>35</v>
      </c>
      <c r="C26" s="82"/>
      <c r="D26" s="6">
        <v>1</v>
      </c>
      <c r="E26" s="6">
        <v>2</v>
      </c>
      <c r="F26" s="6">
        <v>3</v>
      </c>
      <c r="G26" s="6">
        <v>4</v>
      </c>
      <c r="H26" s="6">
        <v>5</v>
      </c>
      <c r="I26" s="6">
        <v>6</v>
      </c>
      <c r="J26" s="6">
        <v>7</v>
      </c>
    </row>
    <row r="27" spans="2:20" x14ac:dyDescent="0.3">
      <c r="B27" s="93">
        <v>1</v>
      </c>
      <c r="C27" s="93"/>
      <c r="D27" s="59">
        <f>'시뮬레이션-액트별 등급 확률개선'!L43/'시뮬레이션-액트별 등급 확률개선'!$N$43</f>
        <v>24.166666666666668</v>
      </c>
    </row>
    <row r="28" spans="2:20" x14ac:dyDescent="0.3">
      <c r="B28" s="93">
        <v>2</v>
      </c>
      <c r="C28" s="93"/>
      <c r="D28" s="59">
        <f>'시뮬레이션-액트별 등급 확률개선'!L44/'시뮬레이션-액트별 등급 확률개선'!$N$43</f>
        <v>35.833333333333336</v>
      </c>
      <c r="E28" s="62">
        <f>'시뮬레이션-액트별 등급 확률개선'!L44/'시뮬레이션-액트별 등급 확률개선'!$N$44</f>
        <v>14.333333333333334</v>
      </c>
    </row>
    <row r="29" spans="2:20" ht="13.5" customHeight="1" x14ac:dyDescent="0.3">
      <c r="B29" s="93">
        <v>3</v>
      </c>
      <c r="C29" s="93"/>
      <c r="D29" s="59">
        <f>'시뮬레이션-액트별 등급 확률개선'!L45/'시뮬레이션-액트별 등급 확률개선'!$N$43</f>
        <v>65.833333333333329</v>
      </c>
      <c r="E29" s="62">
        <f>'시뮬레이션-액트별 등급 확률개선'!L45/'시뮬레이션-액트별 등급 확률개선'!$N$44</f>
        <v>26.333333333333332</v>
      </c>
      <c r="F29" s="62">
        <f>'시뮬레이션-액트별 등급 확률개선'!L45/'시뮬레이션-액트별 등급 확률개선'!$N$45</f>
        <v>8.0612244897959187</v>
      </c>
    </row>
    <row r="30" spans="2:20" ht="13.5" customHeight="1" x14ac:dyDescent="0.3">
      <c r="B30" s="93">
        <v>4</v>
      </c>
      <c r="C30" s="93"/>
      <c r="D30" s="62">
        <f>'시뮬레이션-액트별 등급 확률개선'!L46/'시뮬레이션-액트별 등급 확률개선'!$N$43</f>
        <v>140.83333333333334</v>
      </c>
      <c r="E30" s="59">
        <f>'시뮬레이션-액트별 등급 확률개선'!L46/'시뮬레이션-액트별 등급 확률개선'!$N$44</f>
        <v>56.333333333333336</v>
      </c>
      <c r="F30" s="62">
        <f>'시뮬레이션-액트별 등급 확률개선'!L46/'시뮬레이션-액트별 등급 확률개선'!$N$45</f>
        <v>17.244897959183675</v>
      </c>
      <c r="G30" s="62">
        <f>'시뮬레이션-액트별 등급 확률개선'!L46/'시뮬레이션-액트별 등급 확률개선'!$N$46</f>
        <v>8.0094786729857823</v>
      </c>
    </row>
    <row r="31" spans="2:20" x14ac:dyDescent="0.3">
      <c r="B31" s="93">
        <v>5</v>
      </c>
      <c r="C31" s="93"/>
      <c r="D31" s="62">
        <f>'시뮬레이션-액트별 등급 확률개선'!L47/'시뮬레이션-액트별 등급 확률개선'!$N$43</f>
        <v>329.08333333333331</v>
      </c>
      <c r="E31" s="59">
        <f>'시뮬레이션-액트별 등급 확률개선'!L47/'시뮬레이션-액트별 등급 확률개선'!$N$44</f>
        <v>131.63333333333333</v>
      </c>
      <c r="F31" s="62">
        <f>'시뮬레이션-액트별 등급 확률개선'!L47/'시뮬레이션-액트별 등급 확률개선'!$N$45</f>
        <v>40.295918367346935</v>
      </c>
      <c r="G31" s="62">
        <f>'시뮬레이션-액트별 등급 확률개선'!L47/'시뮬레이션-액트별 등급 확률개선'!$N$46</f>
        <v>18.715639810426541</v>
      </c>
      <c r="H31" s="62">
        <f>'시뮬레이션-액트별 등급 확률개선'!L47/'시뮬레이션-액트별 등급 확률개선'!$N$47</f>
        <v>7.00177304964539</v>
      </c>
    </row>
    <row r="32" spans="2:20" x14ac:dyDescent="0.3">
      <c r="B32" s="93">
        <v>6</v>
      </c>
      <c r="C32" s="93"/>
      <c r="D32" s="62">
        <f>'시뮬레이션-액트별 등급 확률개선'!L48/'시뮬레이션-액트별 등급 확률개선'!$N$43</f>
        <v>800.5</v>
      </c>
      <c r="E32" s="59">
        <f>'시뮬레이션-액트별 등급 확률개선'!L48/'시뮬레이션-액트별 등급 확률개선'!$N$44</f>
        <v>320.2</v>
      </c>
      <c r="F32" s="62">
        <f>'시뮬레이션-액트별 등급 확률개선'!L48/'시뮬레이션-액트별 등급 확률개선'!$N$45</f>
        <v>98.020408163265301</v>
      </c>
      <c r="G32" s="62">
        <f>'시뮬레이션-액트별 등급 확률개선'!L48/'시뮬레이션-액트별 등급 확률개선'!$N$46</f>
        <v>45.526066350710899</v>
      </c>
      <c r="H32" s="62">
        <f>'시뮬레이션-액트별 등급 확률개선'!L48/'시뮬레이션-액트별 등급 확률개선'!$N$47</f>
        <v>17.031914893617021</v>
      </c>
      <c r="I32" s="62">
        <f>'시뮬레이션-액트별 등급 확률개선'!L48/'시뮬레이션-액트별 등급 확률개선'!$N$48</f>
        <v>6</v>
      </c>
    </row>
    <row r="33" spans="2:10" x14ac:dyDescent="0.3">
      <c r="B33" s="93">
        <v>7</v>
      </c>
      <c r="C33" s="93"/>
      <c r="D33" s="62">
        <f>'시뮬레이션-액트별 등급 확률개선'!L49/'시뮬레이션-액트별 등급 확률개선'!$N$43</f>
        <v>1978.25</v>
      </c>
      <c r="E33" s="62">
        <f>'시뮬레이션-액트별 등급 확률개선'!L49/'시뮬레이션-액트별 등급 확률개선'!$N$44</f>
        <v>791.3</v>
      </c>
      <c r="F33" s="59">
        <f>'시뮬레이션-액트별 등급 확률개선'!L49/'시뮬레이션-액트별 등급 확률개선'!$N$45</f>
        <v>242.23469387755102</v>
      </c>
      <c r="G33" s="62">
        <f>'시뮬레이션-액트별 등급 확률개선'!L49/'시뮬레이션-액트별 등급 확률개선'!$N$46</f>
        <v>112.50710900473933</v>
      </c>
      <c r="H33" s="62">
        <f>'시뮬레이션-액트별 등급 확률개선'!L49/'시뮬레이션-액트별 등급 확률개선'!$N$47</f>
        <v>42.090425531914896</v>
      </c>
      <c r="I33" s="62">
        <f>'시뮬레이션-액트별 등급 확률개선'!L49/'시뮬레이션-액트별 등급 확률개선'!$N$48</f>
        <v>14.827607745159275</v>
      </c>
      <c r="J33" s="62">
        <f>'시뮬레이션-액트별 등급 확률개선'!L49/'시뮬레이션-액트별 등급 확률개선'!$N$49</f>
        <v>5.0008426374552348</v>
      </c>
    </row>
    <row r="34" spans="2:10" x14ac:dyDescent="0.3">
      <c r="D34" s="60">
        <f t="shared" ref="D34:I34" si="8">D33/E33</f>
        <v>2.5</v>
      </c>
      <c r="E34" s="60">
        <f t="shared" si="8"/>
        <v>3.2666666666666666</v>
      </c>
      <c r="F34" s="60">
        <f t="shared" si="8"/>
        <v>2.1530612244897962</v>
      </c>
      <c r="G34" s="60">
        <f t="shared" si="8"/>
        <v>2.6729857819905209</v>
      </c>
      <c r="H34" s="60">
        <f t="shared" si="8"/>
        <v>2.8386524822695036</v>
      </c>
      <c r="I34" s="60">
        <f t="shared" si="8"/>
        <v>2.9650218613366643</v>
      </c>
      <c r="J34" s="63"/>
    </row>
    <row r="35" spans="2:10" x14ac:dyDescent="0.3">
      <c r="D35" s="61"/>
      <c r="E35" s="61"/>
      <c r="F35" s="61"/>
      <c r="G35" s="61"/>
      <c r="H35" s="61"/>
      <c r="I35" s="61"/>
      <c r="J35" s="61"/>
    </row>
  </sheetData>
  <mergeCells count="30">
    <mergeCell ref="B31:C31"/>
    <mergeCell ref="B32:C32"/>
    <mergeCell ref="B33:C33"/>
    <mergeCell ref="S17:S18"/>
    <mergeCell ref="B26:C26"/>
    <mergeCell ref="B27:C27"/>
    <mergeCell ref="B28:C28"/>
    <mergeCell ref="B29:C29"/>
    <mergeCell ref="B30:C30"/>
    <mergeCell ref="S5:S6"/>
    <mergeCell ref="T5:T6"/>
    <mergeCell ref="I16:J16"/>
    <mergeCell ref="L17:L18"/>
    <mergeCell ref="M17:M18"/>
    <mergeCell ref="N17:N18"/>
    <mergeCell ref="O17:O18"/>
    <mergeCell ref="Q17:Q18"/>
    <mergeCell ref="R17:R18"/>
    <mergeCell ref="T17:T18"/>
    <mergeCell ref="L1:M2"/>
    <mergeCell ref="Q1:R2"/>
    <mergeCell ref="L3:M3"/>
    <mergeCell ref="Q3:R3"/>
    <mergeCell ref="I5:J5"/>
    <mergeCell ref="L5:L6"/>
    <mergeCell ref="M5:M6"/>
    <mergeCell ref="N5:N6"/>
    <mergeCell ref="O5:O6"/>
    <mergeCell ref="Q5:Q6"/>
    <mergeCell ref="R5:R6"/>
  </mergeCells>
  <phoneticPr fontId="4" type="noConversion"/>
  <pageMargins left="0.25" right="0.25" top="0.75" bottom="0.75" header="0.3" footer="0.3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0"/>
  <sheetViews>
    <sheetView zoomScale="85" zoomScaleNormal="85" workbookViewId="0">
      <pane ySplit="4" topLeftCell="A5" activePane="bottomLeft" state="frozen"/>
      <selection pane="bottomLeft" activeCell="L1" sqref="L1:L1048576"/>
    </sheetView>
  </sheetViews>
  <sheetFormatPr defaultColWidth="3.625" defaultRowHeight="13.5" x14ac:dyDescent="0.3"/>
  <cols>
    <col min="1" max="1" width="3.625" style="24"/>
    <col min="2" max="2" width="8" style="24" customWidth="1"/>
    <col min="3" max="3" width="5.875" style="24" bestFit="1" customWidth="1"/>
    <col min="4" max="5" width="6.625" style="24" bestFit="1" customWidth="1"/>
    <col min="6" max="6" width="8.25" style="24" bestFit="1" customWidth="1"/>
    <col min="7" max="8" width="17.375" style="24" bestFit="1" customWidth="1"/>
    <col min="9" max="9" width="13.125" style="24" hidden="1" customWidth="1"/>
    <col min="10" max="10" width="3.625" style="24"/>
    <col min="11" max="11" width="4.75" style="24" customWidth="1"/>
    <col min="12" max="12" width="7.875" style="24" bestFit="1" customWidth="1"/>
    <col min="13" max="13" width="6.625" style="24" bestFit="1" customWidth="1"/>
    <col min="14" max="14" width="7" style="24" bestFit="1" customWidth="1"/>
    <col min="15" max="15" width="6.625" style="24" bestFit="1" customWidth="1"/>
    <col min="16" max="16" width="13.625" style="24" customWidth="1"/>
    <col min="17" max="17" width="15.625" style="24" customWidth="1"/>
    <col min="18" max="18" width="3.625" style="24" customWidth="1"/>
    <col min="19" max="19" width="12.125" style="24" customWidth="1"/>
    <col min="20" max="20" width="14" style="24" customWidth="1"/>
    <col min="21" max="22" width="15.375" style="24" customWidth="1"/>
    <col min="23" max="24" width="13.5" style="24" customWidth="1"/>
    <col min="25" max="25" width="12.75" style="24" bestFit="1" customWidth="1"/>
    <col min="26" max="26" width="13" style="24" bestFit="1" customWidth="1"/>
    <col min="27" max="16384" width="3.625" style="24"/>
  </cols>
  <sheetData>
    <row r="2" spans="2:24" ht="16.5" customHeight="1" x14ac:dyDescent="0.3">
      <c r="B2" s="79" t="s">
        <v>19</v>
      </c>
      <c r="G2" s="88" t="s">
        <v>30</v>
      </c>
      <c r="H2" s="88" t="s">
        <v>64</v>
      </c>
      <c r="P2" s="77" t="s">
        <v>25</v>
      </c>
      <c r="Q2" s="77" t="s">
        <v>65</v>
      </c>
      <c r="S2" s="79" t="s">
        <v>26</v>
      </c>
      <c r="T2" s="80"/>
      <c r="U2" s="79" t="s">
        <v>66</v>
      </c>
      <c r="V2" s="80"/>
    </row>
    <row r="3" spans="2:24" ht="16.5" customHeight="1" x14ac:dyDescent="0.3">
      <c r="B3" s="81"/>
      <c r="G3" s="89"/>
      <c r="H3" s="89"/>
      <c r="P3" s="78"/>
      <c r="Q3" s="78"/>
      <c r="S3" s="81"/>
      <c r="T3" s="81"/>
      <c r="U3" s="81"/>
      <c r="V3" s="81"/>
    </row>
    <row r="4" spans="2:24" s="33" customFormat="1" ht="30" customHeight="1" x14ac:dyDescent="0.3">
      <c r="B4" s="32">
        <v>300</v>
      </c>
      <c r="G4" s="34">
        <f>G58*30</f>
        <v>545643.95849999995</v>
      </c>
      <c r="H4" s="35">
        <f>H58*30</f>
        <v>336648.79800000001</v>
      </c>
      <c r="P4" s="34">
        <f>SUM(G8:G57)+G58*(30-$C$57)</f>
        <v>492468.32731607999</v>
      </c>
      <c r="Q4" s="35">
        <f>SUM(H8:H57)+H58*(30-$C$57)</f>
        <v>313807.43991571199</v>
      </c>
      <c r="S4" s="86">
        <f>W15+W24*7</f>
        <v>374696</v>
      </c>
      <c r="T4" s="86"/>
      <c r="U4" s="87">
        <f>X15+X24*7</f>
        <v>623096</v>
      </c>
      <c r="V4" s="87"/>
    </row>
    <row r="5" spans="2:24" ht="16.5" customHeight="1" x14ac:dyDescent="0.3">
      <c r="B5" s="2" t="s">
        <v>10</v>
      </c>
      <c r="C5" s="2"/>
      <c r="D5" s="2"/>
      <c r="K5" s="2" t="s">
        <v>9</v>
      </c>
      <c r="S5" s="24" t="s">
        <v>15</v>
      </c>
    </row>
    <row r="6" spans="2:24" ht="13.5" customHeight="1" x14ac:dyDescent="0.3">
      <c r="B6" s="90" t="s">
        <v>13</v>
      </c>
      <c r="C6" s="90" t="s">
        <v>1</v>
      </c>
      <c r="D6" s="91" t="s">
        <v>20</v>
      </c>
      <c r="E6" s="91" t="s">
        <v>21</v>
      </c>
      <c r="F6" s="91" t="s">
        <v>22</v>
      </c>
      <c r="G6" s="91" t="s">
        <v>23</v>
      </c>
      <c r="H6" s="91" t="s">
        <v>24</v>
      </c>
      <c r="K6" s="82" t="s">
        <v>0</v>
      </c>
      <c r="L6" s="83" t="s">
        <v>2</v>
      </c>
      <c r="M6" s="80"/>
      <c r="N6" s="80"/>
      <c r="O6" s="80"/>
      <c r="P6" s="77" t="s">
        <v>17</v>
      </c>
      <c r="Q6" s="77" t="s">
        <v>18</v>
      </c>
      <c r="S6" s="80" t="s">
        <v>3</v>
      </c>
      <c r="T6" s="79" t="s">
        <v>6</v>
      </c>
      <c r="U6" s="79" t="s">
        <v>68</v>
      </c>
      <c r="V6" s="80" t="s">
        <v>4</v>
      </c>
      <c r="W6" s="80" t="s">
        <v>7</v>
      </c>
      <c r="X6" s="80" t="s">
        <v>67</v>
      </c>
    </row>
    <row r="7" spans="2:24" x14ac:dyDescent="0.3">
      <c r="B7" s="90"/>
      <c r="C7" s="90"/>
      <c r="D7" s="90"/>
      <c r="E7" s="90"/>
      <c r="F7" s="90"/>
      <c r="G7" s="90"/>
      <c r="H7" s="90"/>
      <c r="K7" s="78"/>
      <c r="L7" s="6">
        <v>1</v>
      </c>
      <c r="M7" s="6">
        <v>2</v>
      </c>
      <c r="N7" s="6">
        <v>3</v>
      </c>
      <c r="O7" s="6">
        <v>4</v>
      </c>
      <c r="P7" s="78"/>
      <c r="Q7" s="78"/>
      <c r="S7" s="81"/>
      <c r="T7" s="81"/>
      <c r="U7" s="81"/>
      <c r="V7" s="81"/>
      <c r="W7" s="81"/>
      <c r="X7" s="81"/>
    </row>
    <row r="8" spans="2:24" x14ac:dyDescent="0.3">
      <c r="B8" s="15">
        <v>1</v>
      </c>
      <c r="C8" s="38">
        <f>(INT(SUM($E$8:E8)/100)+1)</f>
        <v>1</v>
      </c>
      <c r="D8" s="7">
        <v>1</v>
      </c>
      <c r="E8" s="8">
        <f>ROUNDUP(I8,1)</f>
        <v>0.5</v>
      </c>
      <c r="F8" s="9">
        <v>1.8</v>
      </c>
      <c r="G8" s="8">
        <f t="shared" ref="G8:G39" si="0">VLOOKUP(D8,$K$8:$P$15,6,0)*E8*F8</f>
        <v>12.69</v>
      </c>
      <c r="H8" s="22">
        <f>VLOOKUP(D8,$K$8:$Q$15,7,0)*E8*F8</f>
        <v>21.366</v>
      </c>
      <c r="I8" s="24">
        <v>0.43801652892561982</v>
      </c>
      <c r="K8" s="3">
        <v>1</v>
      </c>
      <c r="L8" s="5">
        <v>88</v>
      </c>
      <c r="M8" s="5">
        <f>90-L8</f>
        <v>2</v>
      </c>
      <c r="N8" s="5"/>
      <c r="O8" s="5"/>
      <c r="P8" s="11">
        <f>(L8*N$20+M8*N$21+N8*N$22+O8*N$23)/100</f>
        <v>14.1</v>
      </c>
      <c r="Q8" s="18">
        <f t="shared" ref="Q8:Q15" si="1">($L8*$N$31+$M8*$N$32+$N8*$N$33+$O8*$N$34)/100</f>
        <v>23.74</v>
      </c>
      <c r="S8" s="3">
        <v>1</v>
      </c>
      <c r="T8" s="25">
        <f>$L$20</f>
        <v>290</v>
      </c>
      <c r="U8" s="25">
        <f>$L$31</f>
        <v>290</v>
      </c>
      <c r="V8" s="25">
        <v>64</v>
      </c>
      <c r="W8" s="25">
        <f t="shared" ref="W8:W14" si="2">T8*V8</f>
        <v>18560</v>
      </c>
      <c r="X8" s="25">
        <f t="shared" ref="X8:X14" si="3">U8*V8</f>
        <v>18560</v>
      </c>
    </row>
    <row r="9" spans="2:24" x14ac:dyDescent="0.3">
      <c r="B9" s="15">
        <v>2</v>
      </c>
      <c r="C9" s="38">
        <f>(INT(SUM($E$8:E9)/100)+1)</f>
        <v>1</v>
      </c>
      <c r="D9" s="7">
        <v>1</v>
      </c>
      <c r="E9" s="8">
        <f t="shared" ref="E9:E40" si="4">ROUNDUP(I9,0)</f>
        <v>1</v>
      </c>
      <c r="F9" s="9">
        <v>1.8</v>
      </c>
      <c r="G9" s="8">
        <f t="shared" si="0"/>
        <v>25.38</v>
      </c>
      <c r="H9" s="22">
        <f t="shared" ref="H9:H34" si="5">VLOOKUP(D9,$K$8:$Q$15,7,0)*E9*F9</f>
        <v>42.731999999999999</v>
      </c>
      <c r="I9" s="24">
        <v>0.53719008264462809</v>
      </c>
      <c r="K9" s="3">
        <v>2</v>
      </c>
      <c r="L9" s="5">
        <f>L8-L8*0.12</f>
        <v>77.44</v>
      </c>
      <c r="M9" s="5">
        <f>90-L9</f>
        <v>12.560000000000002</v>
      </c>
      <c r="N9" s="5"/>
      <c r="O9" s="5"/>
      <c r="P9" s="11">
        <f t="shared" ref="P9:P15" si="6">(L9*N$20+M9*N$21+N9*N$22+O9*N$23)/100</f>
        <v>17.268000000000001</v>
      </c>
      <c r="Q9" s="18">
        <f t="shared" si="1"/>
        <v>25.535200000000003</v>
      </c>
      <c r="S9" s="3">
        <v>2</v>
      </c>
      <c r="T9" s="25">
        <f>$L$21</f>
        <v>410</v>
      </c>
      <c r="U9" s="25">
        <f>$L$32</f>
        <v>430</v>
      </c>
      <c r="V9" s="25">
        <v>32</v>
      </c>
      <c r="W9" s="25">
        <f t="shared" si="2"/>
        <v>13120</v>
      </c>
      <c r="X9" s="25">
        <f t="shared" si="3"/>
        <v>13760</v>
      </c>
    </row>
    <row r="10" spans="2:24" x14ac:dyDescent="0.3">
      <c r="B10" s="15">
        <v>3</v>
      </c>
      <c r="C10" s="38">
        <f>(INT(SUM($E$8:E10)/100)+1)</f>
        <v>1</v>
      </c>
      <c r="D10" s="7">
        <v>1</v>
      </c>
      <c r="E10" s="8">
        <f t="shared" si="4"/>
        <v>1</v>
      </c>
      <c r="F10" s="9">
        <v>1.8</v>
      </c>
      <c r="G10" s="8">
        <f t="shared" si="0"/>
        <v>25.38</v>
      </c>
      <c r="H10" s="22">
        <f t="shared" si="5"/>
        <v>42.731999999999999</v>
      </c>
      <c r="I10" s="24">
        <v>0.71900826446280997</v>
      </c>
      <c r="K10" s="3">
        <v>3</v>
      </c>
      <c r="L10" s="5">
        <f t="shared" ref="L10:L11" si="7">L9-L9*0.12</f>
        <v>68.147199999999998</v>
      </c>
      <c r="M10" s="5">
        <f>90-L10</f>
        <v>21.852800000000002</v>
      </c>
      <c r="N10" s="5"/>
      <c r="O10" s="5"/>
      <c r="P10" s="11">
        <f t="shared" si="6"/>
        <v>20.05584</v>
      </c>
      <c r="Q10" s="18">
        <f t="shared" si="1"/>
        <v>27.114976000000002</v>
      </c>
      <c r="S10" s="3">
        <v>3</v>
      </c>
      <c r="T10" s="25">
        <f>$L$22</f>
        <v>670</v>
      </c>
      <c r="U10" s="25">
        <f>$L$33</f>
        <v>790</v>
      </c>
      <c r="V10" s="25">
        <v>16</v>
      </c>
      <c r="W10" s="25">
        <f t="shared" si="2"/>
        <v>10720</v>
      </c>
      <c r="X10" s="25">
        <f t="shared" si="3"/>
        <v>12640</v>
      </c>
    </row>
    <row r="11" spans="2:24" x14ac:dyDescent="0.3">
      <c r="B11" s="15">
        <v>4</v>
      </c>
      <c r="C11" s="38">
        <f>(INT(SUM($E$8:E11)/100)+1)</f>
        <v>1</v>
      </c>
      <c r="D11" s="7">
        <v>1</v>
      </c>
      <c r="E11" s="8">
        <f t="shared" si="4"/>
        <v>1</v>
      </c>
      <c r="F11" s="9">
        <v>1.8</v>
      </c>
      <c r="G11" s="8">
        <f t="shared" si="0"/>
        <v>25.38</v>
      </c>
      <c r="H11" s="22">
        <f t="shared" si="5"/>
        <v>42.731999999999999</v>
      </c>
      <c r="I11" s="24">
        <v>0.99173553719008267</v>
      </c>
      <c r="K11" s="3">
        <v>4</v>
      </c>
      <c r="L11" s="5">
        <f t="shared" si="7"/>
        <v>59.969535999999998</v>
      </c>
      <c r="M11" s="5">
        <f>90-L11-N11</f>
        <v>28.030464000000002</v>
      </c>
      <c r="N11" s="5">
        <v>2</v>
      </c>
      <c r="O11" s="5"/>
      <c r="P11" s="11">
        <f t="shared" si="6"/>
        <v>24.769139199999998</v>
      </c>
      <c r="Q11" s="18">
        <f t="shared" si="1"/>
        <v>29.385178880000002</v>
      </c>
      <c r="S11" s="3">
        <v>4</v>
      </c>
      <c r="T11" s="25">
        <f>$L$23</f>
        <v>1230</v>
      </c>
      <c r="U11" s="25">
        <f>$L$34</f>
        <v>1690</v>
      </c>
      <c r="V11" s="25">
        <v>8</v>
      </c>
      <c r="W11" s="25">
        <f t="shared" si="2"/>
        <v>9840</v>
      </c>
      <c r="X11" s="25">
        <f t="shared" si="3"/>
        <v>13520</v>
      </c>
    </row>
    <row r="12" spans="2:24" x14ac:dyDescent="0.3">
      <c r="B12" s="15">
        <v>5</v>
      </c>
      <c r="C12" s="38">
        <f>(INT(SUM($E$8:E12)/100)+1)</f>
        <v>1</v>
      </c>
      <c r="D12" s="7">
        <v>1</v>
      </c>
      <c r="E12" s="8">
        <f t="shared" si="4"/>
        <v>2</v>
      </c>
      <c r="F12" s="9">
        <v>1.8</v>
      </c>
      <c r="G12" s="8">
        <f t="shared" si="0"/>
        <v>50.76</v>
      </c>
      <c r="H12" s="22">
        <f t="shared" si="5"/>
        <v>85.463999999999999</v>
      </c>
      <c r="I12" s="24">
        <v>1.3553719008264462</v>
      </c>
      <c r="K12" s="3">
        <v>5</v>
      </c>
      <c r="L12" s="5"/>
      <c r="M12" s="5">
        <f>90-O12-N12</f>
        <v>82</v>
      </c>
      <c r="N12" s="5">
        <v>7</v>
      </c>
      <c r="O12" s="5">
        <v>1</v>
      </c>
      <c r="P12" s="11">
        <f t="shared" si="6"/>
        <v>52.69</v>
      </c>
      <c r="Q12" s="18">
        <f t="shared" si="1"/>
        <v>43.46</v>
      </c>
      <c r="S12" s="3">
        <v>5</v>
      </c>
      <c r="T12" s="25">
        <f>$L$24</f>
        <v>2489</v>
      </c>
      <c r="U12" s="25">
        <f>$L$35</f>
        <v>3949</v>
      </c>
      <c r="V12" s="25">
        <v>4</v>
      </c>
      <c r="W12" s="25">
        <f t="shared" si="2"/>
        <v>9956</v>
      </c>
      <c r="X12" s="25">
        <f t="shared" si="3"/>
        <v>15796</v>
      </c>
    </row>
    <row r="13" spans="2:24" x14ac:dyDescent="0.3">
      <c r="B13" s="15">
        <v>6</v>
      </c>
      <c r="C13" s="38">
        <f>(INT(SUM($E$8:E13)/100)+1)</f>
        <v>1</v>
      </c>
      <c r="D13" s="7">
        <v>1</v>
      </c>
      <c r="E13" s="8">
        <f t="shared" si="4"/>
        <v>2</v>
      </c>
      <c r="F13" s="9">
        <v>1.8</v>
      </c>
      <c r="G13" s="8">
        <f t="shared" si="0"/>
        <v>50.76</v>
      </c>
      <c r="H13" s="22">
        <f t="shared" si="5"/>
        <v>85.463999999999999</v>
      </c>
      <c r="I13" s="24">
        <v>1.8223140495867769</v>
      </c>
      <c r="K13" s="3">
        <v>6</v>
      </c>
      <c r="L13" s="5"/>
      <c r="M13" s="5">
        <f>M12-M12*0.15</f>
        <v>69.7</v>
      </c>
      <c r="N13" s="5">
        <f>90-M13-O13</f>
        <v>18.299999999999997</v>
      </c>
      <c r="O13" s="5">
        <v>2</v>
      </c>
      <c r="P13" s="11">
        <f t="shared" si="6"/>
        <v>69.73899999999999</v>
      </c>
      <c r="Q13" s="18">
        <f t="shared" si="1"/>
        <v>50.111999999999995</v>
      </c>
      <c r="S13" s="3">
        <v>6</v>
      </c>
      <c r="T13" s="25">
        <f>$L$25</f>
        <v>5228</v>
      </c>
      <c r="U13" s="25">
        <f>$L$36</f>
        <v>9606</v>
      </c>
      <c r="V13" s="25">
        <v>2</v>
      </c>
      <c r="W13" s="25">
        <f t="shared" si="2"/>
        <v>10456</v>
      </c>
      <c r="X13" s="25">
        <f t="shared" si="3"/>
        <v>19212</v>
      </c>
    </row>
    <row r="14" spans="2:24" x14ac:dyDescent="0.3">
      <c r="B14" s="15">
        <v>7</v>
      </c>
      <c r="C14" s="38">
        <f>(INT(SUM($E$8:E14)/100)+1)</f>
        <v>1</v>
      </c>
      <c r="D14" s="7">
        <v>1</v>
      </c>
      <c r="E14" s="8">
        <f t="shared" si="4"/>
        <v>3</v>
      </c>
      <c r="F14" s="9">
        <v>1.8</v>
      </c>
      <c r="G14" s="8">
        <f t="shared" si="0"/>
        <v>76.14</v>
      </c>
      <c r="H14" s="22">
        <f t="shared" si="5"/>
        <v>128.196</v>
      </c>
      <c r="I14" s="24">
        <v>2.3966942148760331</v>
      </c>
      <c r="K14" s="3">
        <v>7</v>
      </c>
      <c r="L14" s="5"/>
      <c r="M14" s="5">
        <f>M13-M13*0.15</f>
        <v>59.245000000000005</v>
      </c>
      <c r="N14" s="5">
        <f>90-M14-O14</f>
        <v>27.754999999999995</v>
      </c>
      <c r="O14" s="5">
        <v>3</v>
      </c>
      <c r="P14" s="11">
        <f t="shared" si="6"/>
        <v>84.703149999999994</v>
      </c>
      <c r="Q14" s="18">
        <f t="shared" si="1"/>
        <v>55.952199999999991</v>
      </c>
      <c r="S14" s="3">
        <v>7</v>
      </c>
      <c r="T14" s="25">
        <f>$L$26</f>
        <v>11285</v>
      </c>
      <c r="U14" s="25">
        <f>$L$37</f>
        <v>23739</v>
      </c>
      <c r="V14" s="25">
        <v>1</v>
      </c>
      <c r="W14" s="25">
        <f t="shared" si="2"/>
        <v>11285</v>
      </c>
      <c r="X14" s="25">
        <f t="shared" si="3"/>
        <v>23739</v>
      </c>
    </row>
    <row r="15" spans="2:24" ht="13.5" customHeight="1" x14ac:dyDescent="0.3">
      <c r="B15" s="15">
        <v>8</v>
      </c>
      <c r="C15" s="38">
        <f>(INT(SUM($E$8:E15)/100)+1)</f>
        <v>1</v>
      </c>
      <c r="D15" s="12">
        <v>2</v>
      </c>
      <c r="E15" s="13">
        <f t="shared" si="4"/>
        <v>3</v>
      </c>
      <c r="F15" s="14">
        <v>1.8</v>
      </c>
      <c r="G15" s="10">
        <f t="shared" si="0"/>
        <v>93.247200000000007</v>
      </c>
      <c r="H15" s="17">
        <f t="shared" si="5"/>
        <v>137.89008000000001</v>
      </c>
      <c r="I15" s="24">
        <v>2.3587301587301588</v>
      </c>
      <c r="K15" s="3">
        <v>8</v>
      </c>
      <c r="L15" s="5"/>
      <c r="M15" s="5">
        <f>M14-M14*0.15</f>
        <v>50.358250000000005</v>
      </c>
      <c r="N15" s="5">
        <f>90-M15-O15</f>
        <v>34.641749999999995</v>
      </c>
      <c r="O15" s="5">
        <v>5</v>
      </c>
      <c r="P15" s="11">
        <f t="shared" si="6"/>
        <v>101.04517749999999</v>
      </c>
      <c r="Q15" s="18">
        <f t="shared" si="1"/>
        <v>62.342369999999988</v>
      </c>
      <c r="S15" s="26"/>
      <c r="T15" s="27"/>
      <c r="U15" s="27"/>
      <c r="V15" s="27"/>
      <c r="W15" s="28">
        <f>SUM(W8:W14)</f>
        <v>83937</v>
      </c>
      <c r="X15" s="36">
        <f>SUM(X8:X14)</f>
        <v>117227</v>
      </c>
    </row>
    <row r="16" spans="2:24" x14ac:dyDescent="0.3">
      <c r="B16" s="15">
        <v>9</v>
      </c>
      <c r="C16" s="38">
        <f>(INT(SUM($E$8:E16)/100)+1)</f>
        <v>1</v>
      </c>
      <c r="D16" s="12">
        <v>2</v>
      </c>
      <c r="E16" s="13">
        <f t="shared" si="4"/>
        <v>3</v>
      </c>
      <c r="F16" s="14">
        <v>1.8</v>
      </c>
      <c r="G16" s="10">
        <f t="shared" si="0"/>
        <v>93.247200000000007</v>
      </c>
      <c r="H16" s="17">
        <f t="shared" si="5"/>
        <v>137.89008000000001</v>
      </c>
      <c r="I16" s="24">
        <v>2.9650793650793652</v>
      </c>
    </row>
    <row r="17" spans="2:24" x14ac:dyDescent="0.3">
      <c r="B17" s="15">
        <v>10</v>
      </c>
      <c r="C17" s="38">
        <f>(INT(SUM($E$8:E17)/100)+1)</f>
        <v>1</v>
      </c>
      <c r="D17" s="12">
        <v>2</v>
      </c>
      <c r="E17" s="13">
        <f t="shared" si="4"/>
        <v>4</v>
      </c>
      <c r="F17" s="14">
        <v>1.8</v>
      </c>
      <c r="G17" s="10">
        <f t="shared" si="0"/>
        <v>124.32960000000001</v>
      </c>
      <c r="H17" s="17">
        <f t="shared" si="5"/>
        <v>183.85344000000003</v>
      </c>
      <c r="I17" s="24">
        <v>3.657142857142857</v>
      </c>
      <c r="K17" s="2" t="s">
        <v>16</v>
      </c>
      <c r="S17" s="24" t="s">
        <v>47</v>
      </c>
    </row>
    <row r="18" spans="2:24" ht="13.5" customHeight="1" x14ac:dyDescent="0.3">
      <c r="B18" s="15">
        <v>11</v>
      </c>
      <c r="C18" s="38">
        <f>(INT(SUM($E$8:E18)/100)+1)</f>
        <v>1</v>
      </c>
      <c r="D18" s="12">
        <v>2</v>
      </c>
      <c r="E18" s="13">
        <f t="shared" si="4"/>
        <v>5</v>
      </c>
      <c r="F18" s="14">
        <v>1.8</v>
      </c>
      <c r="G18" s="10">
        <f t="shared" si="0"/>
        <v>155.41200000000001</v>
      </c>
      <c r="H18" s="17">
        <f t="shared" si="5"/>
        <v>229.81680000000003</v>
      </c>
      <c r="I18" s="24">
        <v>4.4349206349206352</v>
      </c>
      <c r="K18" s="91" t="s">
        <v>31</v>
      </c>
      <c r="L18" s="91" t="s">
        <v>27</v>
      </c>
      <c r="M18" s="90" t="s">
        <v>8</v>
      </c>
      <c r="N18" s="90" t="s">
        <v>5</v>
      </c>
      <c r="O18" s="91" t="s">
        <v>28</v>
      </c>
      <c r="S18" s="80" t="s">
        <v>3</v>
      </c>
      <c r="T18" s="79" t="s">
        <v>6</v>
      </c>
      <c r="U18" s="79" t="s">
        <v>6</v>
      </c>
      <c r="V18" s="80" t="s">
        <v>4</v>
      </c>
      <c r="W18" s="80" t="s">
        <v>7</v>
      </c>
      <c r="X18" s="80" t="s">
        <v>67</v>
      </c>
    </row>
    <row r="19" spans="2:24" ht="13.5" customHeight="1" x14ac:dyDescent="0.3">
      <c r="B19" s="15">
        <v>12</v>
      </c>
      <c r="C19" s="38">
        <f>(INT(SUM($E$8:E19)/100)+1)</f>
        <v>1</v>
      </c>
      <c r="D19" s="12">
        <v>2</v>
      </c>
      <c r="E19" s="13">
        <f t="shared" si="4"/>
        <v>6</v>
      </c>
      <c r="F19" s="14">
        <v>1.8</v>
      </c>
      <c r="G19" s="10">
        <f t="shared" si="0"/>
        <v>186.49440000000001</v>
      </c>
      <c r="H19" s="17">
        <f t="shared" si="5"/>
        <v>275.78016000000002</v>
      </c>
      <c r="I19" s="24">
        <v>5.3047619047619046</v>
      </c>
      <c r="K19" s="90"/>
      <c r="L19" s="90"/>
      <c r="M19" s="90"/>
      <c r="N19" s="90"/>
      <c r="O19" s="90"/>
      <c r="S19" s="81"/>
      <c r="T19" s="81"/>
      <c r="U19" s="81"/>
      <c r="V19" s="81"/>
      <c r="W19" s="81"/>
      <c r="X19" s="81"/>
    </row>
    <row r="20" spans="2:24" x14ac:dyDescent="0.3">
      <c r="B20" s="15">
        <v>13</v>
      </c>
      <c r="C20" s="38">
        <f>(INT(SUM($E$8:E20)/100)+1)</f>
        <v>1</v>
      </c>
      <c r="D20" s="12">
        <v>2</v>
      </c>
      <c r="E20" s="13">
        <f t="shared" si="4"/>
        <v>7</v>
      </c>
      <c r="F20" s="14">
        <v>1.8</v>
      </c>
      <c r="G20" s="10">
        <f t="shared" si="0"/>
        <v>217.57680000000002</v>
      </c>
      <c r="H20" s="17">
        <f t="shared" si="5"/>
        <v>321.74352000000005</v>
      </c>
      <c r="I20" s="24">
        <v>6.2634920634920634</v>
      </c>
      <c r="K20" s="3">
        <v>1</v>
      </c>
      <c r="L20" s="28">
        <v>290</v>
      </c>
      <c r="M20" s="25"/>
      <c r="N20" s="51">
        <v>15</v>
      </c>
      <c r="O20" s="52">
        <f>L20/N20</f>
        <v>19.333333333333332</v>
      </c>
      <c r="S20" s="3">
        <v>4</v>
      </c>
      <c r="T20" s="25">
        <f>$L$23</f>
        <v>1230</v>
      </c>
      <c r="U20" s="25">
        <f>$L$34</f>
        <v>1690</v>
      </c>
      <c r="V20" s="25">
        <v>8</v>
      </c>
      <c r="W20" s="25">
        <f>T20*V20</f>
        <v>9840</v>
      </c>
      <c r="X20" s="25">
        <f>U20*V20</f>
        <v>13520</v>
      </c>
    </row>
    <row r="21" spans="2:24" x14ac:dyDescent="0.3">
      <c r="B21" s="15">
        <v>14</v>
      </c>
      <c r="C21" s="38">
        <f>(INT(SUM($E$8:E21)/100)+1)</f>
        <v>1</v>
      </c>
      <c r="D21" s="12">
        <v>2</v>
      </c>
      <c r="E21" s="13">
        <f t="shared" si="4"/>
        <v>8</v>
      </c>
      <c r="F21" s="14">
        <v>1.8</v>
      </c>
      <c r="G21" s="10">
        <f t="shared" si="0"/>
        <v>248.65920000000003</v>
      </c>
      <c r="H21" s="17">
        <f t="shared" si="5"/>
        <v>367.70688000000007</v>
      </c>
      <c r="I21" s="24">
        <v>7.3174603174603172</v>
      </c>
      <c r="K21" s="3">
        <v>2</v>
      </c>
      <c r="L21" s="28">
        <v>410</v>
      </c>
      <c r="M21" s="30">
        <f>L21/L20</f>
        <v>1.4137931034482758</v>
      </c>
      <c r="N21" s="51">
        <v>45</v>
      </c>
      <c r="O21" s="52">
        <f t="shared" ref="O21:O26" si="8">L21/N21</f>
        <v>9.1111111111111107</v>
      </c>
      <c r="S21" s="3">
        <v>5</v>
      </c>
      <c r="T21" s="25">
        <f>$L$24</f>
        <v>2489</v>
      </c>
      <c r="U21" s="25">
        <f>$L$35</f>
        <v>3949</v>
      </c>
      <c r="V21" s="25">
        <v>4</v>
      </c>
      <c r="W21" s="25">
        <f>T21*V21</f>
        <v>9956</v>
      </c>
      <c r="X21" s="25">
        <f>U21*V21</f>
        <v>15796</v>
      </c>
    </row>
    <row r="22" spans="2:24" x14ac:dyDescent="0.3">
      <c r="B22" s="15">
        <v>15</v>
      </c>
      <c r="C22" s="38">
        <f>(INT(SUM($E$8:E22)/100)+1)</f>
        <v>1</v>
      </c>
      <c r="D22" s="12">
        <v>2</v>
      </c>
      <c r="E22" s="13">
        <f t="shared" si="4"/>
        <v>9</v>
      </c>
      <c r="F22" s="14">
        <v>1.8</v>
      </c>
      <c r="G22" s="10">
        <f t="shared" si="0"/>
        <v>279.74160000000001</v>
      </c>
      <c r="H22" s="17">
        <f t="shared" si="5"/>
        <v>413.67024000000004</v>
      </c>
      <c r="I22" s="24">
        <v>8.4666666666666668</v>
      </c>
      <c r="K22" s="3">
        <v>3</v>
      </c>
      <c r="L22" s="28">
        <v>670</v>
      </c>
      <c r="M22" s="30">
        <f t="shared" ref="M22:M26" si="9">L22/L21</f>
        <v>1.6341463414634145</v>
      </c>
      <c r="N22" s="51">
        <v>158</v>
      </c>
      <c r="O22" s="52">
        <f t="shared" si="8"/>
        <v>4.2405063291139244</v>
      </c>
      <c r="S22" s="3">
        <v>6</v>
      </c>
      <c r="T22" s="25">
        <f>$L$25</f>
        <v>5228</v>
      </c>
      <c r="U22" s="25">
        <f>$L$36</f>
        <v>9606</v>
      </c>
      <c r="V22" s="25">
        <v>2</v>
      </c>
      <c r="W22" s="25">
        <f>T22*V22</f>
        <v>10456</v>
      </c>
      <c r="X22" s="25">
        <f>U22*V22</f>
        <v>19212</v>
      </c>
    </row>
    <row r="23" spans="2:24" ht="13.5" customHeight="1" x14ac:dyDescent="0.3">
      <c r="B23" s="15">
        <v>16</v>
      </c>
      <c r="C23" s="38">
        <f>(INT(SUM($E$8:E23)/100)+1)</f>
        <v>1</v>
      </c>
      <c r="D23" s="12">
        <v>2</v>
      </c>
      <c r="E23" s="13">
        <f t="shared" si="4"/>
        <v>10</v>
      </c>
      <c r="F23" s="14">
        <v>1.8</v>
      </c>
      <c r="G23" s="10">
        <f t="shared" si="0"/>
        <v>310.82400000000001</v>
      </c>
      <c r="H23" s="17">
        <f t="shared" si="5"/>
        <v>459.63360000000006</v>
      </c>
      <c r="I23" s="24">
        <v>9.7079365079365072</v>
      </c>
      <c r="K23" s="3">
        <v>4</v>
      </c>
      <c r="L23" s="28">
        <v>1230</v>
      </c>
      <c r="M23" s="30">
        <f t="shared" si="9"/>
        <v>1.835820895522388</v>
      </c>
      <c r="N23" s="51">
        <v>473</v>
      </c>
      <c r="O23" s="52">
        <f t="shared" si="8"/>
        <v>2.6004228329809727</v>
      </c>
      <c r="S23" s="3">
        <v>7</v>
      </c>
      <c r="T23" s="25">
        <f>$L$26</f>
        <v>11285</v>
      </c>
      <c r="U23" s="25">
        <f>$L$37</f>
        <v>23739</v>
      </c>
      <c r="V23" s="25">
        <v>1</v>
      </c>
      <c r="W23" s="25">
        <f>T23*V23</f>
        <v>11285</v>
      </c>
      <c r="X23" s="25">
        <f>U23*V23</f>
        <v>23739</v>
      </c>
    </row>
    <row r="24" spans="2:24" x14ac:dyDescent="0.3">
      <c r="B24" s="15">
        <v>17</v>
      </c>
      <c r="C24" s="38">
        <f>(INT(SUM($E$8:E24)/100)+1)</f>
        <v>1</v>
      </c>
      <c r="D24" s="12">
        <v>2</v>
      </c>
      <c r="E24" s="13">
        <f t="shared" si="4"/>
        <v>12</v>
      </c>
      <c r="F24" s="14">
        <v>1.8</v>
      </c>
      <c r="G24" s="10">
        <f t="shared" si="0"/>
        <v>372.98880000000003</v>
      </c>
      <c r="H24" s="17">
        <f t="shared" si="5"/>
        <v>551.56032000000005</v>
      </c>
      <c r="I24" s="24">
        <v>11.047619047619047</v>
      </c>
      <c r="K24" s="3">
        <v>5</v>
      </c>
      <c r="L24" s="28">
        <v>2489</v>
      </c>
      <c r="M24" s="30">
        <f t="shared" si="9"/>
        <v>2.0235772357723576</v>
      </c>
      <c r="N24" s="51">
        <v>1418</v>
      </c>
      <c r="O24" s="52">
        <f t="shared" si="8"/>
        <v>1.7552891396332864</v>
      </c>
      <c r="S24" s="26"/>
      <c r="T24" s="27"/>
      <c r="W24" s="28">
        <f>SUM(W20:W23)</f>
        <v>41537</v>
      </c>
      <c r="X24" s="36">
        <f>SUM(X20:X23)</f>
        <v>72267</v>
      </c>
    </row>
    <row r="25" spans="2:24" x14ac:dyDescent="0.3">
      <c r="B25" s="15">
        <v>18</v>
      </c>
      <c r="C25" s="38">
        <f>(INT(SUM($E$8:E25)/100)+1)</f>
        <v>1</v>
      </c>
      <c r="D25" s="7">
        <v>3</v>
      </c>
      <c r="E25" s="8">
        <f t="shared" si="4"/>
        <v>11</v>
      </c>
      <c r="F25" s="9">
        <v>1.8</v>
      </c>
      <c r="G25" s="8">
        <f t="shared" si="0"/>
        <v>397.10563200000001</v>
      </c>
      <c r="H25" s="22">
        <f t="shared" si="5"/>
        <v>536.87652480000008</v>
      </c>
      <c r="I25" s="24">
        <v>10.745901639344263</v>
      </c>
      <c r="K25" s="3">
        <v>6</v>
      </c>
      <c r="L25" s="28">
        <v>5228</v>
      </c>
      <c r="M25" s="30">
        <f t="shared" si="9"/>
        <v>2.1004419445560467</v>
      </c>
      <c r="N25" s="51">
        <v>2552</v>
      </c>
      <c r="O25" s="52">
        <f t="shared" si="8"/>
        <v>2.0485893416927898</v>
      </c>
    </row>
    <row r="26" spans="2:24" x14ac:dyDescent="0.3">
      <c r="B26" s="16">
        <v>19</v>
      </c>
      <c r="C26" s="39">
        <f>(INT(SUM($E$8:E26)/100)+1)</f>
        <v>2</v>
      </c>
      <c r="D26" s="7">
        <v>3</v>
      </c>
      <c r="E26" s="8">
        <f t="shared" si="4"/>
        <v>13</v>
      </c>
      <c r="F26" s="9">
        <v>1.8</v>
      </c>
      <c r="G26" s="8">
        <f t="shared" si="0"/>
        <v>469.30665599999998</v>
      </c>
      <c r="H26" s="22">
        <f t="shared" si="5"/>
        <v>634.49043840000013</v>
      </c>
      <c r="I26" s="24">
        <v>12.071038251366121</v>
      </c>
      <c r="K26" s="3">
        <v>7</v>
      </c>
      <c r="L26" s="28">
        <v>11285</v>
      </c>
      <c r="M26" s="30">
        <f t="shared" si="9"/>
        <v>2.1585692425401684</v>
      </c>
      <c r="N26" s="51">
        <v>4338</v>
      </c>
      <c r="O26" s="52">
        <f t="shared" si="8"/>
        <v>2.6014292300599355</v>
      </c>
      <c r="S26" s="24" t="s">
        <v>63</v>
      </c>
    </row>
    <row r="27" spans="2:24" ht="13.5" customHeight="1" x14ac:dyDescent="0.3">
      <c r="B27" s="16">
        <v>20</v>
      </c>
      <c r="C27" s="39">
        <f>(INT(SUM($E$8:E27)/100)+1)</f>
        <v>2</v>
      </c>
      <c r="D27" s="12">
        <v>4</v>
      </c>
      <c r="E27" s="13">
        <f t="shared" si="4"/>
        <v>12</v>
      </c>
      <c r="F27" s="14">
        <v>1.8</v>
      </c>
      <c r="G27" s="10">
        <f t="shared" si="0"/>
        <v>535.01340671999992</v>
      </c>
      <c r="H27" s="17">
        <f t="shared" si="5"/>
        <v>634.71986380800013</v>
      </c>
      <c r="I27" s="24">
        <v>11.607058823529412</v>
      </c>
      <c r="S27" s="6" t="s">
        <v>37</v>
      </c>
      <c r="T27" s="6" t="s">
        <v>35</v>
      </c>
      <c r="U27" s="6" t="s">
        <v>36</v>
      </c>
      <c r="V27" s="6" t="s">
        <v>45</v>
      </c>
    </row>
    <row r="28" spans="2:24" x14ac:dyDescent="0.3">
      <c r="B28" s="16">
        <v>21</v>
      </c>
      <c r="C28" s="39">
        <f>(INT(SUM($E$8:E28)/100)+1)</f>
        <v>2</v>
      </c>
      <c r="D28" s="12">
        <v>4</v>
      </c>
      <c r="E28" s="13">
        <f t="shared" si="4"/>
        <v>13</v>
      </c>
      <c r="F28" s="14">
        <v>1.8</v>
      </c>
      <c r="G28" s="10">
        <f t="shared" si="0"/>
        <v>579.59785727999997</v>
      </c>
      <c r="H28" s="17">
        <f t="shared" si="5"/>
        <v>687.61318579200008</v>
      </c>
      <c r="I28" s="24">
        <v>12.896470588235294</v>
      </c>
      <c r="K28" s="2" t="s">
        <v>29</v>
      </c>
      <c r="S28" s="3" t="s">
        <v>34</v>
      </c>
      <c r="T28" s="3" t="s">
        <v>69</v>
      </c>
      <c r="U28" s="3">
        <v>20</v>
      </c>
      <c r="V28" s="45">
        <f>$X$15</f>
        <v>117227</v>
      </c>
    </row>
    <row r="29" spans="2:24" ht="13.5" customHeight="1" x14ac:dyDescent="0.3">
      <c r="B29" s="16">
        <v>22</v>
      </c>
      <c r="C29" s="39">
        <f>(INT(SUM($E$8:E29)/100)+1)</f>
        <v>2</v>
      </c>
      <c r="D29" s="12">
        <v>4</v>
      </c>
      <c r="E29" s="13">
        <f t="shared" si="4"/>
        <v>15</v>
      </c>
      <c r="F29" s="14">
        <v>1.8</v>
      </c>
      <c r="G29" s="10">
        <f t="shared" si="0"/>
        <v>668.76675839999996</v>
      </c>
      <c r="H29" s="17">
        <f t="shared" si="5"/>
        <v>793.39982975999999</v>
      </c>
      <c r="I29" s="24">
        <v>14.261176470588236</v>
      </c>
      <c r="K29" s="91" t="s">
        <v>31</v>
      </c>
      <c r="L29" s="91" t="s">
        <v>27</v>
      </c>
      <c r="M29" s="90" t="s">
        <v>8</v>
      </c>
      <c r="N29" s="90" t="s">
        <v>5</v>
      </c>
      <c r="O29" s="91" t="s">
        <v>28</v>
      </c>
      <c r="S29" s="46" t="s">
        <v>38</v>
      </c>
      <c r="T29" s="46" t="s">
        <v>71</v>
      </c>
      <c r="U29" s="46">
        <v>20</v>
      </c>
      <c r="V29" s="47">
        <f t="shared" ref="V29" si="10">$U$10*$V$11+$U$11*$V$12+$U$12*$V$13+$U$13</f>
        <v>30584</v>
      </c>
    </row>
    <row r="30" spans="2:24" ht="13.5" customHeight="1" x14ac:dyDescent="0.3">
      <c r="B30" s="16">
        <v>23</v>
      </c>
      <c r="C30" s="39">
        <f>(INT(SUM($E$8:E30)/100)+1)</f>
        <v>2</v>
      </c>
      <c r="D30" s="12">
        <v>4</v>
      </c>
      <c r="E30" s="13">
        <f t="shared" si="4"/>
        <v>16</v>
      </c>
      <c r="F30" s="14">
        <v>1.8</v>
      </c>
      <c r="G30" s="10">
        <f t="shared" si="0"/>
        <v>713.35120896000001</v>
      </c>
      <c r="H30" s="17">
        <f t="shared" si="5"/>
        <v>846.29315174400006</v>
      </c>
      <c r="I30" s="24">
        <v>15.703529411764706</v>
      </c>
      <c r="K30" s="90"/>
      <c r="L30" s="90"/>
      <c r="M30" s="90"/>
      <c r="N30" s="90"/>
      <c r="O30" s="90"/>
      <c r="S30" s="46" t="s">
        <v>39</v>
      </c>
      <c r="T30" s="46" t="s">
        <v>71</v>
      </c>
      <c r="U30" s="46">
        <v>20</v>
      </c>
      <c r="V30" s="47">
        <f>$U$10*$V$11+$U$11*$V$12+$U$12*$V$13+$U$13</f>
        <v>30584</v>
      </c>
    </row>
    <row r="31" spans="2:24" x14ac:dyDescent="0.3">
      <c r="B31" s="16">
        <v>24</v>
      </c>
      <c r="C31" s="39">
        <f>(INT(SUM($E$8:E31)/100)+1)</f>
        <v>2</v>
      </c>
      <c r="D31" s="12">
        <v>4</v>
      </c>
      <c r="E31" s="13">
        <f t="shared" si="4"/>
        <v>18</v>
      </c>
      <c r="F31" s="14">
        <v>1.8</v>
      </c>
      <c r="G31" s="10">
        <f t="shared" si="0"/>
        <v>802.52011007999988</v>
      </c>
      <c r="H31" s="17">
        <f t="shared" si="5"/>
        <v>952.07979571199996</v>
      </c>
      <c r="I31" s="24">
        <v>17.221176470588237</v>
      </c>
      <c r="K31" s="3">
        <v>1</v>
      </c>
      <c r="L31" s="36">
        <f>'강화 &amp; 정수량 표'!C25</f>
        <v>290</v>
      </c>
      <c r="M31" s="25"/>
      <c r="N31" s="51">
        <f>INT(L31/O31)</f>
        <v>26</v>
      </c>
      <c r="O31" s="50">
        <v>11</v>
      </c>
      <c r="P31" s="31"/>
      <c r="Q31" s="31"/>
      <c r="S31" s="46" t="s">
        <v>40</v>
      </c>
      <c r="T31" s="46" t="s">
        <v>71</v>
      </c>
      <c r="U31" s="46">
        <v>20</v>
      </c>
      <c r="V31" s="47">
        <f t="shared" ref="V31:V33" si="11">$U$10*$V$11+$U$11*$V$12+$U$12*$V$13+$U$13</f>
        <v>30584</v>
      </c>
    </row>
    <row r="32" spans="2:24" x14ac:dyDescent="0.3">
      <c r="B32" s="16">
        <v>25</v>
      </c>
      <c r="C32" s="39">
        <f>(INT(SUM($E$8:E32)/100)+1)</f>
        <v>2</v>
      </c>
      <c r="D32" s="12">
        <v>4</v>
      </c>
      <c r="E32" s="13">
        <f t="shared" si="4"/>
        <v>19</v>
      </c>
      <c r="F32" s="14">
        <v>1.8</v>
      </c>
      <c r="G32" s="10">
        <f t="shared" si="0"/>
        <v>847.10456063999993</v>
      </c>
      <c r="H32" s="17">
        <f t="shared" si="5"/>
        <v>1004.973117696</v>
      </c>
      <c r="I32" s="24">
        <v>18.816470588235294</v>
      </c>
      <c r="K32" s="3">
        <v>2</v>
      </c>
      <c r="L32" s="36">
        <f>'강화 &amp; 정수량 표'!D25</f>
        <v>430</v>
      </c>
      <c r="M32" s="30">
        <f>L32/L31</f>
        <v>1.4827586206896552</v>
      </c>
      <c r="N32" s="51">
        <f t="shared" ref="N32:N37" si="12">INT(L32/O32)</f>
        <v>43</v>
      </c>
      <c r="O32" s="50">
        <v>10</v>
      </c>
      <c r="P32" s="31"/>
      <c r="Q32" s="31"/>
      <c r="S32" s="46" t="s">
        <v>41</v>
      </c>
      <c r="T32" s="46" t="s">
        <v>71</v>
      </c>
      <c r="U32" s="46">
        <v>20</v>
      </c>
      <c r="V32" s="47">
        <f t="shared" si="11"/>
        <v>30584</v>
      </c>
    </row>
    <row r="33" spans="2:22" x14ac:dyDescent="0.3">
      <c r="B33" s="15">
        <v>26</v>
      </c>
      <c r="C33" s="38">
        <f>(INT(SUM($E$8:E33)/100)+1)</f>
        <v>3</v>
      </c>
      <c r="D33" s="7">
        <v>5</v>
      </c>
      <c r="E33" s="8">
        <f t="shared" si="4"/>
        <v>18</v>
      </c>
      <c r="F33" s="9">
        <v>1.8</v>
      </c>
      <c r="G33" s="8">
        <f t="shared" si="0"/>
        <v>1707.1559999999999</v>
      </c>
      <c r="H33" s="22">
        <f t="shared" si="5"/>
        <v>1408.104</v>
      </c>
      <c r="I33" s="24">
        <v>17.629554655870447</v>
      </c>
      <c r="K33" s="3">
        <v>3</v>
      </c>
      <c r="L33" s="36">
        <f>'강화 &amp; 정수량 표'!E25</f>
        <v>790</v>
      </c>
      <c r="M33" s="30">
        <f>L33/L32</f>
        <v>1.8372093023255813</v>
      </c>
      <c r="N33" s="51">
        <f t="shared" si="12"/>
        <v>87</v>
      </c>
      <c r="O33" s="50">
        <v>9</v>
      </c>
      <c r="P33" s="31"/>
      <c r="Q33" s="31"/>
      <c r="S33" s="46" t="s">
        <v>42</v>
      </c>
      <c r="T33" s="46" t="s">
        <v>71</v>
      </c>
      <c r="U33" s="46">
        <v>20</v>
      </c>
      <c r="V33" s="47">
        <f t="shared" si="11"/>
        <v>30584</v>
      </c>
    </row>
    <row r="34" spans="2:22" x14ac:dyDescent="0.3">
      <c r="B34" s="15">
        <v>27</v>
      </c>
      <c r="C34" s="38">
        <f>(INT(SUM($E$8:E34)/100)+1)</f>
        <v>3</v>
      </c>
      <c r="D34" s="7">
        <v>5</v>
      </c>
      <c r="E34" s="8">
        <f t="shared" si="4"/>
        <v>20</v>
      </c>
      <c r="F34" s="9">
        <v>1.8</v>
      </c>
      <c r="G34" s="8">
        <f t="shared" si="0"/>
        <v>1896.84</v>
      </c>
      <c r="H34" s="22">
        <f t="shared" si="5"/>
        <v>1564.5600000000002</v>
      </c>
      <c r="I34" s="24">
        <v>19.137651821862349</v>
      </c>
      <c r="K34" s="3">
        <v>4</v>
      </c>
      <c r="L34" s="36">
        <f>'강화 &amp; 정수량 표'!F25</f>
        <v>1690</v>
      </c>
      <c r="M34" s="30">
        <f t="shared" ref="M34:M37" si="13">L34/L33</f>
        <v>2.1392405063291138</v>
      </c>
      <c r="N34" s="51">
        <f t="shared" si="12"/>
        <v>211</v>
      </c>
      <c r="O34" s="50">
        <v>8</v>
      </c>
      <c r="P34" s="31"/>
      <c r="Q34" s="31"/>
      <c r="S34" s="3" t="s">
        <v>43</v>
      </c>
      <c r="T34" s="3" t="s">
        <v>70</v>
      </c>
      <c r="U34" s="3">
        <v>20</v>
      </c>
      <c r="V34" s="45">
        <f>$U$10*$V$12+$U$11*$V$13+$U$12</f>
        <v>10489</v>
      </c>
    </row>
    <row r="35" spans="2:22" x14ac:dyDescent="0.3">
      <c r="B35" s="15">
        <v>28</v>
      </c>
      <c r="C35" s="38">
        <f>(INT(SUM($E$8:E35)/100)+1)</f>
        <v>3</v>
      </c>
      <c r="D35" s="12">
        <v>6</v>
      </c>
      <c r="E35" s="13">
        <f t="shared" si="4"/>
        <v>18</v>
      </c>
      <c r="F35" s="14">
        <v>1.8</v>
      </c>
      <c r="G35" s="10">
        <f t="shared" si="0"/>
        <v>2259.5436</v>
      </c>
      <c r="H35" s="17">
        <f t="shared" ref="H35:H49" si="14">VLOOKUP(D35,$K$8:$Q$15,7,0)*E35*F35</f>
        <v>1623.6287999999997</v>
      </c>
      <c r="I35" s="24">
        <v>17.858638743455497</v>
      </c>
      <c r="K35" s="3">
        <v>5</v>
      </c>
      <c r="L35" s="36">
        <f>'강화 &amp; 정수량 표'!G25</f>
        <v>3949</v>
      </c>
      <c r="M35" s="30">
        <f t="shared" si="13"/>
        <v>2.3366863905325443</v>
      </c>
      <c r="N35" s="51">
        <f t="shared" si="12"/>
        <v>564</v>
      </c>
      <c r="O35" s="50">
        <v>7</v>
      </c>
      <c r="P35" s="31"/>
      <c r="Q35" s="31"/>
      <c r="S35" s="3" t="s">
        <v>44</v>
      </c>
      <c r="T35" s="3" t="s">
        <v>70</v>
      </c>
      <c r="U35" s="3">
        <v>20</v>
      </c>
      <c r="V35" s="45">
        <f>$U$10*$V$12+$U$11*$V$13+$U$12</f>
        <v>10489</v>
      </c>
    </row>
    <row r="36" spans="2:22" x14ac:dyDescent="0.3">
      <c r="B36" s="15">
        <v>29</v>
      </c>
      <c r="C36" s="38">
        <f>(INT(SUM($E$8:E36)/100)+1)</f>
        <v>3</v>
      </c>
      <c r="D36" s="12">
        <v>6</v>
      </c>
      <c r="E36" s="13">
        <f t="shared" si="4"/>
        <v>20</v>
      </c>
      <c r="F36" s="14">
        <v>1.8</v>
      </c>
      <c r="G36" s="10">
        <f t="shared" si="0"/>
        <v>2510.6039999999998</v>
      </c>
      <c r="H36" s="17">
        <f t="shared" si="14"/>
        <v>1804.0319999999999</v>
      </c>
      <c r="I36" s="24">
        <v>19.279232111692846</v>
      </c>
      <c r="K36" s="3">
        <v>6</v>
      </c>
      <c r="L36" s="36">
        <f>'강화 &amp; 정수량 표'!H25</f>
        <v>9606</v>
      </c>
      <c r="M36" s="30">
        <f t="shared" si="13"/>
        <v>2.4325145606482654</v>
      </c>
      <c r="N36" s="51">
        <f t="shared" si="12"/>
        <v>1601</v>
      </c>
      <c r="O36" s="50">
        <v>6</v>
      </c>
      <c r="P36" s="31"/>
      <c r="Q36" s="31"/>
      <c r="S36" s="48" t="s">
        <v>46</v>
      </c>
      <c r="T36" s="48"/>
      <c r="U36" s="48"/>
      <c r="V36" s="49">
        <f>SUM(V28:V35)</f>
        <v>291125</v>
      </c>
    </row>
    <row r="37" spans="2:22" x14ac:dyDescent="0.3">
      <c r="B37" s="15">
        <v>30</v>
      </c>
      <c r="C37" s="38">
        <f>(INT(SUM($E$8:E37)/100)+1)</f>
        <v>3</v>
      </c>
      <c r="D37" s="12">
        <v>6</v>
      </c>
      <c r="E37" s="13">
        <f t="shared" si="4"/>
        <v>21</v>
      </c>
      <c r="F37" s="14">
        <v>1.8</v>
      </c>
      <c r="G37" s="10">
        <f t="shared" si="0"/>
        <v>2636.1341999999995</v>
      </c>
      <c r="H37" s="17">
        <f t="shared" si="14"/>
        <v>1894.2335999999998</v>
      </c>
      <c r="I37" s="24">
        <v>20.759162303664922</v>
      </c>
      <c r="K37" s="3">
        <v>7</v>
      </c>
      <c r="L37" s="36">
        <f>'강화 &amp; 정수량 표'!I25</f>
        <v>23739</v>
      </c>
      <c r="M37" s="30">
        <f t="shared" si="13"/>
        <v>2.4712679575265457</v>
      </c>
      <c r="N37" s="51">
        <f t="shared" si="12"/>
        <v>4747</v>
      </c>
      <c r="O37" s="50">
        <v>5</v>
      </c>
      <c r="P37" s="31"/>
      <c r="Q37" s="31"/>
    </row>
    <row r="38" spans="2:22" x14ac:dyDescent="0.3">
      <c r="B38" s="16">
        <v>31</v>
      </c>
      <c r="C38" s="39">
        <f>(INT(SUM($E$8:E38)/100)+1)</f>
        <v>4</v>
      </c>
      <c r="D38" s="12">
        <v>6</v>
      </c>
      <c r="E38" s="13">
        <f t="shared" si="4"/>
        <v>23</v>
      </c>
      <c r="F38" s="14">
        <v>1.8</v>
      </c>
      <c r="G38" s="10">
        <f t="shared" si="0"/>
        <v>2887.1945999999998</v>
      </c>
      <c r="H38" s="17">
        <f t="shared" si="14"/>
        <v>2074.6367999999998</v>
      </c>
      <c r="I38" s="24">
        <v>22.298429319371728</v>
      </c>
      <c r="S38" s="24" t="s">
        <v>75</v>
      </c>
    </row>
    <row r="39" spans="2:22" ht="13.5" customHeight="1" x14ac:dyDescent="0.3">
      <c r="B39" s="16">
        <v>32</v>
      </c>
      <c r="C39" s="39">
        <f>(INT(SUM($E$8:E39)/100)+1)</f>
        <v>4</v>
      </c>
      <c r="D39" s="12">
        <v>6</v>
      </c>
      <c r="E39" s="13">
        <f t="shared" si="4"/>
        <v>24</v>
      </c>
      <c r="F39" s="14">
        <v>1.8</v>
      </c>
      <c r="G39" s="10">
        <f t="shared" si="0"/>
        <v>3012.7248</v>
      </c>
      <c r="H39" s="17">
        <f t="shared" si="14"/>
        <v>2164.8383999999996</v>
      </c>
      <c r="I39" s="24">
        <v>23.898778359511343</v>
      </c>
      <c r="S39" s="65" t="s">
        <v>37</v>
      </c>
      <c r="T39" s="65" t="s">
        <v>31</v>
      </c>
      <c r="U39" s="65" t="s">
        <v>36</v>
      </c>
      <c r="V39" s="65" t="s">
        <v>45</v>
      </c>
    </row>
    <row r="40" spans="2:22" x14ac:dyDescent="0.3">
      <c r="B40" s="16">
        <v>33</v>
      </c>
      <c r="C40" s="39">
        <f>(INT(SUM($E$8:E40)/100)+1)</f>
        <v>4</v>
      </c>
      <c r="D40" s="12">
        <v>6</v>
      </c>
      <c r="E40" s="13">
        <f t="shared" si="4"/>
        <v>26</v>
      </c>
      <c r="F40" s="14">
        <v>1.8</v>
      </c>
      <c r="G40" s="10">
        <f t="shared" ref="G40:G58" si="15">VLOOKUP(D40,$K$8:$P$15,6,0)*E40*F40</f>
        <v>3263.7851999999993</v>
      </c>
      <c r="H40" s="17">
        <f t="shared" si="14"/>
        <v>2345.2415999999998</v>
      </c>
      <c r="I40" s="24">
        <v>25.560209424083769</v>
      </c>
      <c r="S40" s="3" t="s">
        <v>34</v>
      </c>
      <c r="T40" s="3" t="s">
        <v>72</v>
      </c>
      <c r="U40" s="3" t="s">
        <v>72</v>
      </c>
      <c r="V40" s="45"/>
    </row>
    <row r="41" spans="2:22" x14ac:dyDescent="0.3">
      <c r="B41" s="16">
        <v>34</v>
      </c>
      <c r="C41" s="39">
        <f>(INT(SUM($E$8:E41)/100)+1)</f>
        <v>4</v>
      </c>
      <c r="D41" s="12">
        <v>6</v>
      </c>
      <c r="E41" s="13">
        <f t="shared" ref="E41:E57" si="16">ROUNDUP(I41,0)</f>
        <v>28</v>
      </c>
      <c r="F41" s="14">
        <v>1.8</v>
      </c>
      <c r="G41" s="10">
        <f t="shared" si="15"/>
        <v>3514.8455999999996</v>
      </c>
      <c r="H41" s="17">
        <f t="shared" si="14"/>
        <v>2525.6448</v>
      </c>
      <c r="I41" s="24">
        <v>27.284467713787084</v>
      </c>
      <c r="S41" s="46" t="s">
        <v>38</v>
      </c>
      <c r="T41" s="46" t="s">
        <v>73</v>
      </c>
      <c r="U41" s="46">
        <v>20</v>
      </c>
      <c r="V41" s="47">
        <f>$V$29+$U$14</f>
        <v>54323</v>
      </c>
    </row>
    <row r="42" spans="2:22" x14ac:dyDescent="0.3">
      <c r="B42" s="16">
        <v>35</v>
      </c>
      <c r="C42" s="39">
        <f>(INT(SUM($E$8:E42)/100)+1)</f>
        <v>5</v>
      </c>
      <c r="D42" s="12">
        <v>6</v>
      </c>
      <c r="E42" s="13">
        <f t="shared" si="16"/>
        <v>30</v>
      </c>
      <c r="F42" s="14">
        <v>1.8</v>
      </c>
      <c r="G42" s="10">
        <f t="shared" si="15"/>
        <v>3765.9059999999995</v>
      </c>
      <c r="H42" s="17">
        <f t="shared" si="14"/>
        <v>2706.0479999999998</v>
      </c>
      <c r="I42" s="24">
        <v>29.069808027923212</v>
      </c>
      <c r="P42" s="31"/>
      <c r="Q42" s="31"/>
      <c r="S42" s="46" t="s">
        <v>39</v>
      </c>
      <c r="T42" s="46" t="s">
        <v>73</v>
      </c>
      <c r="U42" s="46">
        <v>20</v>
      </c>
      <c r="V42" s="47">
        <f t="shared" ref="V42:V45" si="17">$V$29+$U$14</f>
        <v>54323</v>
      </c>
    </row>
    <row r="43" spans="2:22" x14ac:dyDescent="0.3">
      <c r="B43" s="16">
        <v>36</v>
      </c>
      <c r="C43" s="39">
        <f>(INT(SUM($E$8:E43)/100)+1)</f>
        <v>5</v>
      </c>
      <c r="D43" s="12">
        <v>6</v>
      </c>
      <c r="E43" s="13">
        <f t="shared" si="16"/>
        <v>31</v>
      </c>
      <c r="F43" s="14">
        <v>1.8</v>
      </c>
      <c r="G43" s="10">
        <f t="shared" si="15"/>
        <v>3891.4361999999996</v>
      </c>
      <c r="H43" s="17">
        <f t="shared" si="14"/>
        <v>2796.2495999999996</v>
      </c>
      <c r="I43" s="24">
        <v>30.916230366492147</v>
      </c>
      <c r="P43" s="31"/>
      <c r="Q43" s="31"/>
      <c r="S43" s="46" t="s">
        <v>40</v>
      </c>
      <c r="T43" s="46" t="s">
        <v>73</v>
      </c>
      <c r="U43" s="46">
        <v>20</v>
      </c>
      <c r="V43" s="47">
        <f t="shared" si="17"/>
        <v>54323</v>
      </c>
    </row>
    <row r="44" spans="2:22" x14ac:dyDescent="0.3">
      <c r="B44" s="16">
        <v>37</v>
      </c>
      <c r="C44" s="39">
        <f>(INT(SUM($E$8:E44)/100)+1)</f>
        <v>5</v>
      </c>
      <c r="D44" s="7">
        <v>7</v>
      </c>
      <c r="E44" s="8">
        <f t="shared" si="16"/>
        <v>29</v>
      </c>
      <c r="F44" s="9">
        <v>1.8</v>
      </c>
      <c r="G44" s="8">
        <f t="shared" si="15"/>
        <v>4421.50443</v>
      </c>
      <c r="H44" s="22">
        <f t="shared" si="14"/>
        <v>2920.7048399999994</v>
      </c>
      <c r="I44" s="24">
        <v>28.285714285714285</v>
      </c>
      <c r="P44" s="31"/>
      <c r="Q44" s="31"/>
      <c r="S44" s="46" t="s">
        <v>41</v>
      </c>
      <c r="T44" s="46" t="s">
        <v>73</v>
      </c>
      <c r="U44" s="46">
        <v>20</v>
      </c>
      <c r="V44" s="47">
        <f t="shared" si="17"/>
        <v>54323</v>
      </c>
    </row>
    <row r="45" spans="2:22" x14ac:dyDescent="0.3">
      <c r="B45" s="15">
        <v>38</v>
      </c>
      <c r="C45" s="38">
        <f>(INT(SUM($E$8:E45)/100)+1)</f>
        <v>6</v>
      </c>
      <c r="D45" s="7">
        <v>7</v>
      </c>
      <c r="E45" s="8">
        <f t="shared" si="16"/>
        <v>30</v>
      </c>
      <c r="F45" s="9">
        <v>1.8</v>
      </c>
      <c r="G45" s="8">
        <f t="shared" si="15"/>
        <v>4573.9700999999995</v>
      </c>
      <c r="H45" s="22">
        <f t="shared" si="14"/>
        <v>3021.4187999999999</v>
      </c>
      <c r="I45" s="24">
        <v>29.984962406015036</v>
      </c>
      <c r="P45" s="31"/>
      <c r="Q45" s="31"/>
      <c r="S45" s="46" t="s">
        <v>42</v>
      </c>
      <c r="T45" s="46" t="s">
        <v>73</v>
      </c>
      <c r="U45" s="46">
        <v>20</v>
      </c>
      <c r="V45" s="47">
        <f t="shared" si="17"/>
        <v>54323</v>
      </c>
    </row>
    <row r="46" spans="2:22" x14ac:dyDescent="0.3">
      <c r="B46" s="15">
        <v>39</v>
      </c>
      <c r="C46" s="38">
        <f>(INT(SUM($E$8:E46)/100)+1)</f>
        <v>6</v>
      </c>
      <c r="D46" s="7">
        <v>7</v>
      </c>
      <c r="E46" s="8">
        <f t="shared" si="16"/>
        <v>32</v>
      </c>
      <c r="F46" s="9">
        <v>1.8</v>
      </c>
      <c r="G46" s="8">
        <f t="shared" si="15"/>
        <v>4878.9014399999996</v>
      </c>
      <c r="H46" s="22">
        <f t="shared" si="14"/>
        <v>3222.8467199999996</v>
      </c>
      <c r="I46" s="24">
        <v>31.739849624060149</v>
      </c>
      <c r="P46" s="31"/>
      <c r="Q46" s="31"/>
      <c r="S46" s="3" t="s">
        <v>43</v>
      </c>
      <c r="T46" s="3" t="s">
        <v>74</v>
      </c>
      <c r="U46" s="3">
        <v>20</v>
      </c>
      <c r="V46" s="45">
        <f>V34*4+U22*V22+U23</f>
        <v>84907</v>
      </c>
    </row>
    <row r="47" spans="2:22" x14ac:dyDescent="0.3">
      <c r="B47" s="15">
        <v>40</v>
      </c>
      <c r="C47" s="38">
        <f>(INT(SUM($E$8:E47)/100)+1)</f>
        <v>6</v>
      </c>
      <c r="D47" s="7">
        <v>7</v>
      </c>
      <c r="E47" s="8">
        <f t="shared" si="16"/>
        <v>34</v>
      </c>
      <c r="F47" s="9">
        <v>1.8</v>
      </c>
      <c r="G47" s="8">
        <f t="shared" si="15"/>
        <v>5183.8327799999997</v>
      </c>
      <c r="H47" s="22">
        <f t="shared" si="14"/>
        <v>3424.2746399999992</v>
      </c>
      <c r="I47" s="24">
        <v>33.548872180451127</v>
      </c>
      <c r="P47" s="31"/>
      <c r="Q47" s="31"/>
      <c r="S47" s="3" t="s">
        <v>44</v>
      </c>
      <c r="T47" s="3" t="s">
        <v>74</v>
      </c>
      <c r="U47" s="3">
        <v>20</v>
      </c>
      <c r="V47" s="45">
        <f>V35*4+U23*V23+U24</f>
        <v>65695</v>
      </c>
    </row>
    <row r="48" spans="2:22" x14ac:dyDescent="0.3">
      <c r="B48" s="16">
        <v>41</v>
      </c>
      <c r="C48" s="39">
        <f>(INT(SUM($E$8:E48)/100)+1)</f>
        <v>7</v>
      </c>
      <c r="D48" s="7">
        <v>7</v>
      </c>
      <c r="E48" s="8">
        <f t="shared" si="16"/>
        <v>36</v>
      </c>
      <c r="F48" s="9">
        <v>1.8</v>
      </c>
      <c r="G48" s="8">
        <f t="shared" si="15"/>
        <v>5488.7641199999998</v>
      </c>
      <c r="H48" s="22">
        <f t="shared" si="14"/>
        <v>3625.7025599999997</v>
      </c>
      <c r="I48" s="24">
        <v>35.413533834586467</v>
      </c>
      <c r="P48" s="31"/>
      <c r="Q48" s="31"/>
      <c r="S48" s="48" t="s">
        <v>46</v>
      </c>
      <c r="T48" s="48"/>
      <c r="U48" s="48"/>
      <c r="V48" s="49">
        <f>SUM(V40:V47)</f>
        <v>422217</v>
      </c>
    </row>
    <row r="49" spans="2:9" x14ac:dyDescent="0.3">
      <c r="B49" s="16">
        <v>42</v>
      </c>
      <c r="C49" s="39">
        <f>(INT(SUM($E$8:E49)/100)+1)</f>
        <v>7</v>
      </c>
      <c r="D49" s="7">
        <v>7</v>
      </c>
      <c r="E49" s="8">
        <f t="shared" si="16"/>
        <v>38</v>
      </c>
      <c r="F49" s="9">
        <v>1.8</v>
      </c>
      <c r="G49" s="8">
        <f t="shared" si="15"/>
        <v>5793.6954599999999</v>
      </c>
      <c r="H49" s="22">
        <f t="shared" si="14"/>
        <v>3827.1304799999998</v>
      </c>
      <c r="I49" s="24">
        <v>37.333834586466168</v>
      </c>
    </row>
    <row r="50" spans="2:9" x14ac:dyDescent="0.3">
      <c r="B50" s="16">
        <v>43</v>
      </c>
      <c r="C50" s="39">
        <f>(INT(SUM($E$8:E50)/100)+1)</f>
        <v>7</v>
      </c>
      <c r="D50" s="12">
        <v>8</v>
      </c>
      <c r="E50" s="13">
        <f t="shared" si="16"/>
        <v>34</v>
      </c>
      <c r="F50" s="14">
        <v>1.8</v>
      </c>
      <c r="G50" s="10">
        <f t="shared" si="15"/>
        <v>6183.9648629999992</v>
      </c>
      <c r="H50" s="17">
        <f t="shared" ref="H50:H58" si="18">VLOOKUP(D50,$K$8:$Q$15,7,0)*E50*F50</f>
        <v>3815.3530439999995</v>
      </c>
      <c r="I50" s="24">
        <v>33.861398963730572</v>
      </c>
    </row>
    <row r="51" spans="2:9" x14ac:dyDescent="0.3">
      <c r="B51" s="15">
        <v>44</v>
      </c>
      <c r="C51" s="38">
        <f>(INT(SUM($E$8:E51)/100)+1)</f>
        <v>8</v>
      </c>
      <c r="D51" s="12">
        <v>8</v>
      </c>
      <c r="E51" s="13">
        <f t="shared" si="16"/>
        <v>36</v>
      </c>
      <c r="F51" s="14">
        <v>1.8</v>
      </c>
      <c r="G51" s="10">
        <f t="shared" si="15"/>
        <v>6547.7275019999997</v>
      </c>
      <c r="H51" s="17">
        <f t="shared" si="18"/>
        <v>4039.7855759999993</v>
      </c>
      <c r="I51" s="24">
        <v>35.611398963730572</v>
      </c>
    </row>
    <row r="52" spans="2:9" x14ac:dyDescent="0.3">
      <c r="B52" s="15">
        <v>45</v>
      </c>
      <c r="C52" s="38">
        <f>(INT(SUM($E$8:E52)/100)+1)</f>
        <v>8</v>
      </c>
      <c r="D52" s="12">
        <v>8</v>
      </c>
      <c r="E52" s="13">
        <f t="shared" si="16"/>
        <v>38</v>
      </c>
      <c r="F52" s="14">
        <v>1.8</v>
      </c>
      <c r="G52" s="10">
        <f t="shared" si="15"/>
        <v>6911.4901409999993</v>
      </c>
      <c r="H52" s="17">
        <f t="shared" si="18"/>
        <v>4264.2181079999991</v>
      </c>
      <c r="I52" s="24">
        <v>37.409326424870464</v>
      </c>
    </row>
    <row r="53" spans="2:9" x14ac:dyDescent="0.3">
      <c r="B53" s="16">
        <v>46</v>
      </c>
      <c r="C53" s="39">
        <f>(INT(SUM($E$8:E53)/100)+1)</f>
        <v>9</v>
      </c>
      <c r="D53" s="12">
        <v>8</v>
      </c>
      <c r="E53" s="13">
        <f t="shared" si="16"/>
        <v>40</v>
      </c>
      <c r="F53" s="14">
        <v>1.8</v>
      </c>
      <c r="G53" s="10">
        <f t="shared" si="15"/>
        <v>7275.2527799999998</v>
      </c>
      <c r="H53" s="17">
        <f t="shared" si="18"/>
        <v>4488.6506399999989</v>
      </c>
      <c r="I53" s="24">
        <v>39.256476683937827</v>
      </c>
    </row>
    <row r="54" spans="2:9" x14ac:dyDescent="0.3">
      <c r="B54" s="16">
        <v>47</v>
      </c>
      <c r="C54" s="39">
        <f>(INT(SUM($E$8:E54)/100)+1)</f>
        <v>9</v>
      </c>
      <c r="D54" s="12">
        <v>8</v>
      </c>
      <c r="E54" s="13">
        <f t="shared" si="16"/>
        <v>42</v>
      </c>
      <c r="F54" s="14">
        <v>1.8</v>
      </c>
      <c r="G54" s="10">
        <f t="shared" si="15"/>
        <v>7639.0154189999994</v>
      </c>
      <c r="H54" s="17">
        <f t="shared" si="18"/>
        <v>4713.0831719999987</v>
      </c>
      <c r="I54" s="24">
        <v>41.151554404145081</v>
      </c>
    </row>
    <row r="55" spans="2:9" x14ac:dyDescent="0.3">
      <c r="B55" s="16">
        <v>48</v>
      </c>
      <c r="C55" s="39">
        <f>(INT(SUM($E$8:E55)/100)+1)</f>
        <v>9</v>
      </c>
      <c r="D55" s="12">
        <v>8</v>
      </c>
      <c r="E55" s="13">
        <f t="shared" si="16"/>
        <v>44</v>
      </c>
      <c r="F55" s="14">
        <v>1.8</v>
      </c>
      <c r="G55" s="10">
        <f t="shared" si="15"/>
        <v>8002.7780579999999</v>
      </c>
      <c r="H55" s="17">
        <f t="shared" si="18"/>
        <v>4937.5157039999995</v>
      </c>
      <c r="I55" s="24">
        <v>43.097150259067355</v>
      </c>
    </row>
    <row r="56" spans="2:9" x14ac:dyDescent="0.3">
      <c r="B56" s="15">
        <v>49</v>
      </c>
      <c r="C56" s="38">
        <f>(INT(SUM($E$8:E56)/100)+1)</f>
        <v>10</v>
      </c>
      <c r="D56" s="12">
        <v>8</v>
      </c>
      <c r="E56" s="13">
        <f t="shared" si="16"/>
        <v>46</v>
      </c>
      <c r="F56" s="14">
        <v>1.8</v>
      </c>
      <c r="G56" s="10">
        <f t="shared" si="15"/>
        <v>8366.5406970000004</v>
      </c>
      <c r="H56" s="17">
        <f t="shared" si="18"/>
        <v>5161.9482359999993</v>
      </c>
      <c r="I56" s="24">
        <v>45.090673575129536</v>
      </c>
    </row>
    <row r="57" spans="2:9" x14ac:dyDescent="0.3">
      <c r="B57" s="15">
        <v>50</v>
      </c>
      <c r="C57" s="38">
        <f>(INT(SUM($E$8:E57)/100)+1)</f>
        <v>10</v>
      </c>
      <c r="D57" s="12">
        <v>8</v>
      </c>
      <c r="E57" s="13">
        <f t="shared" si="16"/>
        <v>48</v>
      </c>
      <c r="F57" s="14">
        <v>1.8</v>
      </c>
      <c r="G57" s="10">
        <f t="shared" si="15"/>
        <v>8730.303335999999</v>
      </c>
      <c r="H57" s="17">
        <f t="shared" si="18"/>
        <v>5386.3807679999991</v>
      </c>
      <c r="I57" s="24">
        <v>47.134715025906736</v>
      </c>
    </row>
    <row r="58" spans="2:9" x14ac:dyDescent="0.3">
      <c r="B58" s="19" t="s">
        <v>14</v>
      </c>
      <c r="C58" s="19"/>
      <c r="D58" s="19">
        <v>8</v>
      </c>
      <c r="E58" s="20">
        <f>B4/3</f>
        <v>100</v>
      </c>
      <c r="F58" s="21">
        <v>1.8</v>
      </c>
      <c r="G58" s="23">
        <f t="shared" si="15"/>
        <v>18188.131949999999</v>
      </c>
      <c r="H58" s="4">
        <f t="shared" si="18"/>
        <v>11221.6266</v>
      </c>
    </row>
    <row r="59" spans="2:9" x14ac:dyDescent="0.3">
      <c r="B59" s="24" t="s">
        <v>12</v>
      </c>
    </row>
    <row r="60" spans="2:9" x14ac:dyDescent="0.3">
      <c r="B60" s="24" t="s">
        <v>11</v>
      </c>
    </row>
  </sheetData>
  <mergeCells count="42">
    <mergeCell ref="K29:K30"/>
    <mergeCell ref="U2:V3"/>
    <mergeCell ref="G2:G3"/>
    <mergeCell ref="H2:H3"/>
    <mergeCell ref="K18:K19"/>
    <mergeCell ref="L29:L30"/>
    <mergeCell ref="M29:M30"/>
    <mergeCell ref="N29:N30"/>
    <mergeCell ref="O29:O30"/>
    <mergeCell ref="U18:U19"/>
    <mergeCell ref="V6:V7"/>
    <mergeCell ref="G6:G7"/>
    <mergeCell ref="Q6:Q7"/>
    <mergeCell ref="K6:K7"/>
    <mergeCell ref="L6:O6"/>
    <mergeCell ref="P6:P7"/>
    <mergeCell ref="X6:X7"/>
    <mergeCell ref="X18:X19"/>
    <mergeCell ref="U4:V4"/>
    <mergeCell ref="B2:B3"/>
    <mergeCell ref="L18:L19"/>
    <mergeCell ref="M18:M19"/>
    <mergeCell ref="N18:N19"/>
    <mergeCell ref="O18:O19"/>
    <mergeCell ref="P2:P3"/>
    <mergeCell ref="V18:V19"/>
    <mergeCell ref="W6:W7"/>
    <mergeCell ref="W18:W19"/>
    <mergeCell ref="U6:U7"/>
    <mergeCell ref="Q2:Q3"/>
    <mergeCell ref="S2:T3"/>
    <mergeCell ref="S4:T4"/>
    <mergeCell ref="T6:T7"/>
    <mergeCell ref="S6:S7"/>
    <mergeCell ref="H6:H7"/>
    <mergeCell ref="T18:T19"/>
    <mergeCell ref="B6:B7"/>
    <mergeCell ref="E6:E7"/>
    <mergeCell ref="F6:F7"/>
    <mergeCell ref="C6:C7"/>
    <mergeCell ref="D6:D7"/>
    <mergeCell ref="S18:S19"/>
  </mergeCells>
  <phoneticPr fontId="4" type="noConversion"/>
  <dataValidations disablePrompts="1" count="1">
    <dataValidation type="list" allowBlank="1" showInputMessage="1" showErrorMessage="1" sqref="B4">
      <formula1>"100,200,300,400,463"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시뮬레이션-액트별 등급 확률개선</vt:lpstr>
      <vt:lpstr>강화 &amp; 정수량 표</vt:lpstr>
      <vt:lpstr>히트 강화수량 비교</vt:lpstr>
      <vt:lpstr>시뮬레이션</vt:lpstr>
      <vt:lpstr>'히트 강화수량 비교'!Print_Area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cp:lastPrinted>2017-02-07T05:46:03Z</cp:lastPrinted>
  <dcterms:created xsi:type="dcterms:W3CDTF">2016-09-09T01:00:53Z</dcterms:created>
  <dcterms:modified xsi:type="dcterms:W3CDTF">2017-02-09T03:03:02Z</dcterms:modified>
</cp:coreProperties>
</file>